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05"/>
  <workbookPr/>
  <mc:AlternateContent xmlns:mc="http://schemas.openxmlformats.org/markup-compatibility/2006">
    <mc:Choice Requires="x15">
      <x15ac:absPath xmlns:x15ac="http://schemas.microsoft.com/office/spreadsheetml/2010/11/ac" url="C:\Users\sofiaf\Documents\TSP Costa Rica\PRVC-II\Versión definitiva POD\Enlaces opcionales\"/>
    </mc:Choice>
  </mc:AlternateContent>
  <xr:revisionPtr revIDLastSave="0" documentId="494B7E3AC74D5C812729D95590936163249A9DEF" xr6:coauthVersionLast="28" xr6:coauthVersionMax="28" xr10:uidLastSave="{00000000-0000-0000-0000-000000000000}"/>
  <bookViews>
    <workbookView xWindow="0" yWindow="0" windowWidth="23040" windowHeight="7944" xr2:uid="{00000000-000D-0000-FFFF-FFFF00000000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Hoja1!$A$2:$AB$63</definedName>
  </definedNames>
  <calcPr calcId="171026"/>
  <pivotCaches>
    <pivotCache cacheId="184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D18" i="2"/>
  <c r="C18" i="2"/>
  <c r="C19" i="2"/>
  <c r="G4" i="2"/>
  <c r="D11" i="2"/>
  <c r="C11" i="2"/>
  <c r="G3" i="2"/>
  <c r="D10" i="2"/>
  <c r="F4" i="2"/>
  <c r="F3" i="2"/>
  <c r="B10" i="2"/>
  <c r="D12" i="2"/>
  <c r="D17" i="2"/>
  <c r="D19" i="2"/>
  <c r="B17" i="2"/>
  <c r="B19" i="2"/>
  <c r="B12" i="2"/>
  <c r="C12" i="2"/>
  <c r="Z4" i="1"/>
  <c r="Z5" i="1"/>
  <c r="Z6" i="1"/>
  <c r="Z7" i="1"/>
  <c r="Z8" i="1"/>
  <c r="Z10" i="1"/>
  <c r="Z9" i="1"/>
  <c r="Z14" i="1"/>
  <c r="Z11" i="1"/>
  <c r="Z12" i="1"/>
  <c r="Z13" i="1"/>
  <c r="Z15" i="1"/>
  <c r="Z16" i="1"/>
  <c r="Z17" i="1"/>
  <c r="Z18" i="1"/>
  <c r="Z19" i="1"/>
  <c r="Z20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8" i="1"/>
  <c r="Z37" i="1"/>
  <c r="Z39" i="1"/>
  <c r="Z40" i="1"/>
  <c r="Z41" i="1"/>
  <c r="Z43" i="1"/>
  <c r="Z42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1" i="1"/>
  <c r="Z62" i="1"/>
  <c r="Z3" i="1"/>
  <c r="X63" i="1"/>
  <c r="Y63" i="1"/>
  <c r="Z63" i="1"/>
  <c r="M63" i="1"/>
  <c r="Y60" i="1"/>
  <c r="Z60" i="1"/>
  <c r="M60" i="1"/>
  <c r="M54" i="1"/>
  <c r="K52" i="1"/>
  <c r="M49" i="1"/>
  <c r="M48" i="1"/>
  <c r="M47" i="1"/>
  <c r="M46" i="1"/>
  <c r="AB3" i="1"/>
  <c r="AB4" i="1"/>
  <c r="AB5" i="1"/>
  <c r="AB6" i="1"/>
  <c r="AB7" i="1"/>
  <c r="AB8" i="1"/>
  <c r="AB10" i="1"/>
  <c r="AB9" i="1"/>
  <c r="AB14" i="1"/>
  <c r="AB11" i="1"/>
  <c r="AB12" i="1"/>
  <c r="AB13" i="1"/>
  <c r="AB15" i="1"/>
  <c r="AB16" i="1"/>
  <c r="AB17" i="1"/>
  <c r="AB18" i="1"/>
  <c r="AB19" i="1"/>
  <c r="AB20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8" i="1"/>
  <c r="AB37" i="1"/>
  <c r="AB39" i="1"/>
  <c r="AB40" i="1"/>
  <c r="AB41" i="1"/>
  <c r="AB43" i="1"/>
  <c r="AB42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J44" i="1"/>
  <c r="K39" i="1"/>
  <c r="J39" i="1"/>
  <c r="X39" i="1"/>
  <c r="M39" i="1"/>
  <c r="M37" i="1"/>
  <c r="M31" i="1"/>
  <c r="Y21" i="1"/>
  <c r="AB21" i="1"/>
  <c r="Z21" i="1"/>
  <c r="L4" i="1"/>
  <c r="L5" i="1"/>
  <c r="L6" i="1"/>
  <c r="L7" i="1"/>
  <c r="L8" i="1"/>
  <c r="L10" i="1"/>
  <c r="L9" i="1"/>
  <c r="L14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7" i="1"/>
  <c r="L39" i="1"/>
  <c r="L40" i="1"/>
  <c r="L41" i="1"/>
  <c r="L43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3" i="1"/>
  <c r="W4" i="1"/>
  <c r="W5" i="1"/>
  <c r="W6" i="1"/>
  <c r="W7" i="1"/>
  <c r="W8" i="1"/>
  <c r="W10" i="1"/>
  <c r="W9" i="1"/>
  <c r="W14" i="1"/>
  <c r="W11" i="1"/>
  <c r="W12" i="1"/>
  <c r="W13" i="1"/>
  <c r="W15" i="1"/>
  <c r="W16" i="1"/>
  <c r="W17" i="1"/>
  <c r="W18" i="1"/>
  <c r="W19" i="1"/>
  <c r="W20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8" i="1"/>
  <c r="W37" i="1"/>
  <c r="W39" i="1"/>
  <c r="W40" i="1"/>
  <c r="W41" i="1"/>
  <c r="W43" i="1"/>
  <c r="W42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Jennifer:</t>
        </r>
        <r>
          <rPr>
            <sz val="9"/>
            <color indexed="81"/>
            <rFont val="Tahoma"/>
            <charset val="1"/>
          </rPr>
          <t xml:space="preserve">
Según reunión BID 21.12.2017 de revisión del PRVC-II</t>
        </r>
      </text>
    </comment>
    <comment ref="AA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aporte en efectivo: 1.639.150.929,33</t>
        </r>
      </text>
    </comment>
    <comment ref="X1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no indica renglón de reajsutes ni 110.06</t>
        </r>
      </text>
    </comment>
    <comment ref="X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no indica renglón de reajsutes ni 110.06</t>
        </r>
      </text>
    </comment>
    <comment ref="N1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alcantarilla de cuadro</t>
        </r>
      </text>
    </comment>
    <comment ref="X2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no indica renglón de reajsutes ni 110.06</t>
        </r>
      </text>
    </comment>
    <comment ref="X27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no indica renglón de reajsutes ni 110.06</t>
        </r>
      </text>
    </comment>
    <comment ref="E3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razón por la que Mora divide el camino en 2?</t>
        </r>
      </text>
    </comment>
    <comment ref="E3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razón por la que Mora divide el camino en 2?</t>
        </r>
      </text>
    </comment>
    <comment ref="X44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no indica renglón de reajsutes ni 110.06</t>
        </r>
      </text>
    </comment>
    <comment ref="X47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no indica renglón de reajsutes ni 110.06</t>
        </r>
      </text>
    </comment>
    <comment ref="AA50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efectivo</t>
        </r>
      </text>
    </comment>
    <comment ref="X58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no indica renglón de reajsutes ni 110.06</t>
        </r>
      </text>
    </comment>
  </commentList>
</comments>
</file>

<file path=xl/sharedStrings.xml><?xml version="1.0" encoding="utf-8"?>
<sst xmlns="http://schemas.openxmlformats.org/spreadsheetml/2006/main" count="563" uniqueCount="227">
  <si>
    <t>SEGUIMIENTO DE PROYECTOS EN LICITACIÓN PRVC-II</t>
  </si>
  <si>
    <t>TC=</t>
  </si>
  <si>
    <t>COMPONENTE</t>
  </si>
  <si>
    <t>PROVINCIA</t>
  </si>
  <si>
    <t>Número de perfil</t>
  </si>
  <si>
    <t>Grupo de licitación</t>
  </si>
  <si>
    <t>CANTÓN</t>
  </si>
  <si>
    <t>CLASIFICACIÓN</t>
  </si>
  <si>
    <t>TIPO DE PROYECTO</t>
  </si>
  <si>
    <t>CÓDIGO</t>
  </si>
  <si>
    <t>NOMBRE</t>
  </si>
  <si>
    <t>Beneficiarios directos</t>
  </si>
  <si>
    <t>Beneficiarios indirectos</t>
  </si>
  <si>
    <t>Beneficiarios totales</t>
  </si>
  <si>
    <t>LONGITUD de camino a intervenir (km)</t>
  </si>
  <si>
    <t>LONGITUD de puente a intervenir (m)</t>
  </si>
  <si>
    <t>ANCHO (m)</t>
  </si>
  <si>
    <t>NÚMERO</t>
  </si>
  <si>
    <t>CÓDIGO SEPA</t>
  </si>
  <si>
    <t>CÓDIGO CONTRATO BID</t>
  </si>
  <si>
    <t>FASE</t>
  </si>
  <si>
    <t>FECHA DE PUBLICACIÓN</t>
  </si>
  <si>
    <t>mes publicación</t>
  </si>
  <si>
    <t>FECHA DE APERTURA</t>
  </si>
  <si>
    <t>PRESUPUESTO BID ESTIMADO (OBRA)</t>
  </si>
  <si>
    <t>PRESUPUESTO BID ESTIMADO (REAJUSTES)</t>
  </si>
  <si>
    <t>PRESUPUESTO BID ESTIMADO (TOTAL EN COLONES)</t>
  </si>
  <si>
    <t>PRESUPUESTO BID ESTIMADO (TOTAL EN DÓLARES)</t>
  </si>
  <si>
    <t xml:space="preserve">CONTRAPARTIDA MUNICIPAL </t>
  </si>
  <si>
    <t>MONTO TOTAL DEL PROYECTO</t>
  </si>
  <si>
    <t>Obras</t>
  </si>
  <si>
    <t>Guanacaste</t>
  </si>
  <si>
    <t>I</t>
  </si>
  <si>
    <t>Abangares</t>
  </si>
  <si>
    <t>Camino</t>
  </si>
  <si>
    <t>5-07-010-00</t>
  </si>
  <si>
    <t>Mejoramiento de Camino Vecinal C5-07-010-00 (Ent.C.09) San Rafael (Ent.N.606) Cañitas, Cantón de Abangares</t>
  </si>
  <si>
    <t>San José</t>
  </si>
  <si>
    <t>Acosta</t>
  </si>
  <si>
    <t>1-12-002</t>
  </si>
  <si>
    <t>Mejoramiento de Camino Vecinal Agua Blanca – Bajos de Jorco C1-12-002, De: Agua Blanca (Entronque Ruta Nacional 209) A: Bajos de Jorco (Iglesia Católica), Cantón de Acosta</t>
  </si>
  <si>
    <t>II</t>
  </si>
  <si>
    <t>1-12-001</t>
  </si>
  <si>
    <t>Mejoramiento de Camino Vecinal San Ignacio - Guaitil C1-12-001, De: Calles Urbanas (Entronque Ruta Cantonal 075) A: Fin de Camino, Cantón de Acosta.</t>
  </si>
  <si>
    <t>Alajuela</t>
  </si>
  <si>
    <t>2-01-001</t>
  </si>
  <si>
    <t>MEJORAMIENTO DEL SISTEMA DE DRENAJE Y SUPERCIFIE DE RUEDO ASÍ COMO A CONSTRUCCIÓN DE UN PUENTE PEATONAL  DEL CAMINO  C 02-01-001 (ENT.R.1 (PUENTE EL COYOL)) – (ENT.R.3,B.SAN JOSE ARROC.C.R.).</t>
  </si>
  <si>
    <t>Cartago</t>
  </si>
  <si>
    <t>Alvarado</t>
  </si>
  <si>
    <t>3-06-080</t>
  </si>
  <si>
    <t>Mejoramiento del camino 3-06-080 “(Ent. N.402) San Rafael Irazú - Volcán Turrialba – La Esperanza.”.</t>
  </si>
  <si>
    <t>Aserrí</t>
  </si>
  <si>
    <t>1-06-128-00 y 1-06-129-00</t>
  </si>
  <si>
    <t>Reconstrucción de la estructura y pavimento del camino principal del distrito Salitrillos
que comunica Barrio Santa Teresita con Jericó en Desamparados: caminos código C-
1-06-128-00 y C-1-06-129-00</t>
  </si>
  <si>
    <t>Bagaces</t>
  </si>
  <si>
    <t>5-04-017</t>
  </si>
  <si>
    <t>Mejoramiento del camino cantonal C5-04-017De: Escuela Pijije (Ent. RN 01), Hasta: Cruce Zanja del Barro, Cantón de Bagaces</t>
  </si>
  <si>
    <t>5-04-035</t>
  </si>
  <si>
    <t>Mejoramiento del camino cantonal C5-04-035 (Ent. RN 01 – Llanos de Cortés) Bagaces, Guanacaste</t>
  </si>
  <si>
    <t>Puntarenas</t>
  </si>
  <si>
    <t>Buenos Aires</t>
  </si>
  <si>
    <t>6-03-027</t>
  </si>
  <si>
    <t>Refuerzo de la estructura de pavimento mediante la colocación de base de agregados y aplicación de un tratamiento superficial bituminoso E-61 en 6 km del camino 6-03-027</t>
  </si>
  <si>
    <t>III</t>
  </si>
  <si>
    <t>6-03-008</t>
  </si>
  <si>
    <t>Refuerzo de la estructura de pavimento mediante la colocación de subbase y base de agregados y aplicación de un tratamiento superficial bituminoso E-61 en el camino 6-03-008</t>
  </si>
  <si>
    <t>IV</t>
  </si>
  <si>
    <t>6-03-035</t>
  </si>
  <si>
    <t>Refuerzo de la estructura de pavimento mediante la colocación de subbase y base de agregados y aplicación de un tratamiento superficial bituminoso E-61 en el camino 6-03-035</t>
  </si>
  <si>
    <t>6-03-012</t>
  </si>
  <si>
    <t>Mejoramiento del camino 6-03-012 De: (ENT.N.237) Paso Real - Chánguena, San Luis A: Río Limón, Límite Cantonal Coto Brus</t>
  </si>
  <si>
    <t>Cañas</t>
  </si>
  <si>
    <t>5-06-011</t>
  </si>
  <si>
    <t>Mejoramiento de Camino Vecinal Ruta 1 - HotelC5-06-011, De: Entronque Ruta Nacional 1 A: Hotel (Entronque de Caminos Vecinales C5-06-049 y C5-06-065), Cantón de Cañas</t>
  </si>
  <si>
    <t>Coto Brus</t>
  </si>
  <si>
    <t>6-08-012</t>
  </si>
  <si>
    <t>Mejoramiento del camino 6-08-012 (Ent.N.617) La Ceiba-Sabalito a Límite Costa Rica - Panamá</t>
  </si>
  <si>
    <t>Desamparados</t>
  </si>
  <si>
    <t>1-03-140</t>
  </si>
  <si>
    <t>Mejoramiento del sistema de drenaje y superficie de ruedo en el camino Calle Lajas C-1-003-140 DE: Calles urbanas cuadrantes HASTA: Calle Lajas</t>
  </si>
  <si>
    <t>1-03-011 y 1-03-017</t>
  </si>
  <si>
    <t>Mejoramiento del sistema de drenaje y superficie de ruedo en el camino Calle Leiva C-1-003-011 y Calle La
Violeta DE: Ent. RN 222 (Iglesia Católica San Cristóbal Sur), HASTA: Limite con Rio San Cristóbal Calle La
Violeta</t>
  </si>
  <si>
    <t>Esparza</t>
  </si>
  <si>
    <t>6-02-007</t>
  </si>
  <si>
    <t>Mejoramiento de la Superficie de Rodamiento y Construcción de Cunetas revestidas en el Camino Código 6-02-007 Ent N 622 Juanilama- Ent 009 Humo.</t>
  </si>
  <si>
    <t>6-02-009</t>
  </si>
  <si>
    <t>Mejoramiento de la Superficie de Rodamiento y rehabilitación sistema de drenaje en el Camino Código 6-02-009 Cementerio Esparza-Ent N 622 Jocote.</t>
  </si>
  <si>
    <t>Garabito</t>
  </si>
  <si>
    <t>6-11-022</t>
  </si>
  <si>
    <t>Mejoramiento de la estructura de pavimento con la colocación de capa granular, Tratamiento Superficial Bituminoso y sistema de drenaje en 5.28Km</t>
  </si>
  <si>
    <t>Grecia</t>
  </si>
  <si>
    <t>2-03-052</t>
  </si>
  <si>
    <t>Mejoramiento en 6.86 km del camino 2-03-052 (Ent. C.045) Carrizal Y Griega– San Gerardo-Límite provincial, mediante el refuerzo de la estructura de pavimento, la construcción de una carpeta de concreto
asfáltico en caliente</t>
  </si>
  <si>
    <t>Guatuso</t>
  </si>
  <si>
    <t>2-15-104</t>
  </si>
  <si>
    <t>Mejoramiento en 6.2 kilómetros en el camino cantonal con código 2-15-104 (De: (ENTR. C. 025 y ENT. C. 102) Río Celeste, Plaza - A: Límite cantonal Guatuso – Upala), mediante la construcción de una carpeta de concreto asfáltico en caliente</t>
  </si>
  <si>
    <t>Heredia</t>
  </si>
  <si>
    <t>4-01-200</t>
  </si>
  <si>
    <t>Rehabilitación de la superficie de ruedo y sistemas de drenaje del camino 4-01-200, de:( Ent. 03) a: límite
provincial con Alajuela, conocido como La Legua</t>
  </si>
  <si>
    <t>Hojancha</t>
  </si>
  <si>
    <t>5-11-018</t>
  </si>
  <si>
    <t>Mejoramiento de Camino Vecinal Huacas C5-11-018, De: Hojancha (Entronque Ruta Cantona 024) A: Est. 5+000, Cantón de Hojancha</t>
  </si>
  <si>
    <t>Jiménez</t>
  </si>
  <si>
    <t>3-04-094</t>
  </si>
  <si>
    <t>Rehabilitación del sistema de drenaje y de la superficie de ruedo del Camino C-03-04-094, (Entr. N.408) Pejibaye – Fca. Juan Cal</t>
  </si>
  <si>
    <t>La Cruz</t>
  </si>
  <si>
    <t>5-10-018-00</t>
  </si>
  <si>
    <t>Mejoramiento de Camino Vecinal Santa Elena C5-10-018-00, De: Cruce La Virgen (Entronque Ruta Nacional 170) A: Las Parcelas Santa Elena, Cantón de La Cruz</t>
  </si>
  <si>
    <t>León Cortés</t>
  </si>
  <si>
    <t>1-20-019</t>
  </si>
  <si>
    <t>Rehabilitación del sistema de drenaje, colocación de capa granular de rodadura y
colocación de carpeta asfáltica en el Camino 1-20-019, conocido como El Cedral-
El Jardín en Santa Cruz de León Cortés, de (Ent C 1-20-028) San Martín-El Cedral
a: (Fin de camino) límite Cantonal de Dota</t>
  </si>
  <si>
    <t>Los Chiles</t>
  </si>
  <si>
    <t>2-14-017</t>
  </si>
  <si>
    <t>Relastrado con material granular de rodadura del tramo comprendido entre las estaciones 0+000 y 5+000 del camino 2-14-017 (ENT. N. 35) Santa Cecilia - (ENT. C. 16) La Unión Escuela, cantón de Los Chiles</t>
  </si>
  <si>
    <t>2-14-008</t>
  </si>
  <si>
    <t>Relastrado con material granular de rodadura y mejoramiento de tres estructuras de paso en el camino 2-14-008 del cantón de Los Chiles que va De: (ENT. N. 35) Pavón / Hasta: (ENT. C. 52 / C. 48) Cristo Rey</t>
  </si>
  <si>
    <t>Limón</t>
  </si>
  <si>
    <t>Matina</t>
  </si>
  <si>
    <t>7-05-014 y 7-05-013</t>
  </si>
  <si>
    <t>Rehabilitación del Sistema de Drenaje y Mejoramiento de la Superficie de Ruedo con carpeta asfáltica del Camino Cantonal C. 7-05-014 y C. 7-05-013.: (Ent. R. 805) Entrada a Santa Marta Hasta: Luzón</t>
  </si>
  <si>
    <t>Montes de Oro</t>
  </si>
  <si>
    <t>6-04-005</t>
  </si>
  <si>
    <t>Mejoramiento de 4,34 km del camino cantonal 6-04-005, de  Ent. N.615 (Tajo Alto)  hasta la Mina, en el Distrito La Unión, Cantón de Montes de Oro, Puntarenas</t>
  </si>
  <si>
    <t>Mora</t>
  </si>
  <si>
    <t>1-07-023</t>
  </si>
  <si>
    <t>Mejoramiento del Sistema de Drenaje y de la Superficie de Ruedo del Camino C.1-07-023 De: ENT RN.136 Picagres a: fin del camino, Balsilla De la estación 0+000 a 4+443</t>
  </si>
  <si>
    <t>Mejoramiento del Sistema de Drenaje y de la Superficie de Ruedo del Camino C.1-07-023 De: ENT RN.136 Picagres a: fin del camino, Balsilla.  De la estación 4+443 a 7+624</t>
  </si>
  <si>
    <t>Nandayure</t>
  </si>
  <si>
    <t>5-09-025</t>
  </si>
  <si>
    <t>Mejoramiento mediante la construcción de los sistemas de drenaje y superficie de ruedo con la colocación de 15 cm de material granular TM40-B en ruta cantonal 509025 (Pueblo Nuevo – La Soledad) del distrito de Bejuco, Nandayure</t>
  </si>
  <si>
    <t>Naranjo</t>
  </si>
  <si>
    <t>2-06-024</t>
  </si>
  <si>
    <t>Rehabilitación de la estructura de pavimento y construcción de carpeta con concreto asfáltico en caliente en 1.65 kilómetros del camino cantonal con código 2-06-024 De: (Ent. N. 141) San Juan – Hasta: (Ent. N. 141) San Juanillo</t>
  </si>
  <si>
    <t>Osa</t>
  </si>
  <si>
    <t>6-05-018 y 6-05-062</t>
  </si>
  <si>
    <t>Mejoramiento de los caminos 6-05-018. Playa Hermosa (ENT.N.34) San Josecito- (ENT.C.62) San Josecito Iglesia. Rio Morete y 6-05-062 (Ent.C.18) San Josecito, Iglesia - Río Morete o Higuerón. Límite Provincial</t>
  </si>
  <si>
    <t>6-05-006</t>
  </si>
  <si>
    <t>Mejoramiento del camino 6-05-006. (Entr. N. 34) Coronado a (Entr.C.87) Tres Ríos</t>
  </si>
  <si>
    <t>Pérez Zeledón</t>
  </si>
  <si>
    <t>1-19-194, 1-19-027 y 1-19-025</t>
  </si>
  <si>
    <t>Mejoramiento de la superficie de ruedo y del sistema de drenaje de los caminos: 1-19-194 (Ent.N.242) Bo. Sinaí, Bajo Dorotea – (Ent.C.27) Finca Municipal; 1-19-027 (Ent.N.2) Villa Ligia-Los Chiles (Ent.321) y 1-19-025 (Ent. N.2) Juntas de Pacuar (Repunta) a (Ent.N.321) Palmares, Lourdes- Los Chiles.</t>
  </si>
  <si>
    <t>Pococí</t>
  </si>
  <si>
    <t>7-02-037</t>
  </si>
  <si>
    <t>Mejoramiento de la Superficie de Ruedo con carpeta asfáltica en el Camino C. 7-02-037, De: (N. 247) Entrada a El Triángulo – Hasta: Intersección escuela El Triángulo</t>
  </si>
  <si>
    <t>7-02-080</t>
  </si>
  <si>
    <t>Mejoramiento del Sistema de Drenajes y mejoramiento de la Superficie de Ruedo con carpeta asfáltica en el Camino C. 7-02-080, De: (Ent. N. 249) Entra Los Cascadas – Hasta: (Ent. N.247) Tanques de A y A</t>
  </si>
  <si>
    <t>7-02-032</t>
  </si>
  <si>
    <t>Mejoramiento del Sistema de Drenajes y mejoramiento de la Superficie de Ruedo con un TSB-3 en el Camino C. 7-02-032. De: (Ent. N. 247) Campo Cuatro – Hasta: (Ent. C. 160) Intersección a Campo Dos</t>
  </si>
  <si>
    <t>7-02-086</t>
  </si>
  <si>
    <t>Mejoramiento del Sistema de Drenajes y mejoramiento de la Superficie de Ruedo con carpeta asfáltica en el Camino C. 7-02-086, San Bosco. De: (Ent. N. 249) Teresa – Hasta: (Ent. N.809) Calle Gobierno</t>
  </si>
  <si>
    <t>6-01-115</t>
  </si>
  <si>
    <t>Mejoramiento de la estructura de pavimento con sub base,  base granular, carpeta asfáltica y del sistema de drenaje del Camino 6-01-115 (ENT.N.17) Juanito Mora a (ENT.N.23) Hotel Fiesta, distritos de Barranca y El Roble, cantón de Puntarenas</t>
  </si>
  <si>
    <t>Quepos</t>
  </si>
  <si>
    <t>6-06-009</t>
  </si>
  <si>
    <t>Mejoramiento del camino 6-06-009 “(Ent. N.616) Cruce Naranjito - (Ent. C.039 / C.046) Cruce Villa Nueva</t>
  </si>
  <si>
    <t>San Carlos y San Ramón</t>
  </si>
  <si>
    <t>2-10-069, 2-10-075, 2-10-520 y 2-02-011</t>
  </si>
  <si>
    <t>Mejoramiento de la interconectividad cantonal entre San Carlos y San Ramón mediante la construcción de la estructura de pavimento en 9,34 kilómetros en los caminos con código: C- 2-10-069, C- 2-10-075 y C-2-10-520 del cantón de San Carlos y en 2,6 kilómetros en el camino con código C-2-02-011 del cantón de San Ramón</t>
  </si>
  <si>
    <t>San Mateo y San Ramón</t>
  </si>
  <si>
    <t>2-04-065 y 2-02-158</t>
  </si>
  <si>
    <t>Mejoramiento de la estructura de pavimento con la colocación de capa granular, Tratamiento Superficial Bituminoso y sistema de drenaje en 3.78Km y demarcación vial en 7.14Km del camino La Libertad, San Mateo-Llano Brenes, San Ramón (De: Estación 0+000 La Libertad, San Mateo A: Estación 7+142 Llano Brenes, San Ramón)</t>
  </si>
  <si>
    <t>San Ramón</t>
  </si>
  <si>
    <t>2-02-014 y 2-02-020</t>
  </si>
  <si>
    <t>Mejoramiento de 0,95 kilómetros del camino 2-02-014 mediante el refuerzo de la estructura de pavimento y la construcción de una carpeta de concreto asfáltico en caliente, y relastrado con material granular de
rodadura y colocación de un sello asfáltico no estructural para el control de erosión en 3,7 kilómetros del camino 2-02-020</t>
  </si>
  <si>
    <t>San Ramón Y San Carlos</t>
  </si>
  <si>
    <t>2-02-225 y 2-02-226</t>
  </si>
  <si>
    <t>Mejoramiento de 1,38 kilómetros del camino 2-02-225 y 0,37 kilómetros del camino 2-02-226, mediante la colocación de subbase y base trituradas y la construcción de una capa de concreto asfáltico en caliente</t>
  </si>
  <si>
    <t>Santa Bárbara</t>
  </si>
  <si>
    <t>4-04-009</t>
  </si>
  <si>
    <t>MEJORAMIENTO DEL SISTEMA DE DRENAJE Y SUPERCIFIE DE RUEDO DEL CAMINO  C 04-04-009 (ENT.R.123) San Juan (C. Los Mora)- Calle Solís</t>
  </si>
  <si>
    <t>Santa Cruz</t>
  </si>
  <si>
    <t>5-03-257</t>
  </si>
  <si>
    <t>Rehabilitación y mejoramiento de los sistemas de drenaje y calzada de rodamiento de la ruta cantonal C-5-03-257 Tamarindo- Langosta</t>
  </si>
  <si>
    <t>Santo Domingo</t>
  </si>
  <si>
    <t>4-03-023</t>
  </si>
  <si>
    <t>Mejoramiento de obras de drenaje y superficie de ruedo para el camino código: 4-03-023, Santo Domingo – La Vigui</t>
  </si>
  <si>
    <t>Sarapiquí</t>
  </si>
  <si>
    <t>4-10-035</t>
  </si>
  <si>
    <t>Rehabilitaciónd el sistema de drenaje y mejoramiento de la superficie de ruedo con carpeta asfáltica en el camino 4-10-035, Ticarí</t>
  </si>
  <si>
    <t>4-10-108, 4-10-037 y 4-10-117</t>
  </si>
  <si>
    <t>Rehabilitación del sistema de drenaje y mejoramiento de la superficie de ruedo con carpeta asfáltica en el Trayecto que incluye secciones de los Caminos C-4-10-108, 4-10-037 y C. 4-10-117, Ticari – La Rambla – Finca Dos</t>
  </si>
  <si>
    <t>Siquirres</t>
  </si>
  <si>
    <t>7-03-008-00</t>
  </si>
  <si>
    <t>Mejoramiento del sistema de drenaje y de la superficie de ruedo mediante carpeta asfática del camino 7-03-008-00, Indianas 1, 2 y 3</t>
  </si>
  <si>
    <t>Talamanca</t>
  </si>
  <si>
    <t>7-04-019</t>
  </si>
  <si>
    <t>Rehabilitación del Sistema de Drenaje y Mejoramiento de la Superficie de Ruedo  del Camino Cantonal C. 7-04-019</t>
  </si>
  <si>
    <t>Tarrazú</t>
  </si>
  <si>
    <t>1-05-141</t>
  </si>
  <si>
    <t>REHABILITACIÓN DEL SISTEMA DE DRENAJE Y MEJORAMIENTO DE LA SUPERFICIE DE RUEDO Y COLOCACIÓN DE SELLO ASFÁLTICO EN EL CAMINO 1-05-141 DE (ENT. CALLE 46) CALLE EL RODEO A (ENT. CALLE 77) CAMINO LA ROCA CON EL LIMITE CANTONAL EL JARDÍN DE DOTA</t>
  </si>
  <si>
    <t>Tilarán</t>
  </si>
  <si>
    <t>5-08-093</t>
  </si>
  <si>
    <t>Mejoramiento del camino cantonal RC5-08-093 Ruta del Bus, Desde: Ent. RC007 (Ranchitos – Parcelas Quebrada Azul) Hasta:  Ent. RC094 (Calles Centro Parcelas) Cantón de Tilarán</t>
  </si>
  <si>
    <t>Turrialba</t>
  </si>
  <si>
    <t>3-05-017</t>
  </si>
  <si>
    <t>Rehabilitación del sistema de drenaje y de la superficie de ruedo del camino C-03-05-017</t>
  </si>
  <si>
    <t>Turrubares</t>
  </si>
  <si>
    <t>1-16-012 y 1-16-061</t>
  </si>
  <si>
    <t>Mejoramiento de la estructura de pavimento con la colocación de una capa granular, sello antierosión y sistema de drenaje en 2.1Km y Tratamiento Superficial Bituminoso doble en 3.81Km, De: Rio Turrubares, Bajo Laguna (Bar Restaurante Puriscaleño) A: (Ent.N.137) El Llano.</t>
  </si>
  <si>
    <t>Upala</t>
  </si>
  <si>
    <t>2-13-011</t>
  </si>
  <si>
    <t>Rehabilitación del sistema de drenaje y relastrado con material granular de rodadura en 3.5 km del camino del cantón de Upala código 2-13-011 (Tramo entre estaciones 10+000 y 13+500)</t>
  </si>
  <si>
    <t>2-13-030</t>
  </si>
  <si>
    <t>Rehabilitación del sistema de drenaje y relastrado con material granular de rodadura del camino del cantón de Upala código 2-13-030 que va desde (Ent. N. 04) Villa Clarín hasta (Ent. N. 06) El Salto, Mini Super Ale</t>
  </si>
  <si>
    <t>Zarcero y San Ramón</t>
  </si>
  <si>
    <t>2-11-001 y 2-02-053</t>
  </si>
  <si>
    <t>Mejoramiento de la interconectividad cantonal entre Zarcero y San Ramón mediante la Rehabilitación de la estructura de pavimento en 3,51 kilómetros del camino cantonal con código 2-11-001 (De: (Ent. N.
141) Zarcero – Hasta: Límite cantonal (Zarcero - San Ramón)) y el mejoramiento de 0,83 km del camino cantonal con código 2-02-053 (De: (ENT.R. N.703) Alto Villegas – Hasta: (Límite Cantonal) San Luis).</t>
  </si>
  <si>
    <t>MUESTRA 1</t>
  </si>
  <si>
    <t>MUESTRA 1 Y 2</t>
  </si>
  <si>
    <t>Etiquetas de fila</t>
  </si>
  <si>
    <t>Cuenta de CÓDIGO</t>
  </si>
  <si>
    <t>Suma de LONGITUD de camino a intervenir (km)</t>
  </si>
  <si>
    <t>Suma de LONGITUD de puente a intervenir (m)</t>
  </si>
  <si>
    <t>Suma de PRESUPUESTO BID ESTIMADO (TOTAL EN DÓLARES)</t>
  </si>
  <si>
    <t>Evaluación económica HDM-4 lista</t>
  </si>
  <si>
    <t>Puente</t>
  </si>
  <si>
    <t>Total general</t>
  </si>
  <si>
    <t>Proyectos de la muestra 1 y 2 (Evaluaciones HDM-4 y RED)</t>
  </si>
  <si>
    <t xml:space="preserve">Tipo de proyecto </t>
  </si>
  <si>
    <t>Número de proyectos</t>
  </si>
  <si>
    <t>Longitud de caminos a intervenir (km)</t>
  </si>
  <si>
    <t>Longitud de puentes a intervenir (m)</t>
  </si>
  <si>
    <t>Presupuesto estimado (dólares)</t>
  </si>
  <si>
    <t>Costo Unitario</t>
  </si>
  <si>
    <t xml:space="preserve">Relación </t>
  </si>
  <si>
    <t>Monto asignado a obras en el PRVC-II (Opción A)</t>
  </si>
  <si>
    <t>Monto asignado a obras en el PRVC-II (Opción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</si>
</sst>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/>
    <xf numFmtId="2" fontId="3" fillId="0" borderId="3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horizontal="left" indent="1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pivotButton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9" fontId="0" fillId="0" borderId="1" xfId="2" applyNumberFormat="1" applyFont="1" applyBorder="1"/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3" fontId="0" fillId="0" borderId="2" xfId="0" applyNumberFormat="1" applyBorder="1"/>
    <xf numFmtId="0" fontId="0" fillId="0" borderId="5" xfId="0" applyBorder="1"/>
    <xf numFmtId="0" fontId="0" fillId="0" borderId="3" xfId="0" applyBorder="1"/>
    <xf numFmtId="0" fontId="11" fillId="0" borderId="1" xfId="0" applyFont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3" fontId="7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4" fontId="6" fillId="2" borderId="1" xfId="0" applyNumberFormat="1" applyFont="1" applyFill="1" applyBorder="1"/>
    <xf numFmtId="0" fontId="6" fillId="2" borderId="0" xfId="0" applyFont="1" applyFill="1"/>
    <xf numFmtId="0" fontId="11" fillId="2" borderId="0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</cellXfs>
  <cellStyles count="3">
    <cellStyle name="ColLevel_1" xfId="1" builtinId="2" iLevel="0"/>
    <cellStyle name="Normal" xfId="0" builtinId="0"/>
    <cellStyle name="Percent" xfId="2" builtinId="5"/>
  </cellStyles>
  <dxfs count="14"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1" formatCode="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1" formatCode="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nifer" refreshedDate="43091.573683449074" createdVersion="5" refreshedVersion="5" minRefreshableVersion="3" recordCount="111" xr:uid="{00000000-000A-0000-FFFF-FFFF00000000}">
  <cacheSource type="worksheet">
    <worksheetSource ref="A2:AB63" sheet="Hoja1"/>
  </cacheSource>
  <cacheFields count="35">
    <cacheField name="COMPONENTE" numFmtId="0">
      <sharedItems containsBlank="1"/>
    </cacheField>
    <cacheField name="PROVINCIA" numFmtId="0">
      <sharedItems/>
    </cacheField>
    <cacheField name="Número de perfil" numFmtId="0">
      <sharedItems containsBlank="1"/>
    </cacheField>
    <cacheField name="Grupo de licitación" numFmtId="0">
      <sharedItems containsString="0" containsBlank="1" containsNumber="1" containsInteger="1" minValue="1" maxValue="18"/>
    </cacheField>
    <cacheField name="CANTÓN" numFmtId="0">
      <sharedItems count="74">
        <s v="Abangares"/>
        <s v="Acosta"/>
        <s v="Alajuela"/>
        <s v="Alajuelita"/>
        <s v="Alvarado"/>
        <s v="Aserrí"/>
        <s v="Atenas"/>
        <s v="Bagaces"/>
        <s v="Barva y Flores"/>
        <s v="Belén"/>
        <s v="Buenos Aires"/>
        <s v="Cañas"/>
        <s v="Carrillo"/>
        <s v="Cartago"/>
        <s v="Cervantes"/>
        <s v="Colorado"/>
        <s v="Coto Brus"/>
        <s v="Desamparados"/>
        <s v="Dota"/>
        <s v="El Guarco"/>
        <s v="Escazú"/>
        <s v="Esparza"/>
        <s v="Garabito"/>
        <s v="Golfito"/>
        <s v="Grecia"/>
        <s v="Guácimo"/>
        <s v="Guatuso"/>
        <s v="Heredia"/>
        <s v="Hojancha"/>
        <s v="Jiménez"/>
        <s v="La Cruz"/>
        <s v="León Cortés"/>
        <s v="Liberia"/>
        <s v="Los Chiles"/>
        <s v="Matina"/>
        <s v="Montes de Oro"/>
        <s v="Mora"/>
        <s v="Nandayure"/>
        <s v="Naranjo"/>
        <s v="Orotina"/>
        <s v="Osa"/>
        <s v="Palmares y Naranjo"/>
        <s v="Paquera"/>
        <s v="Paraíso"/>
        <s v="Parrita"/>
        <s v="Peñas Blancas"/>
        <s v="Pérez Zeledón"/>
        <s v="Pococí"/>
        <s v="Puntarenas"/>
        <s v="Puriscal"/>
        <s v="Quepos"/>
        <s v="San Carlos"/>
        <s v="San Carlos y San Ramón"/>
        <s v="San Isidro"/>
        <s v="San José"/>
        <s v="San Mateo y San Ramón"/>
        <s v="San Pablo"/>
        <s v="San Rafael"/>
        <s v="San Ramón"/>
        <s v="San Ramón Y San Carlos"/>
        <s v="Santa Bárbara"/>
        <s v="Santa Cruz"/>
        <s v="Santo Domingo"/>
        <s v="Sarapiquí"/>
        <s v="Siquirres"/>
        <s v="Talamanca"/>
        <s v="Tarrazú"/>
        <s v="Tilarán"/>
        <s v="Tucurrique"/>
        <s v="Turrialba"/>
        <s v="Turrubares"/>
        <s v="Upala"/>
        <s v="Valverde Vega"/>
        <s v="Zarcero y San Ramón"/>
      </sharedItems>
    </cacheField>
    <cacheField name="CLASIFICACIÓN" numFmtId="0">
      <sharedItems/>
    </cacheField>
    <cacheField name="TIPO DE PROYECTO" numFmtId="0">
      <sharedItems count="2">
        <s v="Camino"/>
        <s v="Puente"/>
      </sharedItems>
    </cacheField>
    <cacheField name="CÓDIGO" numFmtId="0">
      <sharedItems/>
    </cacheField>
    <cacheField name="Licitable?" numFmtId="0">
      <sharedItems containsBlank="1"/>
    </cacheField>
    <cacheField name="Comentarios 2 (Evaluación económica)" numFmtId="0">
      <sharedItems containsBlank="1" count="3">
        <s v="Evaluación económica HDM-4 lista"/>
        <m/>
        <s v="Evaluación económica con sistema RED"/>
      </sharedItems>
    </cacheField>
    <cacheField name="Comentarios 1 (Perfil - Diseños)" numFmtId="0">
      <sharedItems containsBlank="1"/>
    </cacheField>
    <cacheField name="Comentarios 3 (Afectación Nate)" numFmtId="0">
      <sharedItems containsNonDate="0" containsString="0" containsBlank="1"/>
    </cacheField>
    <cacheField name="Comentarios 4 (Estudios Suelo)" numFmtId="0">
      <sharedItems containsNonDate="0" containsString="0" containsBlank="1"/>
    </cacheField>
    <cacheField name="Comentarios 5 (Diseño)" numFmtId="0">
      <sharedItems containsBlank="1"/>
    </cacheField>
    <cacheField name="TIPO DE LICITACIÓN" numFmtId="0">
      <sharedItems containsNonDate="0" containsString="0" containsBlank="1"/>
    </cacheField>
    <cacheField name="NOMBRE" numFmtId="0">
      <sharedItems longText="1"/>
    </cacheField>
    <cacheField name="Beneficiarios directos" numFmtId="0">
      <sharedItems containsString="0" containsBlank="1" containsNumber="1" containsInteger="1" minValue="157" maxValue="58159"/>
    </cacheField>
    <cacheField name="Beneficiarios indirectos" numFmtId="0">
      <sharedItems containsString="0" containsBlank="1" containsNumber="1" containsInteger="1" minValue="200" maxValue="108910"/>
    </cacheField>
    <cacheField name="Beneficiarios totales" numFmtId="0">
      <sharedItems containsString="0" containsBlank="1" containsNumber="1" containsInteger="1" minValue="0" maxValue="114077"/>
    </cacheField>
    <cacheField name="LONGITUD de camino a intervenir (km)" numFmtId="0">
      <sharedItems containsString="0" containsBlank="1" containsNumber="1" minValue="0.73" maxValue="11.94"/>
    </cacheField>
    <cacheField name="LONGITUD de puente a intervenir (m)" numFmtId="0">
      <sharedItems containsString="0" containsBlank="1" containsNumber="1" minValue="3.66" maxValue="43"/>
    </cacheField>
    <cacheField name="ANCHO (m)" numFmtId="0">
      <sharedItems containsString="0" containsBlank="1" containsNumber="1" minValue="5" maxValue="14"/>
    </cacheField>
    <cacheField name="NÚMERO" numFmtId="0">
      <sharedItems containsNonDate="0" containsString="0" containsBlank="1"/>
    </cacheField>
    <cacheField name="CÓDIGO SEPA" numFmtId="0">
      <sharedItems containsNonDate="0" containsString="0" containsBlank="1"/>
    </cacheField>
    <cacheField name="CÓDIGO CONTRATO BID" numFmtId="0">
      <sharedItems containsNonDate="0" containsString="0" containsBlank="1"/>
    </cacheField>
    <cacheField name="FASE" numFmtId="0">
      <sharedItems containsNonDate="0" containsString="0" containsBlank="1"/>
    </cacheField>
    <cacheField name="FECHA DE PUBLICACIÓN" numFmtId="0">
      <sharedItems containsNonDate="0" containsString="0" containsBlank="1"/>
    </cacheField>
    <cacheField name="mes publicación" numFmtId="0">
      <sharedItems containsNonDate="0" containsString="0" containsBlank="1"/>
    </cacheField>
    <cacheField name="FECHA DE APERTURA" numFmtId="0">
      <sharedItems containsNonDate="0" containsString="0" containsBlank="1"/>
    </cacheField>
    <cacheField name="PRESUPUESTO BID ESTIMADO (OBRA)" numFmtId="4">
      <sharedItems containsString="0" containsBlank="1" containsNumber="1" minValue="47816615.939999998" maxValue="2135349188.6700001"/>
    </cacheField>
    <cacheField name="PRESUPUESTO BID ESTIMADO (REAJUSTES)" numFmtId="0">
      <sharedItems containsString="0" containsBlank="1" containsNumber="1" minValue="13500" maxValue="179738101"/>
    </cacheField>
    <cacheField name="PRESUPUESTO BID ESTIMADO (TOTAL EN COLONES)" numFmtId="4">
      <sharedItems containsString="0" containsBlank="1" containsNumber="1" minValue="47816615.939999998" maxValue="2315087289.6700001"/>
    </cacheField>
    <cacheField name="PRESUPUESTO BID ESTIMADO (TOTAL EN DÓLARES)" numFmtId="4">
      <sharedItems containsString="0" containsBlank="1" containsNumber="1" minValue="87736.909981651377" maxValue="4247866.5865504593"/>
    </cacheField>
    <cacheField name="CONTRAPARTIDA MUNICIPAL " numFmtId="0">
      <sharedItems containsString="0" containsBlank="1" containsNumber="1" minValue="0" maxValue="1926150929.3299999"/>
    </cacheField>
    <cacheField name="MONTO TOTAL DEL PROYECTO" numFmtId="4">
      <sharedItems containsString="0" containsBlank="1" containsNumber="1" minValue="47816615.939999998" maxValue="42412382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s v="Obras"/>
    <s v="Guanacaste"/>
    <s v="I"/>
    <n v="16"/>
    <x v="0"/>
    <s v="Obras"/>
    <x v="0"/>
    <s v="5-07-010-00"/>
    <s v="sí"/>
    <x v="0"/>
    <m/>
    <m/>
    <m/>
    <m/>
    <m/>
    <s v="Mejoramiento de Camino Vecinal C5-07-010-00 (Ent.C.09) San Rafael (Ent.N.606) Cañitas, Cantón de Abangares"/>
    <n v="1223"/>
    <n v="1412"/>
    <n v="2635"/>
    <n v="5.65"/>
    <m/>
    <n v="10"/>
    <m/>
    <m/>
    <m/>
    <m/>
    <m/>
    <m/>
    <m/>
    <n v="433072796.97000003"/>
    <n v="30838120.32"/>
    <n v="463910917.29000002"/>
    <n v="851212.69227522938"/>
    <n v="214527729.78999999"/>
    <n v="678438647.08000004"/>
  </r>
  <r>
    <s v="Obras"/>
    <s v="San José"/>
    <s v="I"/>
    <n v="12"/>
    <x v="1"/>
    <s v="Obras"/>
    <x v="0"/>
    <s v="1-12-002"/>
    <s v="sí"/>
    <x v="0"/>
    <s v="Capa granular, no requiere diseño"/>
    <m/>
    <m/>
    <m/>
    <m/>
    <s v="Mejoramiento de Camino Vecinal Agua Blanca – Bajos de Jorco C1-12-002, De: Agua Blanca (Entronque Ruta Nacional 209) A: Bajos de Jorco (Iglesia Católica), Cantón de Acosta"/>
    <n v="1725"/>
    <n v="6505"/>
    <n v="8230"/>
    <n v="6.8"/>
    <m/>
    <n v="10"/>
    <m/>
    <m/>
    <m/>
    <m/>
    <m/>
    <m/>
    <m/>
    <n v="199781074.98000002"/>
    <n v="14271048.76"/>
    <n v="214052123.74000001"/>
    <n v="392756.19034862384"/>
    <n v="101510948.91"/>
    <n v="315563072.64999998"/>
  </r>
  <r>
    <s v="Obras"/>
    <s v="San José"/>
    <s v="II"/>
    <n v="12"/>
    <x v="1"/>
    <s v="Obras"/>
    <x v="0"/>
    <s v="1-12-001"/>
    <s v="sí"/>
    <x v="0"/>
    <s v="Capa granular, no requiere diseño"/>
    <m/>
    <m/>
    <m/>
    <m/>
    <s v="Mejoramiento de Camino Vecinal San Ignacio - Guaitil C1-12-001, De: Calles Urbanas (Entronque Ruta Cantonal 075) A: Fin de Camino, Cantón de Acosta."/>
    <n v="1620"/>
    <n v="2594"/>
    <n v="4214"/>
    <n v="8.25"/>
    <m/>
    <n v="10"/>
    <m/>
    <m/>
    <m/>
    <m/>
    <m/>
    <m/>
    <m/>
    <n v="275478710.17999995"/>
    <n v="14724657.66"/>
    <n v="290203367.83999997"/>
    <n v="532483.24374311918"/>
    <n v="33739100.619999997"/>
    <n v="323942468.45999998"/>
  </r>
  <r>
    <s v="Obras"/>
    <s v="Alajuela"/>
    <s v="I"/>
    <n v="15"/>
    <x v="2"/>
    <s v="Obras"/>
    <x v="0"/>
    <s v="2-01-001"/>
    <m/>
    <x v="0"/>
    <m/>
    <m/>
    <m/>
    <m/>
    <m/>
    <s v="MEJORAMIENTO DEL SISTEMA DE DRENAJE Y SUPERCIFIE DE RUEDO ASÍ COMO A CONSTRUCCIÓN DE UN PUENTE PEATONAL  DEL CAMINO  C 02-01-001 (ENT.R.1 (PUENTE EL COYOL)) – (ENT.R.3,B.SAN JOSE ARROC.C.R.)."/>
    <n v="8150"/>
    <n v="23150"/>
    <n v="31300"/>
    <n v="3.49"/>
    <m/>
    <n v="13.9"/>
    <m/>
    <m/>
    <m/>
    <m/>
    <m/>
    <m/>
    <m/>
    <n v="2135349188.6700001"/>
    <n v="179738101"/>
    <n v="2315087289.6700001"/>
    <n v="4247866.5865504593"/>
    <n v="1926150929.3299999"/>
    <n v="4241238219"/>
  </r>
  <r>
    <s v="Obras"/>
    <s v="San José"/>
    <m/>
    <m/>
    <x v="3"/>
    <s v="Obras"/>
    <x v="1"/>
    <s v="1-10-029"/>
    <s v="sí"/>
    <x v="1"/>
    <m/>
    <m/>
    <m/>
    <m/>
    <m/>
    <s v="Mejoramiento del Camino 1-10-029, ENT.N.110 ESQ. NE. CEMENTERIO – ENT.C.1-10-001 SAN FELIPE y_x000a_Construcción de Puente sobre Quebrada La Guaria."/>
    <n v="1000"/>
    <n v="37749"/>
    <n v="38749"/>
    <n v="0.753"/>
    <n v="22.5"/>
    <n v="9.6999999999999993"/>
    <m/>
    <m/>
    <m/>
    <m/>
    <m/>
    <m/>
    <m/>
    <n v="211361961.03"/>
    <n v="19306467.41"/>
    <n v="230668428.44"/>
    <n v="423244.82282568805"/>
    <n v="73168508.019999996"/>
    <n v="303836936.45999998"/>
  </r>
  <r>
    <s v="Obras"/>
    <s v="Cartago"/>
    <s v="I"/>
    <n v="11"/>
    <x v="4"/>
    <s v="Obras"/>
    <x v="0"/>
    <s v="3-06-080"/>
    <m/>
    <x v="0"/>
    <m/>
    <m/>
    <m/>
    <m/>
    <m/>
    <s v="Mejoramiento del camino 3-06-080 “(Ent. N.402) San Rafael Irazú - Volcán Turrialba – La Esperanza.”."/>
    <n v="455"/>
    <m/>
    <n v="455"/>
    <n v="2.4"/>
    <m/>
    <n v="8.6999999999999993"/>
    <m/>
    <m/>
    <m/>
    <m/>
    <m/>
    <m/>
    <m/>
    <n v="158464591"/>
    <n v="7011708"/>
    <n v="165476299"/>
    <n v="303626.23669724772"/>
    <m/>
    <n v="165476299"/>
  </r>
  <r>
    <s v="Obras"/>
    <s v="San José"/>
    <s v="I"/>
    <n v="12"/>
    <x v="5"/>
    <s v="Obras"/>
    <x v="0"/>
    <s v="1-06-128-00 y 1-06-129-00"/>
    <m/>
    <x v="0"/>
    <m/>
    <m/>
    <m/>
    <m/>
    <m/>
    <s v="Reconstrucción de la estructura y pavimento del camino principal del distrito Salitrillos_x000a_que comunica Barrio Santa Teresita con Jericó en Desamparados: caminos código C-_x000a_1-06-128-00 y C-1-06-129-00"/>
    <n v="30000"/>
    <m/>
    <n v="30000"/>
    <n v="5"/>
    <m/>
    <m/>
    <m/>
    <m/>
    <m/>
    <m/>
    <m/>
    <m/>
    <m/>
    <n v="382386750.84999996"/>
    <n v="6761258.8600000003"/>
    <n v="389148009.70999998"/>
    <n v="714033.04533944954"/>
    <m/>
    <n v="389148009.70999998"/>
  </r>
  <r>
    <s v="Obras"/>
    <s v="Alajuela"/>
    <m/>
    <m/>
    <x v="6"/>
    <s v="Obras"/>
    <x v="0"/>
    <s v="2-05-013"/>
    <m/>
    <x v="1"/>
    <s v="MAC y TS"/>
    <m/>
    <m/>
    <m/>
    <m/>
    <s v="Refuerzo de la estructura de pavimento mediante la colocación de mezcla asfáltica, recarpeteo, y aplicación de un tratamiento superficial bituminoso TS-3, en el camino 02-05-013"/>
    <n v="2715"/>
    <m/>
    <n v="2715"/>
    <n v="5.75"/>
    <m/>
    <m/>
    <m/>
    <m/>
    <m/>
    <m/>
    <m/>
    <m/>
    <m/>
    <n v="236477695.25"/>
    <m/>
    <n v="236477695.25"/>
    <n v="433904.02798165136"/>
    <n v="48435190.590000004"/>
    <n v="284912885.84000003"/>
  </r>
  <r>
    <s v="Obras"/>
    <s v="Guanacaste"/>
    <s v="I"/>
    <n v="18"/>
    <x v="7"/>
    <s v="Obras"/>
    <x v="0"/>
    <s v="5-04-017"/>
    <s v="sí"/>
    <x v="0"/>
    <s v="Capa granular, no requiere diseño"/>
    <m/>
    <m/>
    <m/>
    <m/>
    <s v="Mejoramiento del camino cantonal C5-04-017De: Escuela Pijije (Ent. RN 01), Hasta: Cruce Zanja del Barro, Cantón de Bagaces"/>
    <n v="480"/>
    <n v="330"/>
    <n v="810"/>
    <n v="1.6"/>
    <m/>
    <n v="10"/>
    <m/>
    <m/>
    <m/>
    <m/>
    <m/>
    <m/>
    <m/>
    <n v="91366742.530000001"/>
    <n v="4701848.88"/>
    <n v="96068591.409999996"/>
    <n v="176272.64478899082"/>
    <m/>
    <n v="96068591.409999996"/>
  </r>
  <r>
    <s v="Obras"/>
    <s v="Guanacaste"/>
    <s v="II"/>
    <n v="18"/>
    <x v="7"/>
    <s v="Obras"/>
    <x v="0"/>
    <s v="5-04-035"/>
    <s v="sí"/>
    <x v="0"/>
    <s v="Capa granular, no requiere diseño"/>
    <m/>
    <m/>
    <m/>
    <m/>
    <s v="Mejoramiento del camino cantonal C5-04-035 (Ent. RN 01 – Llanos de Cortés) Bagaces, Guanacaste"/>
    <n v="400"/>
    <n v="1900"/>
    <n v="2300"/>
    <n v="2.7"/>
    <m/>
    <n v="10"/>
    <m/>
    <m/>
    <m/>
    <m/>
    <m/>
    <m/>
    <m/>
    <n v="211681665.08000001"/>
    <m/>
    <n v="211681665.08000001"/>
    <n v="388406.72491743125"/>
    <m/>
    <n v="211681665.08000001"/>
  </r>
  <r>
    <s v="Obras"/>
    <s v="Guanacaste"/>
    <s v="III"/>
    <m/>
    <x v="7"/>
    <s v="Obras"/>
    <x v="0"/>
    <s v="5-04-004"/>
    <m/>
    <x v="2"/>
    <s v="MAC"/>
    <m/>
    <m/>
    <m/>
    <m/>
    <s v="Mejoramiento a carpeta asfáltica en el camino código 5-04-004  De (Ent.  N. 165) Iglesia Católica Fortuna,  A (Ent. N. 164) Barrio Miravalles, Guayabo,  del inventario de la red vial del cantón de Bagaces, entre los distritos Fortuna y Guayabo"/>
    <n v="625"/>
    <n v="6436"/>
    <n v="7061"/>
    <n v="4.4320000000000004"/>
    <m/>
    <n v="8.4"/>
    <m/>
    <m/>
    <m/>
    <m/>
    <m/>
    <m/>
    <m/>
    <n v="347314900"/>
    <n v="40882900"/>
    <n v="388197800"/>
    <n v="712289.54128440365"/>
    <m/>
    <n v="388197800"/>
  </r>
  <r>
    <s v="Obras"/>
    <s v="Heredia"/>
    <m/>
    <m/>
    <x v="8"/>
    <s v="Obras"/>
    <x v="0"/>
    <s v="4-02-017 y 4-08-009"/>
    <m/>
    <x v="1"/>
    <s v="MAC"/>
    <m/>
    <m/>
    <m/>
    <m/>
    <s v="Mejoramiento de la superficie de ruedo y desalojo pluvial, de los caminos conocidos como Lajas C 4 02 017 (Municipalidad de Barva), y Calle Barrantes C 4 08 007, Calle Maderos C 4 08 009, Calle Vico Ruiz C 4 08 008 (Municipalidad de Flores)"/>
    <n v="14023"/>
    <m/>
    <n v="14023"/>
    <n v="1.7869999999999999"/>
    <m/>
    <m/>
    <m/>
    <m/>
    <m/>
    <m/>
    <m/>
    <m/>
    <m/>
    <n v="320945208"/>
    <n v="21616385"/>
    <n v="342561593"/>
    <n v="628553.38165137614"/>
    <m/>
    <n v="342561593"/>
  </r>
  <r>
    <s v="Obras"/>
    <s v="Heredia"/>
    <m/>
    <m/>
    <x v="9"/>
    <s v="Obras"/>
    <x v="0"/>
    <s v="4-07-039"/>
    <m/>
    <x v="1"/>
    <s v="MAC"/>
    <m/>
    <m/>
    <m/>
    <m/>
    <s v="Mejoramiento del sistema de drenaje y superficie de ruedo en el camino 4-07-039 de Bodega Abonos Agro – Calle Escobal a Río Burío"/>
    <n v="1127"/>
    <n v="1262"/>
    <n v="2389"/>
    <n v="0.73"/>
    <m/>
    <m/>
    <m/>
    <m/>
    <m/>
    <m/>
    <m/>
    <m/>
    <m/>
    <n v="155438675"/>
    <n v="9078175"/>
    <n v="164516850"/>
    <n v="301865.77981651376"/>
    <m/>
    <n v="164516850"/>
  </r>
  <r>
    <s v="Obras"/>
    <s v="Puntarenas"/>
    <s v="II"/>
    <n v="1"/>
    <x v="10"/>
    <s v="Obras"/>
    <x v="0"/>
    <s v="6-03-027"/>
    <m/>
    <x v="0"/>
    <m/>
    <m/>
    <m/>
    <m/>
    <m/>
    <s v="Refuerzo de la estructura de pavimento mediante la colocación de base de agregados y aplicación de un tratamiento superficial bituminoso E-61 en 6 km del camino 6-03-027"/>
    <n v="2329"/>
    <m/>
    <n v="2329"/>
    <n v="6"/>
    <m/>
    <m/>
    <m/>
    <m/>
    <m/>
    <m/>
    <m/>
    <m/>
    <m/>
    <n v="297188815.62"/>
    <n v="14800000"/>
    <n v="311988815.62"/>
    <n v="572456.54242201836"/>
    <m/>
    <n v="311988815.62"/>
  </r>
  <r>
    <s v="Obras"/>
    <s v="Puntarenas"/>
    <s v="III"/>
    <n v="1"/>
    <x v="10"/>
    <s v="Obras"/>
    <x v="0"/>
    <s v="6-03-008"/>
    <m/>
    <x v="0"/>
    <m/>
    <m/>
    <m/>
    <m/>
    <m/>
    <s v="Refuerzo de la estructura de pavimento mediante la colocación de subbase y base de agregados y aplicación de un tratamiento superficial bituminoso E-61 en el camino 6-03-008"/>
    <n v="4181"/>
    <m/>
    <n v="4181"/>
    <n v="7.9"/>
    <m/>
    <m/>
    <m/>
    <m/>
    <m/>
    <m/>
    <m/>
    <m/>
    <m/>
    <n v="702259095.83000004"/>
    <n v="35697000"/>
    <n v="737956095.83000004"/>
    <n v="1354047.8822568809"/>
    <m/>
    <n v="737956095.83000004"/>
  </r>
  <r>
    <s v="Obras"/>
    <s v="Puntarenas"/>
    <s v="IV"/>
    <n v="1"/>
    <x v="10"/>
    <s v="Obras"/>
    <x v="0"/>
    <s v="6-03-035"/>
    <m/>
    <x v="0"/>
    <m/>
    <m/>
    <m/>
    <m/>
    <m/>
    <s v="Refuerzo de la estructura de pavimento mediante la colocación de subbase y base de agregados y aplicación de un tratamiento superficial bituminoso E-61 en el camino 6-03-035"/>
    <n v="1337"/>
    <m/>
    <n v="1337"/>
    <n v="2.8"/>
    <m/>
    <m/>
    <m/>
    <m/>
    <m/>
    <m/>
    <m/>
    <m/>
    <m/>
    <n v="268894656.33999997"/>
    <n v="13500"/>
    <n v="268908156.33999997"/>
    <n v="493409.46117431187"/>
    <m/>
    <n v="268908156.33999997"/>
  </r>
  <r>
    <s v="Obras"/>
    <s v="Puntarenas"/>
    <s v="I"/>
    <n v="4"/>
    <x v="10"/>
    <s v="Obras"/>
    <x v="0"/>
    <s v="6-03-012"/>
    <m/>
    <x v="0"/>
    <m/>
    <m/>
    <m/>
    <m/>
    <m/>
    <s v="Mejoramiento del camino 6-03-012 De: (ENT.N.237) Paso Real - Chánguena, San Luis A: Río Limón, Límite Cantonal Coto Brus"/>
    <n v="1450"/>
    <n v="6450"/>
    <n v="7900"/>
    <n v="10"/>
    <m/>
    <n v="9.89"/>
    <m/>
    <m/>
    <m/>
    <m/>
    <m/>
    <m/>
    <m/>
    <n v="552891607.36000001"/>
    <n v="25596834"/>
    <n v="578488441.36000001"/>
    <n v="1061446.6813944955"/>
    <m/>
    <n v="578488441.36000001"/>
  </r>
  <r>
    <s v="Obras"/>
    <s v="Guanacaste"/>
    <s v="I"/>
    <n v="16"/>
    <x v="11"/>
    <s v="Obras"/>
    <x v="0"/>
    <s v="5-06-011"/>
    <s v="sí"/>
    <x v="0"/>
    <s v="Capa granular, no requiere diseño"/>
    <m/>
    <m/>
    <m/>
    <m/>
    <s v="Mejoramiento de Camino Vecinal Ruta 1 - HotelC5-06-011, De: Entronque Ruta Nacional 1 A: Hotel (Entronque de Caminos Vecinales C5-06-049 y C5-06-065), Cantón de Cañas"/>
    <n v="660"/>
    <n v="3714"/>
    <n v="4374"/>
    <n v="7.2"/>
    <m/>
    <n v="10"/>
    <m/>
    <m/>
    <m/>
    <m/>
    <m/>
    <m/>
    <m/>
    <n v="307050674.10000002"/>
    <m/>
    <n v="307050674.10000002"/>
    <n v="563395.73229357798"/>
    <m/>
    <n v="307050674.10000002"/>
  </r>
  <r>
    <s v="Obras"/>
    <s v="Guanacaste"/>
    <s v="II"/>
    <m/>
    <x v="12"/>
    <s v="Obras"/>
    <x v="1"/>
    <s v="5-05-007-01"/>
    <m/>
    <x v="1"/>
    <m/>
    <m/>
    <m/>
    <m/>
    <m/>
    <s v="Construcción de  Puente Vehicular sobre Quebrada Loma Bonita, Código  C5-05-007-001, Camino Belén - San Blas, Distrito de Belén, Cantón de Carrillo"/>
    <n v="500"/>
    <n v="1500"/>
    <n v="2000"/>
    <m/>
    <n v="12"/>
    <n v="9.6999999999999993"/>
    <m/>
    <m/>
    <m/>
    <m/>
    <m/>
    <m/>
    <m/>
    <n v="170748652.10000002"/>
    <n v="8130888.2000000002"/>
    <n v="178879540.30000001"/>
    <n v="328219.34000000003"/>
    <m/>
    <n v="178879540.30000001"/>
  </r>
  <r>
    <s v="Obras"/>
    <s v="Guanacaste"/>
    <s v="I"/>
    <m/>
    <x v="12"/>
    <s v="Obras"/>
    <x v="1"/>
    <s v="5-05-030-03"/>
    <m/>
    <x v="1"/>
    <m/>
    <m/>
    <m/>
    <m/>
    <m/>
    <s v="Construcción de  Puente Vehicular sobre Río Santa Ana, Código  C5-05-030-03, Camino La Guanislama, Distrito de Belén, Cantón de Carrillo."/>
    <n v="400"/>
    <n v="1000"/>
    <n v="1400"/>
    <m/>
    <n v="22.5"/>
    <n v="9.6999999999999993"/>
    <m/>
    <m/>
    <m/>
    <m/>
    <m/>
    <m/>
    <m/>
    <n v="300553391.10000002"/>
    <n v="14057320"/>
    <n v="314610711.10000002"/>
    <n v="577267.35981651384"/>
    <m/>
    <n v="314610711.10000002"/>
  </r>
  <r>
    <s v="Obras"/>
    <s v="Cartago"/>
    <s v="I"/>
    <m/>
    <x v="13"/>
    <s v="Obras"/>
    <x v="0"/>
    <s v="3-01-050"/>
    <m/>
    <x v="2"/>
    <s v="Losa concreto y MAC"/>
    <m/>
    <m/>
    <m/>
    <m/>
    <s v="Mejoramiento de la superficie de ruedo y del sistema de drenaje del camino no. 3-01-050."/>
    <n v="2390"/>
    <n v="32852"/>
    <n v="35242"/>
    <n v="2.8"/>
    <m/>
    <n v="7.2"/>
    <m/>
    <m/>
    <m/>
    <m/>
    <m/>
    <m/>
    <m/>
    <n v="830244800.4000001"/>
    <n v="46753283.049999997"/>
    <n v="876998083.45000005"/>
    <n v="1609170.7953211011"/>
    <n v="179626113.47999999"/>
    <n v="1056624196.9300001"/>
  </r>
  <r>
    <s v="Obras"/>
    <s v="Cartago"/>
    <m/>
    <m/>
    <x v="14"/>
    <s v="Obras"/>
    <x v="0"/>
    <s v="3-06-058"/>
    <m/>
    <x v="1"/>
    <s v="TS"/>
    <m/>
    <m/>
    <m/>
    <m/>
    <s v="Mejoramiento del Camino C-03-06-058 mediante colocación de un tratamiento superficial bituminoso tipo TS-3 en 1,1 km desde: La Fuente, Hasta: (Ent. C.22) Las Aguas y mejoramiento del sistema de drenaje"/>
    <n v="300"/>
    <n v="200"/>
    <n v="500"/>
    <n v="1.1000000000000001"/>
    <m/>
    <n v="5"/>
    <m/>
    <m/>
    <m/>
    <m/>
    <m/>
    <m/>
    <m/>
    <n v="58535000"/>
    <m/>
    <n v="58535000"/>
    <n v="107403.66972477065"/>
    <n v="12000000"/>
    <n v="70535000"/>
  </r>
  <r>
    <s v="Obras"/>
    <s v="Guanacaste"/>
    <s v="I"/>
    <m/>
    <x v="15"/>
    <s v="Obras"/>
    <x v="0"/>
    <s v="5-07-084"/>
    <s v="sí"/>
    <x v="2"/>
    <s v="MAC. Perfil indica TS"/>
    <m/>
    <m/>
    <s v="Diseño en elaboración por JCB"/>
    <m/>
    <s v="Mejoramiento del Sistema de Drenaje, colocación de base y Tratamiento Superficial Bituminoso (TSB-3) del Camino 5-07-084 (ENT.N.601) Colorado Centro a Muelle Conchal (fin de camino)"/>
    <n v="1150"/>
    <n v="5415"/>
    <n v="6565"/>
    <n v="1.1000000000000001"/>
    <m/>
    <n v="14"/>
    <m/>
    <m/>
    <m/>
    <m/>
    <m/>
    <m/>
    <m/>
    <n v="86187064.950000003"/>
    <m/>
    <n v="86187064.950000003"/>
    <n v="158141.40357798166"/>
    <m/>
    <n v="86187064.950000003"/>
  </r>
  <r>
    <s v="Obras"/>
    <s v="Puntarenas"/>
    <s v="I"/>
    <n v="3"/>
    <x v="16"/>
    <s v="Obras"/>
    <x v="0"/>
    <s v="6-08-012"/>
    <m/>
    <x v="0"/>
    <m/>
    <m/>
    <m/>
    <m/>
    <m/>
    <s v="Mejoramiento del camino 6-08-012 (Ent.N.617) La Ceiba-Sabalito a Límite Costa Rica - Panamá"/>
    <n v="10984"/>
    <m/>
    <n v="10984"/>
    <n v="5.78"/>
    <m/>
    <m/>
    <m/>
    <m/>
    <m/>
    <m/>
    <m/>
    <m/>
    <m/>
    <n v="591473359"/>
    <n v="27638942"/>
    <n v="619112301"/>
    <n v="1135985.8733944953"/>
    <m/>
    <n v="619112301"/>
  </r>
  <r>
    <s v="Obras"/>
    <s v="Puntarenas"/>
    <s v="II"/>
    <m/>
    <x v="16"/>
    <s v="Obras"/>
    <x v="1"/>
    <s v="6-08-012"/>
    <s v="sí"/>
    <x v="2"/>
    <m/>
    <m/>
    <m/>
    <m/>
    <m/>
    <s v="Construcción de un puente de dos vías y 15 m de luz sobre el río Sabalito en el_x000a_camino cantonal C 6-08-012 de (Ent.N.617) La Ceiba-Sabalito a Límite Panamá-_x000a_Costa Rica"/>
    <n v="20000"/>
    <n v="45000"/>
    <n v="65000"/>
    <m/>
    <n v="15"/>
    <n v="9.6999999999999993"/>
    <m/>
    <m/>
    <m/>
    <m/>
    <m/>
    <m/>
    <m/>
    <n v="155052173.00999999"/>
    <n v="7752600"/>
    <n v="162804773.00999999"/>
    <n v="298724.35414678894"/>
    <m/>
    <n v="162804773.00999999"/>
  </r>
  <r>
    <s v="Obras"/>
    <s v="San José"/>
    <s v="I"/>
    <n v="13"/>
    <x v="17"/>
    <s v="Obras"/>
    <x v="0"/>
    <s v="1-03-140"/>
    <m/>
    <x v="0"/>
    <m/>
    <m/>
    <m/>
    <m/>
    <m/>
    <s v="Mejoramiento del sistema de drenaje y superficie de ruedo en el camino Calle Lajas C-1-003-140 DE: Calles urbanas cuadrantes HASTA: Calle Lajas"/>
    <n v="477"/>
    <n v="2556"/>
    <n v="3033"/>
    <n v="1.7"/>
    <n v="6"/>
    <m/>
    <m/>
    <m/>
    <m/>
    <m/>
    <m/>
    <m/>
    <m/>
    <n v="220503758.42000002"/>
    <n v="12470178.42"/>
    <n v="232973936.84"/>
    <n v="427475.1134678899"/>
    <m/>
    <n v="232973936.84"/>
  </r>
  <r>
    <s v="Obras"/>
    <s v="San José"/>
    <s v="III"/>
    <n v="14"/>
    <x v="17"/>
    <s v="Obras"/>
    <x v="0"/>
    <s v="1-03-011 y 1-03-017"/>
    <m/>
    <x v="0"/>
    <m/>
    <m/>
    <m/>
    <m/>
    <m/>
    <s v="Mejoramiento del sistema de drenaje y superficie de ruedo en el camino Calle Leiva C-1-003-011 y Calle La_x000a_Violeta DE: Ent. RN 222 (Iglesia Católica San Cristóbal Sur), HASTA: Limite con Rio San Cristóbal Calle La_x000a_Violeta"/>
    <n v="8660"/>
    <n v="824"/>
    <n v="9484"/>
    <n v="2.6"/>
    <m/>
    <m/>
    <m/>
    <m/>
    <m/>
    <m/>
    <m/>
    <m/>
    <m/>
    <n v="239114677.59999999"/>
    <n v="15534965.6"/>
    <n v="254649643.19999999"/>
    <n v="467247.05174311926"/>
    <m/>
    <n v="254649643.19999999"/>
  </r>
  <r>
    <s v="Obras"/>
    <s v="San José"/>
    <s v="II"/>
    <m/>
    <x v="17"/>
    <s v="Obras"/>
    <x v="0"/>
    <s v="1-03-058"/>
    <m/>
    <x v="2"/>
    <s v="MAC"/>
    <m/>
    <m/>
    <m/>
    <m/>
    <s v="Mejoramiento del sistema de drenaje y superficie de ruedo en el camino Calle Jacobo cuyo código de camino_x000a_es C-1-003-058 DE: DE: Ent. C 53 El Rosario Calle Méndez, HASTA: Pte. Rio Alumbre C Hidalgo Jacobo"/>
    <n v="4660"/>
    <n v="748"/>
    <n v="5408"/>
    <n v="1.1499999999999999"/>
    <n v="3.66"/>
    <n v="5"/>
    <m/>
    <m/>
    <m/>
    <m/>
    <m/>
    <m/>
    <m/>
    <n v="137139407.5"/>
    <n v="7156297.5"/>
    <n v="144295705"/>
    <n v="264762.76146788988"/>
    <m/>
    <n v="144295705"/>
  </r>
  <r>
    <s v="Obras"/>
    <s v="San José"/>
    <s v="I"/>
    <m/>
    <x v="18"/>
    <s v="Obras"/>
    <x v="0"/>
    <s v="1-17-037"/>
    <s v="sí"/>
    <x v="1"/>
    <m/>
    <m/>
    <m/>
    <m/>
    <m/>
    <s v="Rehabilitación del sistema de drenaje, mejoramiento y mantenimiento de la superficie de ruedo del camino 1-17-037 San Gerardo de Dota de Ent N.02 a fin de camino"/>
    <n v="162"/>
    <n v="20000"/>
    <n v="20162"/>
    <n v="10.7"/>
    <m/>
    <n v="5"/>
    <m/>
    <m/>
    <m/>
    <m/>
    <m/>
    <m/>
    <m/>
    <n v="293719066.21999997"/>
    <n v="3510431.73"/>
    <n v="297229497.94999999"/>
    <n v="545375.22559633025"/>
    <m/>
    <n v="297229497.94999999"/>
  </r>
  <r>
    <s v="Obras"/>
    <s v="San José"/>
    <s v="II"/>
    <m/>
    <x v="18"/>
    <s v="Obras"/>
    <x v="0"/>
    <s v="1-17-003, 1-17-009 y 1-17-013"/>
    <m/>
    <x v="1"/>
    <m/>
    <m/>
    <m/>
    <m/>
    <m/>
    <s v="Rehabilitación del sistema de drenaje, mejoramiento y mantenimiento de la superficie de ruedo de los caminos 1-17-003, San Joaquín, 1-17-009 El Cedral y 1-17-013 Nubotrópica."/>
    <n v="4961"/>
    <n v="2039"/>
    <n v="7000"/>
    <n v="6.5650000000000004"/>
    <m/>
    <m/>
    <m/>
    <m/>
    <m/>
    <m/>
    <m/>
    <m/>
    <m/>
    <n v="684380849.75999999"/>
    <n v="32589564.27"/>
    <n v="716970414.02999997"/>
    <n v="1315542.044091743"/>
    <m/>
    <n v="716970414.02999997"/>
  </r>
  <r>
    <s v="Obras"/>
    <s v="Cartago"/>
    <s v="I"/>
    <m/>
    <x v="19"/>
    <s v="Obras"/>
    <x v="0"/>
    <s v="3-08-001 y 3-08-022"/>
    <m/>
    <x v="2"/>
    <m/>
    <m/>
    <m/>
    <m/>
    <m/>
    <s v="Mejoramiento del sistema de drenaje y de la superficie de ruedo de los Caminos Cantonales C-3-08-001 y C-3-08-022, Patio de Agua a Caragral"/>
    <n v="412"/>
    <m/>
    <n v="412"/>
    <n v="3.4"/>
    <m/>
    <m/>
    <m/>
    <m/>
    <m/>
    <m/>
    <m/>
    <m/>
    <m/>
    <n v="252901959.66"/>
    <m/>
    <n v="252901959.66"/>
    <n v="464040.29295412841"/>
    <m/>
    <n v="252901959.66"/>
  </r>
  <r>
    <s v="Obras"/>
    <s v="Cartago"/>
    <s v="II"/>
    <m/>
    <x v="19"/>
    <s v="Obras"/>
    <x v="0"/>
    <s v="3-08-016"/>
    <m/>
    <x v="1"/>
    <m/>
    <m/>
    <m/>
    <m/>
    <m/>
    <s v="Mejoramiento del sistema de drenaje y de la superficie de ruedo del camino 3-08-016, Tobosi Tablón"/>
    <n v="400"/>
    <n v="6556"/>
    <n v="6956"/>
    <n v="1.25"/>
    <m/>
    <m/>
    <m/>
    <m/>
    <m/>
    <m/>
    <m/>
    <m/>
    <m/>
    <n v="210660952.5"/>
    <n v="12354352.5"/>
    <n v="223015305"/>
    <n v="409202.39449541282"/>
    <m/>
    <n v="223015305"/>
  </r>
  <r>
    <s v="Obras"/>
    <s v="San José"/>
    <m/>
    <m/>
    <x v="20"/>
    <s v="Obras"/>
    <x v="0"/>
    <s v="1-02-137"/>
    <m/>
    <x v="1"/>
    <m/>
    <m/>
    <m/>
    <m/>
    <m/>
    <s v="Mejoramiento del sistema de drenaje y superficie de ruedo en el camino 1-02-137 Entronque Cuadrante en el Jardín (Ent.C.247) a límite Santa Ana, conocida como Calle Masilla Bebedero"/>
    <n v="1196"/>
    <n v="1480"/>
    <n v="2676"/>
    <n v="1.08"/>
    <m/>
    <n v="5.5"/>
    <m/>
    <m/>
    <m/>
    <m/>
    <m/>
    <m/>
    <m/>
    <n v="445965606"/>
    <n v="25838100"/>
    <n v="471803706"/>
    <n v="865694.87339449546"/>
    <n v="96634494"/>
    <n v="568438200"/>
  </r>
  <r>
    <s v="Obras"/>
    <s v="Puntarenas"/>
    <s v="I"/>
    <n v="2"/>
    <x v="21"/>
    <s v="Obras"/>
    <x v="0"/>
    <s v="6-02-007"/>
    <m/>
    <x v="0"/>
    <m/>
    <m/>
    <m/>
    <m/>
    <m/>
    <s v="Mejoramiento de la Superficie de Rodamiento y Construcción de Cunetas revestidas en el Camino Código 6-02-007 Ent N 622 Juanilama- Ent 009 Humo."/>
    <n v="600"/>
    <n v="1000"/>
    <n v="1600"/>
    <n v="2"/>
    <m/>
    <m/>
    <m/>
    <m/>
    <m/>
    <m/>
    <m/>
    <m/>
    <m/>
    <n v="172374244.98000002"/>
    <n v="8208297.3799999999"/>
    <n v="180582542.36000001"/>
    <n v="331344.11442201835"/>
    <m/>
    <n v="180582542.36000001"/>
  </r>
  <r>
    <s v="Obras"/>
    <s v="Puntarenas"/>
    <s v="II"/>
    <n v="2"/>
    <x v="21"/>
    <s v="Obras"/>
    <x v="0"/>
    <s v="6-02-009"/>
    <m/>
    <x v="0"/>
    <m/>
    <m/>
    <m/>
    <m/>
    <m/>
    <s v="Mejoramiento de la Superficie de Rodamiento y rehabilitación sistema de drenaje en el Camino Código 6-02-009 Cementerio Esparza-Ent N 622 Jocote."/>
    <n v="600"/>
    <n v="1000"/>
    <n v="1600"/>
    <n v="2.5"/>
    <m/>
    <m/>
    <m/>
    <m/>
    <m/>
    <m/>
    <m/>
    <m/>
    <m/>
    <n v="227407215"/>
    <n v="10828915"/>
    <n v="238236130"/>
    <n v="437130.51376146788"/>
    <m/>
    <n v="238236130"/>
  </r>
  <r>
    <s v="Obras"/>
    <s v="Puntarenas"/>
    <s v="I"/>
    <n v="2"/>
    <x v="22"/>
    <s v="Obras"/>
    <x v="0"/>
    <s v="6-11-022"/>
    <m/>
    <x v="0"/>
    <m/>
    <m/>
    <m/>
    <m/>
    <m/>
    <s v="Mejoramiento de la estructura de pavimento con la colocación de capa granular, Tratamiento Superficial Bituminoso y sistema de drenaje en 5.28Km"/>
    <n v="440"/>
    <n v="5000"/>
    <n v="5440"/>
    <n v="5.28"/>
    <m/>
    <n v="8.85"/>
    <m/>
    <m/>
    <m/>
    <m/>
    <m/>
    <m/>
    <m/>
    <n v="477506732.19"/>
    <n v="18000000"/>
    <n v="495506732.19"/>
    <n v="909186.66456880735"/>
    <m/>
    <n v="495506732.19"/>
  </r>
  <r>
    <s v="Obras"/>
    <s v="Puntarenas"/>
    <s v="I"/>
    <m/>
    <x v="23"/>
    <s v="Obras"/>
    <x v="0"/>
    <s v="6-07-006"/>
    <m/>
    <x v="1"/>
    <m/>
    <m/>
    <m/>
    <m/>
    <m/>
    <s v="Rehabilitación del sistema de drenaje, colocación de base de agregados pétreos, y colocación de capa de concreto asfáltico en el Camino C. 6-07-006 (Ent. N.611) Conte - La Virgen, a Entrada Barrio Langostino"/>
    <n v="500"/>
    <n v="2900"/>
    <n v="3400"/>
    <n v="8"/>
    <m/>
    <m/>
    <m/>
    <m/>
    <m/>
    <m/>
    <m/>
    <m/>
    <m/>
    <n v="593966654"/>
    <n v="34412900"/>
    <n v="628379554"/>
    <n v="1152990.0073394496"/>
    <n v="128704246"/>
    <n v="757083800"/>
  </r>
  <r>
    <s v="Obras"/>
    <s v="Puntarenas"/>
    <s v="II"/>
    <m/>
    <x v="23"/>
    <s v="Obras"/>
    <x v="0"/>
    <s v="6-07-007"/>
    <m/>
    <x v="1"/>
    <m/>
    <m/>
    <m/>
    <s v="Diseño de D'Geosoluciones"/>
    <m/>
    <s v="Rehabilitación del Sistema de Drenajes, Colocación de Sub base, Base y Aplicación de Tratamiento Superficial Bituminoso Múltiple (TSB 3) del Camino (Ent.N.611) Cruce de Conte – Puente Rio Conte (Limite con Corredores). Código 6-07-007"/>
    <m/>
    <m/>
    <n v="0"/>
    <n v="10.8"/>
    <m/>
    <m/>
    <m/>
    <m/>
    <m/>
    <m/>
    <m/>
    <m/>
    <m/>
    <n v="355558961.95999998"/>
    <n v="27090206.629999999"/>
    <n v="382649168.58999997"/>
    <n v="702108.56622018339"/>
    <m/>
    <n v="382649168.58999997"/>
  </r>
  <r>
    <s v="Obras"/>
    <s v="Alajuela"/>
    <s v="I"/>
    <n v="6"/>
    <x v="24"/>
    <s v="Obras"/>
    <x v="0"/>
    <s v="2-03-052"/>
    <s v="sí"/>
    <x v="0"/>
    <m/>
    <m/>
    <m/>
    <m/>
    <m/>
    <s v="Mejoramiento en 6.86 km del camino 2-03-052 (Ent. C.045) Carrizal Y Griega– San Gerardo-Límite provincial, mediante el refuerzo de la estructura de pavimento, la construcción de una carpeta de concreto_x000a_asfáltico en caliente"/>
    <n v="598"/>
    <n v="11074"/>
    <n v="11672"/>
    <n v="6.86"/>
    <m/>
    <n v="9.5"/>
    <m/>
    <m/>
    <m/>
    <m/>
    <m/>
    <m/>
    <m/>
    <n v="687078536"/>
    <n v="20011900"/>
    <n v="707090436"/>
    <n v="1297413.6440366972"/>
    <m/>
    <n v="707090436"/>
  </r>
  <r>
    <s v="Obras"/>
    <s v="Alajuela"/>
    <s v="II"/>
    <m/>
    <x v="24"/>
    <s v="Obras"/>
    <x v="1"/>
    <s v="2-03-089"/>
    <s v="sí"/>
    <x v="1"/>
    <m/>
    <m/>
    <m/>
    <s v="Planos listos por J. Jiménez"/>
    <m/>
    <s v="Construcción de un puente de dos vías y 12 m de luz sobre el río Agualote en el camino cantonal 2-03-089 (desde: ent. n. 118) Barrio Latino, hasta: (ent. c. 11) calle Carmona), distrito de San Roque"/>
    <n v="2901"/>
    <m/>
    <n v="2901"/>
    <m/>
    <n v="12"/>
    <n v="9.6999999999999993"/>
    <m/>
    <m/>
    <m/>
    <m/>
    <m/>
    <m/>
    <m/>
    <n v="191762344.59999999"/>
    <n v="11101376"/>
    <n v="202863720.59999999"/>
    <n v="372227.01027522935"/>
    <m/>
    <n v="202863720.59999999"/>
  </r>
  <r>
    <s v="Obras"/>
    <s v="Limón"/>
    <m/>
    <m/>
    <x v="25"/>
    <s v="Obras"/>
    <x v="1"/>
    <s v="7-06-018-00"/>
    <s v="sí"/>
    <x v="1"/>
    <m/>
    <m/>
    <m/>
    <s v="Planos listos por J. Jiménez"/>
    <m/>
    <s v="Construcción del puente Cartagena sobre el río Platanar, en el camino C.7- 06- 018-00, (Ent. N.248) San Luis a (Ent. N.248) Carambola"/>
    <n v="530"/>
    <n v="6750"/>
    <n v="7280"/>
    <m/>
    <n v="22.5"/>
    <n v="9.6999999999999993"/>
    <m/>
    <m/>
    <m/>
    <m/>
    <m/>
    <m/>
    <m/>
    <n v="281118088.19999999"/>
    <n v="12962714.050000001"/>
    <n v="294080802.25"/>
    <n v="539597.80229357793"/>
    <m/>
    <n v="294080802.25"/>
  </r>
  <r>
    <s v="Obras"/>
    <s v="Alajuela"/>
    <s v="I"/>
    <n v="5"/>
    <x v="26"/>
    <s v="Obras"/>
    <x v="0"/>
    <s v="2-15-104"/>
    <m/>
    <x v="0"/>
    <m/>
    <m/>
    <m/>
    <m/>
    <m/>
    <s v="Mejoramiento en 6.2 kilómetros en el camino cantonal con código 2-15-104 (De: (ENTR. C. 025 y ENT. C. 102) Río Celeste, Plaza - A: Límite cantonal Guatuso – Upala), mediante la construcción de una carpeta de concreto asfáltico en caliente"/>
    <n v="2897"/>
    <n v="5700"/>
    <n v="8597"/>
    <n v="6.2"/>
    <m/>
    <n v="9.5"/>
    <m/>
    <m/>
    <m/>
    <m/>
    <m/>
    <m/>
    <m/>
    <n v="474572360"/>
    <n v="13559200"/>
    <n v="488131560"/>
    <n v="895654.23853211012"/>
    <m/>
    <n v="488131560"/>
  </r>
  <r>
    <s v="Obras"/>
    <s v="Heredia"/>
    <s v="I"/>
    <n v="14"/>
    <x v="27"/>
    <s v="Obras"/>
    <x v="0"/>
    <s v="4-01-200"/>
    <m/>
    <x v="0"/>
    <m/>
    <m/>
    <m/>
    <m/>
    <m/>
    <s v="Rehabilitación de la superficie de ruedo y sistemas de drenaje del camino 4-01-200, de:( Ent. 03) a: límite_x000a_provincial con Alajuela, conocido como La Legua"/>
    <n v="700"/>
    <n v="15543"/>
    <n v="16243"/>
    <n v="5.29"/>
    <m/>
    <m/>
    <m/>
    <m/>
    <m/>
    <m/>
    <m/>
    <m/>
    <m/>
    <n v="467042584.10000002"/>
    <n v="22325252"/>
    <n v="489367836.10000002"/>
    <n v="897922.6350458716"/>
    <m/>
    <n v="489367836.10000002"/>
  </r>
  <r>
    <s v="Obras"/>
    <s v="Guanacaste"/>
    <s v="I"/>
    <n v="17"/>
    <x v="28"/>
    <s v="Obras"/>
    <x v="0"/>
    <s v="5-11-018"/>
    <s v="sí"/>
    <x v="0"/>
    <s v="Capa granular, no requiere diseño"/>
    <m/>
    <m/>
    <m/>
    <m/>
    <s v="Mejoramiento de Camino Vecinal Huacas C5-11-018, De: Hojancha (Entronque Ruta Cantona 024) A: Est. 5+000, Cantón de Hojancha"/>
    <n v="615"/>
    <n v="1500"/>
    <n v="2115"/>
    <n v="5"/>
    <m/>
    <n v="10"/>
    <m/>
    <m/>
    <m/>
    <m/>
    <m/>
    <m/>
    <m/>
    <n v="260620553.05000001"/>
    <m/>
    <n v="260620553.05000001"/>
    <n v="478202.84963302757"/>
    <m/>
    <n v="260620553.05000001"/>
  </r>
  <r>
    <s v="Obras"/>
    <s v="Cartago"/>
    <s v="II"/>
    <n v="11"/>
    <x v="29"/>
    <s v="Obras"/>
    <x v="0"/>
    <s v="3-04-094"/>
    <m/>
    <x v="0"/>
    <m/>
    <m/>
    <m/>
    <m/>
    <m/>
    <s v="Rehabilitación del sistema de drenaje y de la superficie de ruedo del Camino C-03-04-094, (Entr. N.408) Pejibaye – Fca. Juan Cal"/>
    <n v="157"/>
    <n v="8117"/>
    <n v="8274"/>
    <n v="1.1000000000000001"/>
    <m/>
    <m/>
    <m/>
    <m/>
    <m/>
    <m/>
    <m/>
    <m/>
    <m/>
    <n v="96777074.829999998"/>
    <n v="10000000"/>
    <n v="106777074.83"/>
    <n v="195921.23822018347"/>
    <m/>
    <n v="106777074.83"/>
  </r>
  <r>
    <s v="Obras"/>
    <s v="Cartago"/>
    <s v="I"/>
    <m/>
    <x v="29"/>
    <s v="Obras"/>
    <x v="0"/>
    <s v="3-04-102"/>
    <m/>
    <x v="2"/>
    <m/>
    <m/>
    <m/>
    <m/>
    <m/>
    <s v="Rehabilitación del sistema de drenaje y mejoramiento de la superficie de ruedo del camino C-03-04-102, (Ent. N.10) Ermita Qda. Honda a Límite Capellades-C. El Callejón"/>
    <n v="329"/>
    <n v="2454"/>
    <n v="2783"/>
    <n v="1.8"/>
    <m/>
    <n v="5.5"/>
    <m/>
    <m/>
    <m/>
    <m/>
    <m/>
    <m/>
    <m/>
    <n v="151846847.36000001"/>
    <n v="10000000"/>
    <n v="161846847.36000001"/>
    <n v="296966.69240366976"/>
    <m/>
    <n v="161846847.36000001"/>
  </r>
  <r>
    <s v="Obras"/>
    <s v="Guanacaste"/>
    <s v="I"/>
    <n v="18"/>
    <x v="30"/>
    <s v="Obras"/>
    <x v="0"/>
    <s v="5-10-018-00"/>
    <s v="sí"/>
    <x v="0"/>
    <s v="Capa granular, no requiere diseño"/>
    <m/>
    <m/>
    <m/>
    <m/>
    <s v="Mejoramiento de Camino Vecinal Santa Elena C5-10-018-00, De: Cruce La Virgen (Entronque Ruta Nacional 170) A: Las Parcelas Santa Elena, Cantón de La Cruz"/>
    <n v="665"/>
    <n v="2000"/>
    <n v="2665"/>
    <n v="4.5999999999999996"/>
    <m/>
    <n v="10"/>
    <m/>
    <m/>
    <m/>
    <m/>
    <m/>
    <m/>
    <m/>
    <n v="295166040.86000001"/>
    <m/>
    <n v="295166040.86000001"/>
    <n v="541589.06579816516"/>
    <m/>
    <n v="295166040.86000001"/>
  </r>
  <r>
    <s v="Obras"/>
    <s v="Guanacaste"/>
    <s v="II"/>
    <m/>
    <x v="30"/>
    <s v="Obras"/>
    <x v="0"/>
    <s v="5-10-022"/>
    <m/>
    <x v="2"/>
    <m/>
    <m/>
    <m/>
    <m/>
    <m/>
    <s v="Mejoramiento de Camino Vecinal Playa Rajada C5-10-022, De: el Jobo(Entronque Ruta Nacional 935 y Ruta Cantonal C5-10-003) A:  Fin de Camino, Playa Rajada, Cantón de La Cruz"/>
    <n v="475"/>
    <n v="1800"/>
    <n v="2275"/>
    <n v="2.89"/>
    <m/>
    <n v="10"/>
    <m/>
    <m/>
    <m/>
    <m/>
    <m/>
    <m/>
    <m/>
    <n v="47816615.939999998"/>
    <m/>
    <n v="47816615.939999998"/>
    <n v="87736.909981651377"/>
    <m/>
    <n v="47816615.939999998"/>
  </r>
  <r>
    <s v="Obras"/>
    <s v="San José"/>
    <s v="I"/>
    <n v="13"/>
    <x v="31"/>
    <s v="Obras"/>
    <x v="0"/>
    <s v="1-20-019"/>
    <m/>
    <x v="0"/>
    <m/>
    <m/>
    <m/>
    <m/>
    <m/>
    <s v="Rehabilitación del sistema de drenaje, colocación de capa granular de rodadura y_x000a_colocación de carpeta asfáltica en el Camino 1-20-019, conocido como El Cedral-_x000a_El Jardín en Santa Cruz de León Cortés, de (Ent C 1-20-028) San Martín-El Cedral_x000a_a: (Fin de camino) límite Cantonal de Dota"/>
    <n v="513"/>
    <n v="5000"/>
    <n v="5513"/>
    <n v="2.1230000000000002"/>
    <m/>
    <m/>
    <m/>
    <m/>
    <m/>
    <m/>
    <m/>
    <m/>
    <m/>
    <n v="194616083.66"/>
    <n v="6258000"/>
    <n v="200874083.66"/>
    <n v="368576.30029357795"/>
    <m/>
    <n v="200874083.66"/>
  </r>
  <r>
    <s v="Obras"/>
    <s v="San José"/>
    <s v="II"/>
    <m/>
    <x v="31"/>
    <s v="Obras"/>
    <x v="0"/>
    <s v="1-20-030"/>
    <m/>
    <x v="1"/>
    <m/>
    <m/>
    <m/>
    <m/>
    <m/>
    <s v="Rehabilitación del sistema de drenaje, colocación de capa granular de rodadura y colocación de carpeta asfáltica en el Camino 1-20-030 de Ent. C-1-20-018 a fin de camino Escuela Ojo de Agua, conocido como La Virgen-Ojo de Agua de León Cortés"/>
    <n v="1578"/>
    <n v="2000"/>
    <n v="3578"/>
    <n v="1.65"/>
    <m/>
    <m/>
    <m/>
    <m/>
    <m/>
    <m/>
    <m/>
    <m/>
    <m/>
    <n v="167684296.11000001"/>
    <n v="11676512.859999999"/>
    <n v="179360808.97"/>
    <n v="329102.40177981649"/>
    <m/>
    <n v="179360808.97"/>
  </r>
  <r>
    <m/>
    <s v="Guanacaste"/>
    <m/>
    <m/>
    <x v="32"/>
    <s v="Obras"/>
    <x v="0"/>
    <s v="5-01-029 y 5-01-080"/>
    <s v="sí"/>
    <x v="1"/>
    <s v="Capa granular, no requiere diseño"/>
    <m/>
    <m/>
    <m/>
    <m/>
    <s v="Mejoramiento de 8,72 km de caminos cantonales que comprenden la construcción del sistema de evacuación pluvial y colocación de una capa de 15 cm de material granular TM40-b del camino C5-01-080 (Ent. C5-01-029 Rodeíto a Aeropuerto de Liberia)"/>
    <m/>
    <m/>
    <m/>
    <n v="8.7200000000000006"/>
    <m/>
    <m/>
    <m/>
    <m/>
    <m/>
    <m/>
    <m/>
    <m/>
    <m/>
    <n v="940878196.05999994"/>
    <n v="68427600"/>
    <n v="1009305796.0599999"/>
    <n v="1851937.2404770642"/>
    <m/>
    <n v="1009305796.0599999"/>
  </r>
  <r>
    <s v="Obras"/>
    <s v="Alajuela"/>
    <s v="I"/>
    <n v="5"/>
    <x v="33"/>
    <s v="Obras"/>
    <x v="0"/>
    <s v="2-14-017"/>
    <s v="sí"/>
    <x v="0"/>
    <s v="Capa granular, no requiere diseño"/>
    <m/>
    <m/>
    <m/>
    <m/>
    <s v="Relastrado con material granular de rodadura del tramo comprendido entre las estaciones 0+000 y 5+000 del camino 2-14-017 (ENT. N. 35) Santa Cecilia - (ENT. C. 16) La Unión Escuela, cantón de Los Chiles"/>
    <n v="2000"/>
    <n v="5966"/>
    <n v="7966"/>
    <n v="5"/>
    <m/>
    <m/>
    <m/>
    <m/>
    <m/>
    <m/>
    <m/>
    <m/>
    <m/>
    <n v="215202288.18000001"/>
    <n v="6148636.8099999996"/>
    <n v="221350924.99000001"/>
    <n v="406148.48622018349"/>
    <m/>
    <n v="221350924.99000001"/>
  </r>
  <r>
    <s v="Obras"/>
    <s v="Alajuela"/>
    <s v="II"/>
    <n v="9"/>
    <x v="33"/>
    <s v="Obras"/>
    <x v="0"/>
    <s v="2-14-008"/>
    <s v="sí"/>
    <x v="0"/>
    <s v="Capa granular, no requiere diseño"/>
    <m/>
    <m/>
    <m/>
    <m/>
    <s v="Relastrado con material granular de rodadura y mejoramiento de tres estructuras de paso en el camino 2-14-008 del cantón de Los Chiles que va De: (ENT. N. 35) Pavón / Hasta: (ENT. C. 52 / C. 48) Cristo Rey"/>
    <n v="1555"/>
    <n v="1534"/>
    <n v="3089"/>
    <n v="8.25"/>
    <n v="18"/>
    <m/>
    <m/>
    <m/>
    <m/>
    <m/>
    <m/>
    <m/>
    <m/>
    <n v="474337308.38999999"/>
    <n v="8631723.0999999996"/>
    <n v="482969031.49000001"/>
    <n v="886181.70915596327"/>
    <m/>
    <n v="482969031.49000001"/>
  </r>
  <r>
    <s v="Obras"/>
    <s v="Limón"/>
    <s v="I"/>
    <n v="7"/>
    <x v="34"/>
    <s v="Obras"/>
    <x v="0"/>
    <s v="7-05-014 y 7-05-013"/>
    <s v="sí"/>
    <x v="0"/>
    <m/>
    <m/>
    <m/>
    <m/>
    <m/>
    <s v="Rehabilitación del Sistema de Drenaje y Mejoramiento de la Superficie de Ruedo con carpeta asfáltica del Camino Cantonal C. 7-05-014 y C. 7-05-013.: (Ent. R. 805) Entrada a Santa Marta Hasta: Luzón"/>
    <n v="3240"/>
    <n v="2100"/>
    <n v="5340"/>
    <n v="3.4670000000000001"/>
    <m/>
    <m/>
    <m/>
    <m/>
    <m/>
    <m/>
    <m/>
    <m/>
    <m/>
    <n v="398016250.76999998"/>
    <n v="18867777.370000001"/>
    <n v="416884028.13999999"/>
    <n v="764924.82227522938"/>
    <m/>
    <n v="416884028.13999999"/>
  </r>
  <r>
    <s v="Obras"/>
    <s v="Limón"/>
    <s v="II"/>
    <m/>
    <x v="34"/>
    <s v="Obras"/>
    <x v="0"/>
    <s v="7-05-014 y 7-05-115"/>
    <m/>
    <x v="1"/>
    <m/>
    <m/>
    <m/>
    <m/>
    <m/>
    <s v="Rehabilitación del  Sistema de Drenaje y Mejoramiento de la Superficie de Ruedo con carpeta asfáltica del camino C. 7-05-014 y del camino C. 7-05-115, Cantón de Matina"/>
    <n v="3240"/>
    <n v="2100"/>
    <n v="5340"/>
    <n v="2.8330000000000002"/>
    <m/>
    <n v="7.1"/>
    <m/>
    <m/>
    <m/>
    <m/>
    <m/>
    <m/>
    <m/>
    <n v="246468205.31"/>
    <n v="9569784.0299999993"/>
    <n v="256037989.34"/>
    <n v="469794.47585321101"/>
    <m/>
    <n v="256037989.34"/>
  </r>
  <r>
    <s v="Obras"/>
    <s v="Puntarenas"/>
    <s v="I"/>
    <n v="16"/>
    <x v="35"/>
    <s v="Obras"/>
    <x v="0"/>
    <s v="6-04-005"/>
    <s v="sí"/>
    <x v="0"/>
    <s v="Capa granular, no requiere diseño"/>
    <m/>
    <m/>
    <m/>
    <m/>
    <s v="Mejoramiento de 4,34 km del camino cantonal 6-04-005, de  Ent. N.615 (Tajo Alto)  hasta la Mina, en el Distrito La Unión, Cantón de Montes de Oro, Puntarenas"/>
    <n v="385"/>
    <n v="600"/>
    <n v="985"/>
    <n v="4.3499999999999996"/>
    <m/>
    <n v="10"/>
    <m/>
    <m/>
    <m/>
    <m/>
    <m/>
    <m/>
    <m/>
    <n v="402911297.56"/>
    <n v="22806532.949999999"/>
    <n v="425717830.50999999"/>
    <n v="781133.63396330271"/>
    <m/>
    <n v="425717830.50999999"/>
  </r>
  <r>
    <s v="Obras"/>
    <s v="San José"/>
    <s v="I"/>
    <n v="12"/>
    <x v="36"/>
    <s v="Obras"/>
    <x v="0"/>
    <s v="1-07-023"/>
    <s v="sí"/>
    <x v="0"/>
    <s v="Capa granular, no requiere diseño"/>
    <m/>
    <m/>
    <m/>
    <m/>
    <s v="Mejoramiento del Sistema de Drenaje y de la Superficie de Ruedo del Camino C.1-07-023 De: ENT RN.136 Picagres a: fin del camino, Balsilla De la estación 0+000 a 4+443"/>
    <n v="2108"/>
    <n v="4546"/>
    <n v="6654"/>
    <n v="4.4429999999999996"/>
    <m/>
    <n v="8.6"/>
    <m/>
    <m/>
    <m/>
    <m/>
    <m/>
    <m/>
    <m/>
    <n v="260016225"/>
    <n v="12381725"/>
    <n v="272397950"/>
    <n v="499812.752293578"/>
    <m/>
    <n v="272397950"/>
  </r>
  <r>
    <s v="Obras"/>
    <s v="San José"/>
    <s v="II"/>
    <n v="12"/>
    <x v="36"/>
    <s v="Obras"/>
    <x v="0"/>
    <s v="1-07-023"/>
    <s v="sí"/>
    <x v="0"/>
    <s v="Capa granular, no requiere diseño"/>
    <m/>
    <m/>
    <m/>
    <m/>
    <s v="Mejoramiento del Sistema de Drenaje y de la Superficie de Ruedo del Camino C.1-07-023 De: ENT RN.136 Picagres a: fin del camino, Balsilla.  De la estación 4+443 a 7+624"/>
    <n v="2108"/>
    <n v="4546"/>
    <n v="6654"/>
    <n v="3.181"/>
    <m/>
    <n v="8.6"/>
    <m/>
    <m/>
    <m/>
    <m/>
    <m/>
    <m/>
    <m/>
    <n v="227388493"/>
    <n v="10815643"/>
    <n v="238204136"/>
    <n v="437071.80917431193"/>
    <m/>
    <n v="238204136"/>
  </r>
  <r>
    <s v="Obras"/>
    <s v="Guanacaste"/>
    <s v="I"/>
    <n v="17"/>
    <x v="37"/>
    <s v="Obras"/>
    <x v="0"/>
    <s v="5-09-025"/>
    <s v="sí"/>
    <x v="0"/>
    <s v="Capa granular, no requiere diseño"/>
    <m/>
    <m/>
    <m/>
    <m/>
    <s v="Mejoramiento mediante la construcción de los sistemas de drenaje y superficie de ruedo con la colocación de 15 cm de material granular TM40-B en ruta cantonal 509025 (Pueblo Nuevo – La Soledad) del distrito de Bejuco, Nandayure"/>
    <n v="3161"/>
    <n v="11620"/>
    <n v="14781"/>
    <n v="9.35"/>
    <m/>
    <n v="10"/>
    <m/>
    <m/>
    <m/>
    <m/>
    <m/>
    <m/>
    <m/>
    <n v="390410018.58999997"/>
    <m/>
    <n v="390410018.58999997"/>
    <n v="716348.65796330268"/>
    <m/>
    <n v="390410018.58999997"/>
  </r>
  <r>
    <s v="Obras"/>
    <s v="Alajuela"/>
    <s v="I"/>
    <n v="15"/>
    <x v="38"/>
    <s v="Obras"/>
    <x v="0"/>
    <s v="2-06-024"/>
    <m/>
    <x v="0"/>
    <m/>
    <m/>
    <m/>
    <m/>
    <m/>
    <s v="Rehabilitación de la estructura de pavimento y construcción de carpeta con concreto asfáltico en caliente en 1.65 kilómetros del camino cantonal con código 2-06-024 De: (Ent. N. 141) San Juan – Hasta: (Ent. N. 141) San Juanillo"/>
    <n v="4750"/>
    <n v="7000"/>
    <n v="11750"/>
    <n v="1.65"/>
    <m/>
    <m/>
    <m/>
    <m/>
    <m/>
    <m/>
    <m/>
    <m/>
    <m/>
    <n v="212253022.27000001"/>
    <n v="6064372.0700000003"/>
    <n v="218317394.34"/>
    <n v="400582.37493577984"/>
    <m/>
    <n v="218317394.34"/>
  </r>
  <r>
    <s v="Obras"/>
    <s v="Alajuela"/>
    <s v="II"/>
    <m/>
    <x v="38"/>
    <s v="Obras"/>
    <x v="0"/>
    <s v="2-06-008"/>
    <m/>
    <x v="2"/>
    <s v="Municipalidad se encargaría del diseño"/>
    <m/>
    <m/>
    <m/>
    <m/>
    <s v="Rehabilitación de la estructura de pavimento y construcción de una capa de concreto asfáltico en caliente en 2.80 kilómetros del camino cantonal con código 2-06-008 De: (ENT.N. 709) Lourdes – Hasta: (ENT.C.007) Quebrada Honda"/>
    <n v="5250"/>
    <n v="7000"/>
    <n v="12250"/>
    <n v="2.8"/>
    <m/>
    <m/>
    <m/>
    <m/>
    <m/>
    <m/>
    <m/>
    <m/>
    <m/>
    <n v="283151547"/>
    <n v="8090044.2000000002"/>
    <n v="291241591.19999999"/>
    <n v="534388.24073394493"/>
    <m/>
    <n v="291241591.19999999"/>
  </r>
  <r>
    <s v="Obras"/>
    <s v="Alajuela"/>
    <m/>
    <m/>
    <x v="39"/>
    <s v="Obras"/>
    <x v="0"/>
    <s v="2-09-021"/>
    <m/>
    <x v="1"/>
    <m/>
    <m/>
    <m/>
    <m/>
    <m/>
    <s v="Mejoramiento del Sistema de Drenaje, colocación de susbbase, colocación de base y carpeta asfáltica del Camino 2-09-021 De: (Ent.N.03) Cuatro Esquinas Norte, A: (Ent.C.45) Hacienda Vieja (Vivero Cavallini)."/>
    <m/>
    <m/>
    <n v="0"/>
    <n v="2.04"/>
    <m/>
    <n v="8.5"/>
    <m/>
    <m/>
    <m/>
    <m/>
    <m/>
    <m/>
    <m/>
    <n v="275760564.98000002"/>
    <m/>
    <n v="275760564.98000002"/>
    <n v="505982.68803669728"/>
    <m/>
    <n v="275760564.98000002"/>
  </r>
  <r>
    <s v="Obras"/>
    <s v="Puntarenas"/>
    <s v="I"/>
    <n v="3"/>
    <x v="40"/>
    <s v="Obras"/>
    <x v="0"/>
    <s v="6-05-018 y 6-05-062"/>
    <m/>
    <x v="0"/>
    <m/>
    <m/>
    <m/>
    <m/>
    <m/>
    <s v="Mejoramiento de los caminos 6-05-018. Playa Hermosa (ENT.N.34) San Josecito- (ENT.C.62) San Josecito Iglesia. Rio Morete y 6-05-062 (Ent.C.18) San Josecito, Iglesia - Río Morete o Higuerón. Límite Provincial"/>
    <n v="1500"/>
    <m/>
    <n v="1500"/>
    <n v="5.125"/>
    <m/>
    <n v="9.89"/>
    <m/>
    <m/>
    <m/>
    <m/>
    <m/>
    <m/>
    <m/>
    <n v="446031092"/>
    <n v="20649588"/>
    <n v="466680680"/>
    <n v="856294.82568807341"/>
    <m/>
    <n v="466680680"/>
  </r>
  <r>
    <s v="Obras"/>
    <s v="Puntarenas"/>
    <s v="II"/>
    <n v="3"/>
    <x v="40"/>
    <s v="Obras"/>
    <x v="0"/>
    <s v="6-05-006"/>
    <m/>
    <x v="0"/>
    <m/>
    <m/>
    <m/>
    <m/>
    <m/>
    <s v="Mejoramiento del camino 6-05-006. (Entr. N. 34) Coronado a (Entr.C.87) Tres Ríos"/>
    <n v="2657"/>
    <m/>
    <n v="2657"/>
    <n v="2.5"/>
    <m/>
    <m/>
    <m/>
    <m/>
    <m/>
    <m/>
    <m/>
    <m/>
    <m/>
    <n v="200257488"/>
    <n v="9271180"/>
    <n v="209528668"/>
    <n v="384456.27155963302"/>
    <m/>
    <n v="209528668"/>
  </r>
  <r>
    <s v="Obras"/>
    <s v="Alajuela"/>
    <m/>
    <m/>
    <x v="41"/>
    <s v="Obras"/>
    <x v="0"/>
    <s v="2-07-016 y 2-06-037"/>
    <m/>
    <x v="1"/>
    <m/>
    <m/>
    <m/>
    <m/>
    <m/>
    <s v="Mejoramiento en 2.25 km correspondiente a 1 km del camino 2-07-016 Entronque C 051 Cuadrantes Urbanos a Límite Cantonal Palmares – Naranjo y 1,25 km del camino 2-06-037 (Naranjo) Entronque C 036 San Miguel Oeste a Río Grande, Límite (Calle Chanchera) Esquipulas, mediante el refuerzo de la estructura de pavimento y la construcción de una carpeta de concreto asfáltico en caliente y la sustitución del puente sobre río Grande"/>
    <n v="7363"/>
    <n v="32214"/>
    <n v="39577"/>
    <n v="2.25"/>
    <n v="30"/>
    <n v="9.6999999999999993"/>
    <m/>
    <m/>
    <m/>
    <m/>
    <m/>
    <m/>
    <m/>
    <n v="766214179.52999997"/>
    <n v="22134300"/>
    <n v="788348479.52999997"/>
    <n v="1446510.9716146789"/>
    <m/>
    <n v="788348479.52999997"/>
  </r>
  <r>
    <s v="Obras"/>
    <s v="Puntarenas"/>
    <m/>
    <m/>
    <x v="42"/>
    <s v="Obras"/>
    <x v="0"/>
    <s v="6-01-024"/>
    <m/>
    <x v="1"/>
    <m/>
    <m/>
    <m/>
    <m/>
    <m/>
    <s v="Mejoramiento del Sistema de Drenaje, colocación de susbbase, colocación de base y tratamiento superficial bituminoso del Camino 6-01-024 De: (Ent.N.160) Santa Cecilia, A: Escuela San Rafael."/>
    <n v="425"/>
    <n v="6540"/>
    <n v="6965"/>
    <n v="4.45"/>
    <m/>
    <n v="8.2100000000000009"/>
    <m/>
    <m/>
    <m/>
    <m/>
    <m/>
    <m/>
    <m/>
    <n v="252917527.5"/>
    <m/>
    <n v="252917527.5"/>
    <n v="464068.85779816512"/>
    <m/>
    <n v="252917527.5"/>
  </r>
  <r>
    <s v="Obras"/>
    <s v="Cartago"/>
    <m/>
    <m/>
    <x v="43"/>
    <s v="Obras"/>
    <x v="0"/>
    <s v="3-02-053"/>
    <m/>
    <x v="1"/>
    <m/>
    <m/>
    <m/>
    <m/>
    <m/>
    <s v="Mejoramiento de la superficie de ruedo y sistema de drenaje del camino 3-02-053-00 (Ent. C.60) Barrio Cruz Roja limite cantón Oreamuno (San Rafael) Calle Mero"/>
    <n v="550"/>
    <n v="37687"/>
    <n v="38237"/>
    <n v="3.7"/>
    <m/>
    <m/>
    <m/>
    <m/>
    <m/>
    <m/>
    <m/>
    <m/>
    <m/>
    <n v="485533307.04000002"/>
    <n v="27082403"/>
    <n v="512615710.04000002"/>
    <n v="940579.28447706427"/>
    <m/>
    <n v="512615710.04000002"/>
  </r>
  <r>
    <s v="Obras"/>
    <s v="Puntarenas"/>
    <s v="I"/>
    <m/>
    <x v="44"/>
    <s v="Obras"/>
    <x v="0"/>
    <s v="6-09-038 y 6-09-127"/>
    <m/>
    <x v="2"/>
    <m/>
    <m/>
    <m/>
    <m/>
    <m/>
    <s v="Mejoramiento de los caminos: 6-09-038 “(Ent. R.N.34) Esterillos Oeste - Estero Aserradero - C. Est. Oeste.” y 6-09-127 “(Ent. C.38) Plaza Dep. Esterillos Oeste - (Ent. C.37) Discoteque Azul, Esterillos Oeste"/>
    <n v="477"/>
    <m/>
    <n v="477"/>
    <n v="2.8200000000000003"/>
    <m/>
    <n v="10.1"/>
    <m/>
    <m/>
    <m/>
    <m/>
    <m/>
    <m/>
    <m/>
    <n v="90337900"/>
    <n v="4182311"/>
    <n v="94520211"/>
    <n v="173431.57981651375"/>
    <m/>
    <n v="94520211"/>
  </r>
  <r>
    <s v="Obras"/>
    <s v="Puntarenas"/>
    <s v="II"/>
    <m/>
    <x v="44"/>
    <s v="Obras"/>
    <x v="0"/>
    <s v="6-09-117, 6-09-021, 6-09-025 y 6-09-010"/>
    <m/>
    <x v="1"/>
    <m/>
    <m/>
    <m/>
    <m/>
    <m/>
    <s v="Mejoramiento del Sistema de Drenaje, colocación de subbase, base y Carpeta asfáltica en la ruta de (ENT.N.34) Calle Clinica CCSS a Fin de camino, Playa Palma"/>
    <n v="946"/>
    <m/>
    <n v="946"/>
    <n v="4.0999999999999996"/>
    <m/>
    <n v="8.77"/>
    <m/>
    <m/>
    <m/>
    <m/>
    <m/>
    <m/>
    <m/>
    <n v="487991348"/>
    <m/>
    <n v="487991348"/>
    <n v="895396.96880733944"/>
    <m/>
    <n v="487991348"/>
  </r>
  <r>
    <s v="Obras"/>
    <s v="Alajuela"/>
    <m/>
    <m/>
    <x v="45"/>
    <s v="Obras"/>
    <x v="0"/>
    <s v="2-02-012"/>
    <s v="sí"/>
    <x v="1"/>
    <m/>
    <m/>
    <m/>
    <s v="Diseño de Lab. MOPT"/>
    <m/>
    <s v="Mejoramiento de la superficie de ruedo de 3,83 kilómetros en el camino 2-02-012 (De: (Ent. N. 702) Cementerio San Francisco – Hasta: (Ent. C. 16) Sector Ángeles), cantón de San Ramón, distrito de Peñas Blancas"/>
    <m/>
    <m/>
    <n v="0"/>
    <n v="3.83"/>
    <m/>
    <m/>
    <m/>
    <m/>
    <m/>
    <m/>
    <m/>
    <m/>
    <m/>
    <n v="245560908.50999999"/>
    <n v="11000000"/>
    <n v="256560908.50999999"/>
    <n v="470753.96056880732"/>
    <m/>
    <n v="256560908.50999999"/>
  </r>
  <r>
    <s v="Obras"/>
    <s v="San José"/>
    <s v="I"/>
    <n v="4"/>
    <x v="46"/>
    <s v="Obras"/>
    <x v="0"/>
    <s v="1-19-194, 1-19-027 y 1-19-025"/>
    <m/>
    <x v="0"/>
    <s v="Municipalidad se encargaría del diseño"/>
    <m/>
    <m/>
    <m/>
    <m/>
    <s v="Mejoramiento de la superficie de ruedo y del sistema de drenaje de los caminos: 1-19-194 (Ent.N.242) Bo. Sinaí, Bajo Dorotea – (Ent.C.27) Finca Municipal; 1-19-027 (Ent.N.2) Villa Ligia-Los Chiles (Ent.321) y 1-19-025 (Ent. N.2) Juntas de Pacuar (Repunta) a (Ent.N.321) Palmares, Lourdes- Los Chiles."/>
    <n v="6500"/>
    <n v="14100"/>
    <n v="20600"/>
    <n v="8.0500000000000007"/>
    <m/>
    <m/>
    <m/>
    <m/>
    <m/>
    <m/>
    <m/>
    <m/>
    <m/>
    <n v="670696006.36000001"/>
    <n v="76012225.460000008"/>
    <n v="746708231.82000005"/>
    <n v="1370106.8473761468"/>
    <m/>
    <n v="746708231.82000005"/>
  </r>
  <r>
    <s v="Obras"/>
    <s v="Limón"/>
    <s v="I"/>
    <n v="7"/>
    <x v="47"/>
    <s v="Obras"/>
    <x v="0"/>
    <s v="7-02-037"/>
    <s v="sí"/>
    <x v="0"/>
    <m/>
    <m/>
    <m/>
    <m/>
    <m/>
    <s v="Mejoramiento de la Superficie de Ruedo con carpeta asfáltica en el Camino C. 7-02-037, De: (N. 247) Entrada a El Triángulo – Hasta: Intersección escuela El Triángulo"/>
    <n v="1171"/>
    <n v="2204"/>
    <n v="3375"/>
    <n v="1.65"/>
    <m/>
    <m/>
    <m/>
    <m/>
    <m/>
    <m/>
    <m/>
    <m/>
    <m/>
    <n v="166957364.12"/>
    <n v="8541000"/>
    <n v="175498364.12"/>
    <n v="322015.34700917429"/>
    <m/>
    <n v="175498364.12"/>
  </r>
  <r>
    <s v="Obras"/>
    <s v="Limón"/>
    <s v="II"/>
    <n v="7"/>
    <x v="47"/>
    <s v="Obras"/>
    <x v="0"/>
    <s v="7-02-080"/>
    <m/>
    <x v="0"/>
    <m/>
    <m/>
    <m/>
    <m/>
    <m/>
    <s v="Mejoramiento del Sistema de Drenajes y mejoramiento de la Superficie de Ruedo con carpeta asfáltica en el Camino C. 7-02-080, De: (Ent. N. 249) Entra Los Cascadas – Hasta: (Ent. N.247) Tanques de A y A"/>
    <n v="2060"/>
    <n v="4200"/>
    <n v="6260"/>
    <n v="1.7"/>
    <m/>
    <m/>
    <m/>
    <m/>
    <m/>
    <m/>
    <m/>
    <m/>
    <m/>
    <n v="203120403.31999999"/>
    <n v="8810000"/>
    <n v="211930403.31999999"/>
    <n v="388863.12535779813"/>
    <n v="45669546.140000001"/>
    <n v="257599949.45999998"/>
  </r>
  <r>
    <s v="Obras"/>
    <s v="Limón"/>
    <s v="IV"/>
    <n v="8"/>
    <x v="47"/>
    <s v="Obras"/>
    <x v="0"/>
    <s v="7-02-032"/>
    <s v="sí"/>
    <x v="0"/>
    <m/>
    <m/>
    <m/>
    <m/>
    <m/>
    <s v="Mejoramiento del Sistema de Drenajes y mejoramiento de la Superficie de Ruedo con un TSB-3 en el Camino C. 7-02-032. De: (Ent. N. 247) Campo Cuatro – Hasta: (Ent. C. 160) Intersección a Campo Dos"/>
    <n v="470"/>
    <n v="1650"/>
    <n v="2120"/>
    <n v="2.5499999999999998"/>
    <m/>
    <m/>
    <m/>
    <m/>
    <m/>
    <m/>
    <m/>
    <m/>
    <m/>
    <n v="187186101.55000001"/>
    <n v="991000"/>
    <n v="188177101.55000001"/>
    <n v="345279.08541284408"/>
    <n v="86201511.370000005"/>
    <n v="274378612.92000002"/>
  </r>
  <r>
    <s v="Obras"/>
    <s v="Limón"/>
    <s v="III"/>
    <n v="8"/>
    <x v="47"/>
    <s v="Obras"/>
    <x v="0"/>
    <s v="7-02-086"/>
    <m/>
    <x v="0"/>
    <m/>
    <m/>
    <m/>
    <m/>
    <m/>
    <s v="Mejoramiento del Sistema de Drenajes y mejoramiento de la Superficie de Ruedo con carpeta asfáltica en el Camino C. 7-02-086, San Bosco. De: (Ent. N. 249) Teresa – Hasta: (Ent. N.809) Calle Gobierno"/>
    <n v="1800"/>
    <n v="4080"/>
    <n v="5880"/>
    <n v="1.7"/>
    <m/>
    <m/>
    <m/>
    <m/>
    <m/>
    <m/>
    <m/>
    <m/>
    <m/>
    <n v="194318049.94"/>
    <n v="9975000"/>
    <n v="204293049.94"/>
    <n v="374849.63291743118"/>
    <n v="33853014.75"/>
    <n v="238146064.69"/>
  </r>
  <r>
    <s v="Obras"/>
    <s v="Puntarenas"/>
    <s v="I"/>
    <n v="2"/>
    <x v="48"/>
    <s v="Obras"/>
    <x v="0"/>
    <s v="6-01-115"/>
    <m/>
    <x v="0"/>
    <m/>
    <m/>
    <m/>
    <m/>
    <m/>
    <s v="Mejoramiento de la estructura de pavimento con sub base,  base granular, carpeta asfáltica y del sistema de drenaje del Camino 6-01-115 (ENT.N.17) Juanito Mora a (ENT.N.23) Hotel Fiesta, distritos de Barranca y El Roble, cantón de Puntarenas"/>
    <n v="47204"/>
    <n v="9055"/>
    <n v="56259"/>
    <n v="1.7"/>
    <m/>
    <n v="7.3"/>
    <m/>
    <m/>
    <m/>
    <m/>
    <m/>
    <m/>
    <m/>
    <n v="463083078.49000001"/>
    <m/>
    <n v="463083078.49000001"/>
    <n v="849693.72200000007"/>
    <n v="22404153.920000002"/>
    <n v="485487232.41000003"/>
  </r>
  <r>
    <s v="Obras"/>
    <s v="Puntarenas"/>
    <s v="II"/>
    <m/>
    <x v="48"/>
    <s v="Obras"/>
    <x v="0"/>
    <s v="6-01-101 y 6-01-107"/>
    <m/>
    <x v="1"/>
    <m/>
    <m/>
    <m/>
    <m/>
    <m/>
    <s v="Mejoramiento del sistema de drenaje, colocación de subbase, base y TSB-3 de la ruta vecinal compuesta por los caminos C 6-01-101 y C 6-01-107 de: (ENT.N.23) La Guacamaya a: (Ent.N.17) Repuestos Gigante"/>
    <m/>
    <m/>
    <n v="0"/>
    <n v="1.0960000000000001"/>
    <m/>
    <n v="9.5"/>
    <m/>
    <m/>
    <m/>
    <m/>
    <m/>
    <m/>
    <m/>
    <n v="195189729"/>
    <n v="9294749"/>
    <n v="204484478"/>
    <n v="375200.8770642202"/>
    <n v="24173091.870000001"/>
    <n v="228657569.87"/>
  </r>
  <r>
    <s v="Obras"/>
    <s v="Puntarenas"/>
    <s v="III"/>
    <m/>
    <x v="48"/>
    <s v="Obras"/>
    <x v="0"/>
    <s v="6-01-475"/>
    <m/>
    <x v="1"/>
    <m/>
    <m/>
    <m/>
    <m/>
    <m/>
    <s v="Mejoramiento del sistema de drenaje, colocación de subbase, base y TSB-3 de la ruta vecinal del camino C 6-01-475 de: (ENT.C.117) INVU Barranca, incluyendo El Robledal - Calle frente a Socorrito a a: (Ent. N. 1) La Subasta"/>
    <m/>
    <m/>
    <n v="0"/>
    <n v="1.9239999999999999"/>
    <m/>
    <n v="8.5"/>
    <m/>
    <m/>
    <m/>
    <m/>
    <m/>
    <m/>
    <m/>
    <n v="230008293.90000001"/>
    <n v="10952776"/>
    <n v="240961069.90000001"/>
    <n v="442130.40348623856"/>
    <n v="57272348.82"/>
    <n v="298233418.72000003"/>
  </r>
  <r>
    <s v="Obras"/>
    <s v="San José"/>
    <s v="I"/>
    <m/>
    <x v="49"/>
    <s v="Obras"/>
    <x v="0"/>
    <s v="1-04-109 y 1-04-113"/>
    <m/>
    <x v="2"/>
    <m/>
    <m/>
    <m/>
    <m/>
    <m/>
    <s v="Mejoramiento del sistema de drenaje y de la estructura del pavimento de los caminos (ENT. N 314) Pueblo Nuevo - Bar la Jarra– (ENT. C 113) Cruce Charcón, Estero, 1-04-109 y (ENT. N 239) Hospital de Puriscal – (FIN DE CAMINO) Finca Claras, 1-04-113. (Proyecto Ruta Alterna Santiago - Centro de Atención Integral del Salud)"/>
    <n v="263"/>
    <n v="12256"/>
    <n v="12519"/>
    <n v="2.2549999999999999"/>
    <m/>
    <m/>
    <m/>
    <m/>
    <m/>
    <m/>
    <m/>
    <m/>
    <m/>
    <n v="387190650"/>
    <n v="18437650"/>
    <n v="405628300"/>
    <n v="744272.11009174318"/>
    <n v="0"/>
    <n v="405628300"/>
  </r>
  <r>
    <s v="Obras"/>
    <s v="Puntarenas"/>
    <s v="I"/>
    <n v="2"/>
    <x v="50"/>
    <s v="Obras"/>
    <x v="0"/>
    <s v="6-06-009"/>
    <m/>
    <x v="0"/>
    <m/>
    <m/>
    <m/>
    <m/>
    <m/>
    <s v="Mejoramiento del camino 6-06-009 “(Ent. N.616) Cruce Naranjito - (Ent. C.039 / C.046) Cruce Villa Nueva"/>
    <m/>
    <m/>
    <n v="0"/>
    <n v="4.6500000000000004"/>
    <m/>
    <n v="10.1"/>
    <m/>
    <m/>
    <m/>
    <m/>
    <m/>
    <m/>
    <m/>
    <n v="214378927"/>
    <n v="9924951"/>
    <n v="224303878"/>
    <n v="411566.7486238532"/>
    <n v="0"/>
    <n v="224303878"/>
  </r>
  <r>
    <s v="Obras"/>
    <s v="Alajuela"/>
    <s v="II"/>
    <m/>
    <x v="51"/>
    <s v="Obras"/>
    <x v="0"/>
    <s v="2-10-175"/>
    <s v="sí"/>
    <x v="2"/>
    <s v="Municipalidad se encargaría del diseño"/>
    <m/>
    <m/>
    <m/>
    <m/>
    <s v="Mejoramiento de 4,85 km del camino 2-10-175 (DE: (Ent. Ruta# 250, Calle Palmar, A: Ent. Ruta # 746, Veracruz), mediante el refuerzo de la estructura de pavimento, y la construcción de una carpeta de concreto_x000a_asfáltico en caliente"/>
    <n v="2500"/>
    <n v="22000"/>
    <n v="24500"/>
    <n v="4.8499999999999996"/>
    <m/>
    <m/>
    <m/>
    <m/>
    <m/>
    <m/>
    <m/>
    <m/>
    <m/>
    <n v="590913797.39999998"/>
    <n v="16883200"/>
    <n v="607796997.39999998"/>
    <n v="1115223.848440367"/>
    <n v="159830304.46000001"/>
    <n v="767627301.86000001"/>
  </r>
  <r>
    <s v="Obras"/>
    <s v="Alajuela"/>
    <s v="III"/>
    <m/>
    <x v="51"/>
    <s v="Obras"/>
    <x v="0"/>
    <s v="2-10-041"/>
    <s v="sí"/>
    <x v="1"/>
    <s v="Municipalidad se encargaría del diseño"/>
    <m/>
    <m/>
    <m/>
    <m/>
    <s v="Rehabilitación del sistema de drenaje y construcción de una carpeta asfáltica entre las estaciones 3+900 a 7+600 del camino 2-10-041 (Desde: Ent. Ruta # 140, Los Negritos – Hasta: Ent. Ruta # 250, Los Chiles), distrito de Aguas Zarcas"/>
    <n v="2275"/>
    <n v="22000"/>
    <n v="24275"/>
    <n v="3.7"/>
    <m/>
    <m/>
    <m/>
    <m/>
    <m/>
    <m/>
    <m/>
    <m/>
    <m/>
    <n v="366099550"/>
    <n v="32000000"/>
    <n v="398099550"/>
    <n v="730457.88990825682"/>
    <n v="287692500"/>
    <n v="685792050"/>
  </r>
  <r>
    <s v="Obras"/>
    <s v="Alajuela"/>
    <s v="I"/>
    <n v="10"/>
    <x v="52"/>
    <s v="Obras"/>
    <x v="0"/>
    <s v="2-10-069, 2-10-075, 2-10-520 y 2-02-011"/>
    <s v="sí"/>
    <x v="0"/>
    <m/>
    <m/>
    <m/>
    <m/>
    <m/>
    <s v="Mejoramiento de la interconectividad cantonal entre San Carlos y San Ramón mediante la construcción de la estructura de pavimento en 9,34 kilómetros en los caminos con código: C- 2-10-069, C- 2-10-075 y C-2-10-520 del cantón de San Carlos y en 2,6 kilómetros en el camino con código C-2-02-011 del cantón de San Ramón"/>
    <n v="3500"/>
    <n v="25000"/>
    <n v="28500"/>
    <n v="11.94"/>
    <m/>
    <m/>
    <m/>
    <m/>
    <m/>
    <m/>
    <m/>
    <m/>
    <m/>
    <n v="1358707086"/>
    <n v="38393700"/>
    <n v="1397100786"/>
    <n v="2563487.6807339448"/>
    <n v="293627022.94999999"/>
    <n v="1690727808.95"/>
  </r>
  <r>
    <s v="Obras"/>
    <s v="Heredia"/>
    <m/>
    <m/>
    <x v="53"/>
    <s v="Obras"/>
    <x v="1"/>
    <s v="4-06-026, 4-06-023 y 4-06-074"/>
    <s v="sí"/>
    <x v="1"/>
    <m/>
    <m/>
    <m/>
    <m/>
    <m/>
    <s v="Mejoramiento del sistema de drenajes y Construcción de Alcantarilla de Cuadro doble sobre Río Tierra Blanca en el camino 4-06-026 desde (Ent. 076) San Francisco-San Isidro  hasta (Ent. 112) Calle Isidreña, Puente sobre el Río Tibás en el camino 4-06-023 desde (Ent. 116) Isidreña (Calle Cristo Rey) hasta (Ent 013) Calle Santa Cruz 2 y Puente sobre el Río Turú en el camino 4-06-074 desde (Ent. R.112) Calle Gildo hasta Calle Cristo Rey"/>
    <n v="1380"/>
    <n v="6900"/>
    <n v="8280"/>
    <m/>
    <n v="30.66"/>
    <n v="10"/>
    <m/>
    <m/>
    <m/>
    <m/>
    <m/>
    <m/>
    <m/>
    <n v="161177520.49000001"/>
    <n v="26058856.640000001"/>
    <n v="187236377.13"/>
    <n v="343552.985559633"/>
    <n v="185844972.84"/>
    <n v="373081349.97000003"/>
  </r>
  <r>
    <s v="Obras"/>
    <s v="San José"/>
    <s v="I"/>
    <m/>
    <x v="54"/>
    <s v="Obras"/>
    <x v="1"/>
    <s v="1-01-086-00"/>
    <s v="sí"/>
    <x v="1"/>
    <m/>
    <m/>
    <m/>
    <s v="Planos listos por J. Jiménez"/>
    <m/>
    <s v="Sustitución de puente sobre Rio María Aguilar, Barrio La Gloria en el límite distrital Zapote–San Francisco. Código del camino 01-01-086-00, (Ent. R.204 Zapote a Entr. R.211 San Francisco).Conocida como ruta de Travesía Zapote - San Francisco"/>
    <n v="58159"/>
    <n v="21142"/>
    <n v="79301"/>
    <m/>
    <n v="18"/>
    <n v="9.6999999999999993"/>
    <m/>
    <m/>
    <m/>
    <m/>
    <m/>
    <m/>
    <m/>
    <n v="878558031.81000006"/>
    <n v="24992458.050000001"/>
    <n v="903550489.86000001"/>
    <n v="1657890.8070825688"/>
    <n v="141623928.96000001"/>
    <n v="1045174418.8200001"/>
  </r>
  <r>
    <s v="Obras"/>
    <s v="San José"/>
    <s v="II"/>
    <m/>
    <x v="54"/>
    <s v="Obras"/>
    <x v="1"/>
    <s v="1-01-186"/>
    <s v="sí"/>
    <x v="1"/>
    <s v="Perfil pendiente de elaboración"/>
    <m/>
    <m/>
    <s v="Planos listos por J. Jiménez, pendiente perfil"/>
    <m/>
    <s v="Sustitución de puente de Bajo Los Ledezma"/>
    <m/>
    <m/>
    <m/>
    <m/>
    <n v="43"/>
    <m/>
    <m/>
    <m/>
    <m/>
    <m/>
    <m/>
    <m/>
    <m/>
    <m/>
    <m/>
    <m/>
    <m/>
    <m/>
    <m/>
  </r>
  <r>
    <s v="Obras"/>
    <s v="Alajuela"/>
    <s v="I"/>
    <n v="6"/>
    <x v="55"/>
    <s v="Obras"/>
    <x v="0"/>
    <s v="2-04-065 y 2-02-158"/>
    <m/>
    <x v="0"/>
    <m/>
    <m/>
    <m/>
    <m/>
    <m/>
    <s v="Mejoramiento de la estructura de pavimento con la colocación de capa granular, Tratamiento Superficial Bituminoso y sistema de drenaje en 3.78Km y demarcación vial en 7.14Km del camino La Libertad, San Mateo-Llano Brenes, San Ramón (De: Estación 0+000 La Libertad, San Mateo A: Estación 7+142 Llano Brenes, San Ramón)"/>
    <m/>
    <n v="13000"/>
    <n v="13000"/>
    <n v="3.782"/>
    <m/>
    <n v="9.7200000000000006"/>
    <m/>
    <m/>
    <m/>
    <m/>
    <m/>
    <m/>
    <m/>
    <n v="266200241.66999999"/>
    <m/>
    <n v="266200241.66999999"/>
    <n v="488440.81040366972"/>
    <n v="66565823.759999998"/>
    <n v="332766065.43000001"/>
  </r>
  <r>
    <s v="Obras"/>
    <s v="Heredia"/>
    <m/>
    <m/>
    <x v="56"/>
    <s v="Obras"/>
    <x v="0"/>
    <s v="4-09-007, 4-09-012, 4-09-008 y 4-09-010"/>
    <m/>
    <x v="1"/>
    <m/>
    <m/>
    <m/>
    <m/>
    <m/>
    <s v="Mejoramiento de la superficie de ruedo y sistemas de drenaje de los caminos 4-09-007 DE: (ENT.N.112) LAS CRUCES-PARQUE A: (ENT.C.9Y12) CALLE LA URUCA, 4-09-012 DE:(ENT.C.9) C.LA URUCA ABASTECEDOR A: FIN DE CAMINO RÍO BERMÚDEZ, 4-09-008 (ENT.C.12) CALLE URUCA A: (ENT.C.10) CALLE QUINTANA SUR, 4-09-010 DE: PTE. RÍO BERMÚDEZ CALLE VIEJA A: LMTE (S.PAB–S.DOMIN) CALLE LA VIGUI"/>
    <n v="200"/>
    <n v="9405"/>
    <n v="9605"/>
    <n v="1.7629999999999999"/>
    <m/>
    <m/>
    <m/>
    <m/>
    <m/>
    <m/>
    <m/>
    <m/>
    <m/>
    <n v="174453303.72999999"/>
    <n v="17256553.199999999"/>
    <n v="191709856.92999998"/>
    <n v="351761.20537614677"/>
    <n v="69295510.180000007"/>
    <n v="261005367.10999998"/>
  </r>
  <r>
    <s v="Obras"/>
    <s v="Heredia"/>
    <m/>
    <m/>
    <x v="57"/>
    <s v="Obras"/>
    <x v="0"/>
    <s v="4-05-031"/>
    <m/>
    <x v="1"/>
    <m/>
    <m/>
    <m/>
    <m/>
    <m/>
    <s v="Mejoramiento del camino cantonal C 4-05-031  De: ( Ent c.03)  Calle El Tajo, Hasta:  ( Ent. N 502) Súper El Cometa, Cantón de San Rafael"/>
    <n v="1532"/>
    <n v="11973"/>
    <n v="13505"/>
    <n v="2.3530000000000002"/>
    <m/>
    <n v="8"/>
    <m/>
    <m/>
    <m/>
    <m/>
    <m/>
    <m/>
    <m/>
    <n v="304188350.80000001"/>
    <n v="14485159.560000001"/>
    <n v="318673510.36000001"/>
    <n v="584722.0373577982"/>
    <n v="79942549"/>
    <n v="398616059.36000001"/>
  </r>
  <r>
    <s v="Obras"/>
    <s v="Alajuela"/>
    <s v="II"/>
    <n v="15"/>
    <x v="58"/>
    <s v="Obras"/>
    <x v="0"/>
    <s v="2-02-014 y 2-02-020"/>
    <m/>
    <x v="0"/>
    <m/>
    <m/>
    <m/>
    <m/>
    <m/>
    <s v="Mejoramiento de 0,95 kilómetros del camino 2-02-014 mediante el refuerzo de la estructura de pavimento y la construcción de una carpeta de concreto asfáltico en caliente, y relastrado con material granular de_x000a_rodadura y colocación de un sello asfáltico no estructural para el control de erosión en 3,7 kilómetros del camino 2-02-020"/>
    <n v="850"/>
    <n v="8000"/>
    <n v="8850"/>
    <n v="4.6500000000000004"/>
    <m/>
    <m/>
    <m/>
    <m/>
    <m/>
    <m/>
    <m/>
    <m/>
    <m/>
    <n v="243952221.36000001"/>
    <n v="6970000"/>
    <n v="250922221.36000001"/>
    <n v="460407.74561467895"/>
    <n v="88133525"/>
    <n v="339055746.36000001"/>
  </r>
  <r>
    <s v="Obras"/>
    <s v="Alajuela"/>
    <s v="I"/>
    <n v="9"/>
    <x v="59"/>
    <s v="Obras"/>
    <x v="0"/>
    <s v="2-02-225 y 2-02-226"/>
    <m/>
    <x v="0"/>
    <m/>
    <m/>
    <m/>
    <m/>
    <m/>
    <s v="Mejoramiento de 1,38 kilómetros del camino 2-02-225 y 0,37 kilómetros del camino 2-02-226, mediante la colocación de subbase y base trituradas y la construcción de una capa de concreto asfáltico en caliente"/>
    <n v="2500"/>
    <n v="5000"/>
    <n v="7500"/>
    <n v="1.75"/>
    <m/>
    <m/>
    <m/>
    <m/>
    <m/>
    <m/>
    <m/>
    <m/>
    <m/>
    <n v="232383778.09"/>
    <n v="6639536.5199999996"/>
    <n v="239023314.61000001"/>
    <n v="438574.88919266057"/>
    <n v="52315451.090000004"/>
    <n v="291338765.70000005"/>
  </r>
  <r>
    <s v="Obras"/>
    <s v="Heredia"/>
    <s v="I"/>
    <n v="14"/>
    <x v="60"/>
    <s v="Obras"/>
    <x v="0"/>
    <s v="4-04-009"/>
    <m/>
    <x v="0"/>
    <m/>
    <m/>
    <m/>
    <m/>
    <m/>
    <s v="MEJORAMIENTO DEL SISTEMA DE DRENAJE Y SUPERCIFIE DE RUEDO DEL CAMINO  C 04-04-009 (ENT.R.123) San Juan (C. Los Mora)- Calle Solís"/>
    <n v="925"/>
    <n v="1661"/>
    <n v="2586"/>
    <n v="1.2"/>
    <m/>
    <m/>
    <m/>
    <m/>
    <m/>
    <m/>
    <m/>
    <m/>
    <m/>
    <n v="216404014.47"/>
    <n v="7322447.0199999996"/>
    <n v="223726461.49000001"/>
    <n v="410507.26878899086"/>
    <n v="35000000"/>
    <n v="258726461.49000001"/>
  </r>
  <r>
    <s v="Obras"/>
    <s v="Guanacaste"/>
    <s v="I"/>
    <n v="17"/>
    <x v="61"/>
    <s v="Obras"/>
    <x v="0"/>
    <s v="5-03-257"/>
    <m/>
    <x v="0"/>
    <m/>
    <m/>
    <m/>
    <m/>
    <m/>
    <s v="Rehabilitación y mejoramiento de los sistemas de drenaje y calzada de rodamiento de la ruta cantonal C-5-03-257 Tamarindo- Langosta"/>
    <n v="3000"/>
    <n v="5000"/>
    <n v="8000"/>
    <n v="2.35"/>
    <m/>
    <m/>
    <m/>
    <m/>
    <m/>
    <m/>
    <m/>
    <m/>
    <m/>
    <n v="378846920.24000001"/>
    <n v="21668683.280000001"/>
    <n v="400515603.51999998"/>
    <n v="734891.01563302753"/>
    <n v="76195428.569999993"/>
    <n v="476711032.08999997"/>
  </r>
  <r>
    <s v="Obras"/>
    <s v="Guanacaste"/>
    <s v="II"/>
    <m/>
    <x v="61"/>
    <s v="Obras"/>
    <x v="0"/>
    <s v="5-03-076"/>
    <m/>
    <x v="2"/>
    <m/>
    <m/>
    <m/>
    <m/>
    <m/>
    <s v="Colocación de carpeta asfáltica en el camino 5-03-076 de (Ent. N. 931) Baquore a (Ent. N. 21) Hacienda La Girona, Bernabela, de la estación 0+000 a estación 2+800"/>
    <n v="2000"/>
    <n v="500"/>
    <n v="2500"/>
    <n v="2.8"/>
    <m/>
    <n v="8.5"/>
    <m/>
    <m/>
    <m/>
    <m/>
    <m/>
    <m/>
    <m/>
    <n v="353014200"/>
    <n v="26896320"/>
    <n v="379910520"/>
    <n v="697083.52293577977"/>
    <n v="10485730.800000001"/>
    <n v="390396250.80000001"/>
  </r>
  <r>
    <s v="Obras"/>
    <s v="Heredia"/>
    <s v="I"/>
    <n v="14"/>
    <x v="62"/>
    <s v="Obras"/>
    <x v="0"/>
    <s v="4-03-023"/>
    <m/>
    <x v="0"/>
    <m/>
    <m/>
    <m/>
    <m/>
    <m/>
    <s v="Mejoramiento de obras de drenaje y superficie de ruedo para el camino código: 4-03-023, Santo Domingo – La Vigui"/>
    <n v="5167"/>
    <n v="108910"/>
    <n v="114077"/>
    <n v="0.83"/>
    <m/>
    <m/>
    <m/>
    <m/>
    <m/>
    <m/>
    <m/>
    <m/>
    <m/>
    <n v="204987130.55000001"/>
    <n v="9000000"/>
    <n v="213987130.55000001"/>
    <n v="392636.93678899086"/>
    <n v="0"/>
    <n v="213987130.55000001"/>
  </r>
  <r>
    <s v="Obras"/>
    <s v="Heredia"/>
    <s v="I"/>
    <n v="8"/>
    <x v="63"/>
    <s v="Obras"/>
    <x v="0"/>
    <s v="4-10-035"/>
    <m/>
    <x v="0"/>
    <m/>
    <m/>
    <m/>
    <m/>
    <m/>
    <s v="Rehabilitaciónd el sistema de drenaje y mejoramiento de la superficie de ruedo con carpeta asfáltica en el camino 4-10-035, Ticarí"/>
    <n v="2000"/>
    <m/>
    <n v="2000"/>
    <n v="4.4000000000000004"/>
    <m/>
    <n v="6.1"/>
    <m/>
    <m/>
    <m/>
    <m/>
    <m/>
    <m/>
    <m/>
    <n v="507899978.17000002"/>
    <n v="23929320.809999999"/>
    <n v="531829298.98000002"/>
    <n v="975833.57611009176"/>
    <n v="27236437.969999999"/>
    <n v="559065736.95000005"/>
  </r>
  <r>
    <s v="Obras"/>
    <s v="Heredia"/>
    <s v="II"/>
    <n v="9"/>
    <x v="63"/>
    <s v="Obras"/>
    <x v="0"/>
    <s v="4-10-108, 4-10-037 y 4-10-117"/>
    <m/>
    <x v="0"/>
    <m/>
    <m/>
    <m/>
    <m/>
    <m/>
    <s v="Rehabilitación del sistema de drenaje y mejoramiento de la superficie de ruedo con carpeta asfáltica en el Trayecto que incluye secciones de los Caminos C-4-10-108, 4-10-037 y C. 4-10-117, Ticari – La Rambla – Finca Dos"/>
    <n v="8000"/>
    <m/>
    <n v="8000"/>
    <n v="5.0759999999999996"/>
    <m/>
    <n v="6.1"/>
    <m/>
    <m/>
    <m/>
    <m/>
    <m/>
    <m/>
    <m/>
    <n v="728902418.33000004"/>
    <n v="20000000"/>
    <n v="748902418.33000004"/>
    <n v="1374132.8776697249"/>
    <n v="80334779.239999995"/>
    <n v="829237197.57000005"/>
  </r>
  <r>
    <s v="Obras"/>
    <s v="Limón"/>
    <s v="I"/>
    <n v="8"/>
    <x v="64"/>
    <s v="Obras"/>
    <x v="0"/>
    <s v="7-03-008-00"/>
    <m/>
    <x v="0"/>
    <m/>
    <m/>
    <m/>
    <m/>
    <m/>
    <s v="Mejoramiento del sistema de drenaje y de la superficie de ruedo mediante carpeta asfática del camino 7-03-008-00, Indianas 1, 2 y 3"/>
    <n v="1100"/>
    <n v="3000"/>
    <n v="4100"/>
    <n v="6.45"/>
    <m/>
    <n v="7.5"/>
    <m/>
    <m/>
    <m/>
    <m/>
    <m/>
    <m/>
    <m/>
    <n v="730909808.97000003"/>
    <n v="20000000"/>
    <n v="750909808.97000003"/>
    <n v="1377816.1632477064"/>
    <n v="94091843.099999994"/>
    <n v="845001652.07000005"/>
  </r>
  <r>
    <s v="Obras"/>
    <s v="Limón"/>
    <s v="II"/>
    <m/>
    <x v="64"/>
    <s v="Obras"/>
    <x v="0"/>
    <s v="7-03-003-00"/>
    <m/>
    <x v="1"/>
    <m/>
    <m/>
    <m/>
    <m/>
    <m/>
    <s v="Mejoramiento del sistema de drenaje y de la superficei de ruedo con base estabilizada y carpeta asfáltica del camino 7-03-003-00, camino a Imperio"/>
    <n v="500"/>
    <n v="2500"/>
    <n v="3000"/>
    <n v="2.8"/>
    <m/>
    <n v="7.5"/>
    <m/>
    <m/>
    <m/>
    <m/>
    <m/>
    <m/>
    <m/>
    <n v="370258962.54000002"/>
    <n v="20000000"/>
    <n v="390258962.54000002"/>
    <n v="716071.49089908262"/>
    <n v="109780110.70999999"/>
    <n v="500039073.25"/>
  </r>
  <r>
    <s v="Obras"/>
    <s v="Limón"/>
    <s v="III"/>
    <m/>
    <x v="64"/>
    <s v="Obras"/>
    <x v="1"/>
    <s v="7-03-036"/>
    <m/>
    <x v="1"/>
    <s v="Estudios listos"/>
    <m/>
    <m/>
    <m/>
    <m/>
    <s v="Construcción de puente de 12 m sobre Quebrada La Herediana en el camino 7-03-036-00, Calle Las Vueltas"/>
    <n v="450"/>
    <n v="900"/>
    <n v="1350"/>
    <m/>
    <n v="12"/>
    <n v="6.7"/>
    <m/>
    <m/>
    <m/>
    <m/>
    <m/>
    <m/>
    <m/>
    <n v="97954964.100000009"/>
    <n v="4664522.0999999996"/>
    <n v="102619486.2"/>
    <n v="188292.63522935781"/>
    <n v="20340000"/>
    <n v="122959486.2"/>
  </r>
  <r>
    <s v="Obras"/>
    <s v="Limón"/>
    <s v="I"/>
    <n v="7"/>
    <x v="65"/>
    <s v="Obras"/>
    <x v="0"/>
    <s v="7-04-019"/>
    <s v="sí"/>
    <x v="0"/>
    <m/>
    <m/>
    <m/>
    <m/>
    <m/>
    <s v="Rehabilitación del Sistema de Drenaje y Mejoramiento de la Superficie de Ruedo  del Camino Cantonal C. 7-04-019"/>
    <n v="7318"/>
    <n v="13558"/>
    <n v="20876"/>
    <n v="3"/>
    <m/>
    <n v="7.1"/>
    <m/>
    <m/>
    <m/>
    <m/>
    <m/>
    <m/>
    <m/>
    <n v="514031913.70999998"/>
    <n v="15000000"/>
    <n v="529031913.70999998"/>
    <n v="970700.75910091738"/>
    <n v="32142296.420000002"/>
    <n v="561174210.13"/>
  </r>
  <r>
    <s v="Obras"/>
    <s v="San José"/>
    <s v="I"/>
    <n v="13"/>
    <x v="66"/>
    <s v="Obras"/>
    <x v="0"/>
    <s v="1-05-141"/>
    <s v="sí"/>
    <x v="0"/>
    <s v="Capa granular, no requiere diseño"/>
    <m/>
    <m/>
    <m/>
    <m/>
    <s v="REHABILITACIÓN DEL SISTEMA DE DRENAJE Y MEJORAMIENTO DE LA SUPERFICIE DE RUEDO Y COLOCACIÓN DE SELLO ASFÁLTICO EN EL CAMINO 1-05-141 DE (ENT. CALLE 46) CALLE EL RODEO A (ENT. CALLE 77) CAMINO LA ROCA CON EL LIMITE CANTONAL EL JARDÍN DE DOTA"/>
    <n v="1487"/>
    <n v="8240"/>
    <n v="9727"/>
    <n v="9"/>
    <m/>
    <m/>
    <m/>
    <m/>
    <m/>
    <m/>
    <m/>
    <m/>
    <m/>
    <n v="323126967.01999998"/>
    <n v="14687589.41"/>
    <n v="337814556.43000001"/>
    <n v="619843.22280733951"/>
    <n v="41627477"/>
    <n v="379442033.43000001"/>
  </r>
  <r>
    <s v="Obras"/>
    <s v="Guanacaste"/>
    <s v="I"/>
    <n v="16"/>
    <x v="67"/>
    <s v="Obras"/>
    <x v="0"/>
    <s v="5-08-093"/>
    <s v="sí"/>
    <x v="0"/>
    <s v="Capa granular, no requiere diseño"/>
    <m/>
    <m/>
    <m/>
    <m/>
    <s v="Mejoramiento del camino cantonal RC5-08-093 Ruta del Bus, Desde: Ent. RC007 (Ranchitos – Parcelas Quebrada Azul) Hasta:  Ent. RC094 (Calles Centro Parcelas) Cantón de Tilarán"/>
    <n v="596"/>
    <n v="1720"/>
    <n v="2316"/>
    <n v="3.05"/>
    <m/>
    <n v="9.3000000000000007"/>
    <m/>
    <m/>
    <m/>
    <m/>
    <m/>
    <m/>
    <m/>
    <n v="263761532.94"/>
    <m/>
    <n v="263761532.94"/>
    <n v="483966.1154862385"/>
    <n v="23752082.440000001"/>
    <n v="287513615.38"/>
  </r>
  <r>
    <s v="Obras"/>
    <s v="Cartago"/>
    <m/>
    <m/>
    <x v="68"/>
    <s v="Obras"/>
    <x v="0"/>
    <s v="3-04-030"/>
    <m/>
    <x v="1"/>
    <m/>
    <m/>
    <m/>
    <m/>
    <m/>
    <s v="Mejoramiento de la superficie de ruedo con carpeta asfáltica en el camino C-3-04-030, San Miguel, (Entr. N.225) El Congo – San Miguel, Plaza de Deportes"/>
    <n v="309"/>
    <n v="4872"/>
    <n v="5181"/>
    <n v="1.9"/>
    <m/>
    <n v="9.1"/>
    <m/>
    <m/>
    <m/>
    <m/>
    <m/>
    <m/>
    <m/>
    <n v="85780000"/>
    <n v="4239000"/>
    <n v="90019000"/>
    <n v="165172.47706422018"/>
    <m/>
    <n v="90019000"/>
  </r>
  <r>
    <s v="Obras"/>
    <s v="Cartago"/>
    <s v="I"/>
    <n v="11"/>
    <x v="69"/>
    <s v="Obras"/>
    <x v="0"/>
    <s v="3-05-017"/>
    <s v="sí"/>
    <x v="0"/>
    <s v="PCA listo desde PRVC-I"/>
    <m/>
    <m/>
    <m/>
    <m/>
    <s v="Rehabilitación del sistema de drenaje y de la superficie de ruedo del camino C-03-05-017"/>
    <n v="2000"/>
    <n v="2000"/>
    <n v="4000"/>
    <n v="2.8"/>
    <m/>
    <m/>
    <m/>
    <m/>
    <m/>
    <m/>
    <m/>
    <m/>
    <m/>
    <n v="317862125.04000002"/>
    <n v="15000000"/>
    <n v="332862125.04000002"/>
    <n v="610756.19273394498"/>
    <n v="58535224.75"/>
    <n v="391397349.79000002"/>
  </r>
  <r>
    <s v="Obras"/>
    <s v="San José"/>
    <s v="I"/>
    <n v="6"/>
    <x v="70"/>
    <s v="Obras"/>
    <x v="0"/>
    <s v="1-16-012 y 1-16-061"/>
    <m/>
    <x v="0"/>
    <m/>
    <m/>
    <m/>
    <m/>
    <m/>
    <s v="Mejoramiento de la estructura de pavimento con la colocación de una capa granular, sello antierosión y sistema de drenaje en 2.1Km y Tratamiento Superficial Bituminoso doble en 3.81Km, De: Rio Turrubares, Bajo Laguna (Bar Restaurante Puriscaleño) A: (Ent.N.137) El Llano."/>
    <n v="2725"/>
    <n v="800"/>
    <n v="3525"/>
    <n v="5.91"/>
    <m/>
    <n v="8.2799999999999994"/>
    <m/>
    <m/>
    <m/>
    <m/>
    <m/>
    <m/>
    <m/>
    <n v="226181735.12"/>
    <n v="10771000"/>
    <n v="236952735.12"/>
    <n v="434775.66077064222"/>
    <n v="8945189"/>
    <n v="245897924.12"/>
  </r>
  <r>
    <s v="Obras"/>
    <s v="San José"/>
    <s v="II"/>
    <m/>
    <x v="70"/>
    <s v="Obras"/>
    <x v="1"/>
    <s v="1-16-012"/>
    <m/>
    <x v="1"/>
    <m/>
    <m/>
    <m/>
    <m/>
    <m/>
    <s v="Construcción de puente sobre Quebrada Chiquero (cc Quebrada Candelillal), camino 1-16-012"/>
    <n v="2725"/>
    <n v="800"/>
    <n v="3525"/>
    <m/>
    <n v="24"/>
    <m/>
    <m/>
    <m/>
    <m/>
    <m/>
    <m/>
    <m/>
    <m/>
    <n v="147106653.75"/>
    <n v="7005078.75"/>
    <n v="154111732.5"/>
    <n v="282773.82110091741"/>
    <n v="37972000"/>
    <n v="192083732.5"/>
  </r>
  <r>
    <s v="Obras"/>
    <s v="Alajuela"/>
    <s v="I"/>
    <n v="5"/>
    <x v="71"/>
    <s v="Obras"/>
    <x v="0"/>
    <s v="2-13-011"/>
    <s v="sí"/>
    <x v="0"/>
    <s v="Capa granular, no requiere diseño"/>
    <m/>
    <m/>
    <m/>
    <m/>
    <s v="Rehabilitación del sistema de drenaje y relastrado con material granular de rodadura en 3.5 km del camino del cantón de Upala código 2-13-011 (Tramo entre estaciones 10+000 y 13+500)"/>
    <n v="3512"/>
    <n v="11709"/>
    <n v="15221"/>
    <n v="3.5"/>
    <m/>
    <m/>
    <m/>
    <m/>
    <m/>
    <m/>
    <m/>
    <m/>
    <m/>
    <n v="102027558.87"/>
    <n v="2915073.13"/>
    <n v="104942632"/>
    <n v="192555.28807339451"/>
    <n v="24633838.460000001"/>
    <n v="129576470.46000001"/>
  </r>
  <r>
    <s v="Obras"/>
    <s v="Alajuela"/>
    <s v="II"/>
    <n v="5"/>
    <x v="71"/>
    <s v="Obras"/>
    <x v="0"/>
    <s v="2-13-030"/>
    <s v="sí"/>
    <x v="0"/>
    <s v="Capa granular, no requiere diseño"/>
    <m/>
    <m/>
    <m/>
    <m/>
    <s v="Rehabilitación del sistema de drenaje y relastrado con material granular de rodadura del camino del cantón de Upala código 2-13-030 que va desde (Ent. N. 04) Villa Clarín hasta (Ent. N. 06) El Salto, Mini Super Ale"/>
    <n v="2000"/>
    <n v="20677"/>
    <n v="22677"/>
    <n v="10"/>
    <m/>
    <m/>
    <m/>
    <m/>
    <m/>
    <m/>
    <m/>
    <m/>
    <m/>
    <n v="268989353.38999999"/>
    <n v="7685410.0999999996"/>
    <n v="276674763.49000001"/>
    <n v="507660.11649541283"/>
    <n v="83446643.540000007"/>
    <n v="360121407.03000003"/>
  </r>
  <r>
    <s v="Obras"/>
    <s v="Alajuela"/>
    <m/>
    <m/>
    <x v="72"/>
    <s v="Obras"/>
    <x v="1"/>
    <s v="2-12-041"/>
    <s v="sí"/>
    <x v="1"/>
    <m/>
    <m/>
    <m/>
    <s v="Planos listos por J. Jiménez"/>
    <m/>
    <s v="Diseño y construcción de un puente de una vía y 30 m de luz sobre el Río Trojas en el camino 2-12-041 (calle circunvalación Norte), Distrito Sarchí Norte"/>
    <n v="12283"/>
    <n v="18085"/>
    <n v="30368"/>
    <m/>
    <n v="30"/>
    <m/>
    <m/>
    <m/>
    <m/>
    <m/>
    <m/>
    <m/>
    <m/>
    <n v="218751121.66"/>
    <n v="14034727.220000001"/>
    <n v="232785848.88"/>
    <n v="427129.99794495414"/>
    <n v="75978150"/>
    <n v="308763998.88"/>
  </r>
  <r>
    <s v="Obras"/>
    <s v="Alajuela"/>
    <s v="I"/>
    <n v="6"/>
    <x v="73"/>
    <s v="Obras"/>
    <x v="0"/>
    <s v="2-11-001 y 2-02-053"/>
    <m/>
    <x v="0"/>
    <s v="TSB-3"/>
    <m/>
    <m/>
    <m/>
    <m/>
    <s v="Mejoramiento de la interconectividad cantonal entre Zarcero y San Ramón mediante la Rehabilitación de la estructura de pavimento en 3,51 kilómetros del camino cantonal con código 2-11-001 (De: (Ent. N._x000a_141) Zarcero – Hasta: Límite cantonal (Zarcero - San Ramón)) y el mejoramiento de 0,83 km del camino cantonal con código 2-02-053 (De: (ENT.R. N.703) Alto Villegas – Hasta: (Límite Cantonal) San Luis)."/>
    <n v="590"/>
    <n v="3091"/>
    <n v="3681"/>
    <n v="4.34"/>
    <m/>
    <m/>
    <m/>
    <m/>
    <m/>
    <m/>
    <m/>
    <m/>
    <m/>
    <n v="358877091.77000004"/>
    <n v="10452730.83"/>
    <n v="369329822.60000002"/>
    <n v="677669.39926605509"/>
    <n v="155285228.13999999"/>
    <n v="524615050.74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 dinámica2" cacheId="184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G2:K5" firstHeaderRow="0" firstDataRow="1" firstDataCol="1"/>
  <pivotFields count="35">
    <pivotField showAll="0" defaultSubtotal="0"/>
    <pivotField showAll="0" defaultSubtotal="0"/>
    <pivotField showAll="0" defaultSubtotal="0"/>
    <pivotField showAll="0" defaultSubtotal="0"/>
    <pivotField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59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showAll="0" defaultSubtotal="0"/>
    <pivotField showAll="0" defaultSubtotal="0">
      <items count="3">
        <item x="2"/>
        <item x="0"/>
        <item h="1" sd="0" x="1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numFmtId="4" showAll="0" defaultSubtotal="0"/>
    <pivotField dataField="1" numFmtId="4" showAll="0" defaultSubtotal="0"/>
    <pivotField showAll="0"/>
    <pivotField showAll="0" defaultSubtota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CÓDIGO" fld="7" subtotal="count" baseField="0" baseItem="0"/>
    <dataField name="Suma de LONGITUD de camino a intervenir (km)" fld="19" baseField="2" baseItem="0" numFmtId="1"/>
    <dataField name="Suma de LONGITUD de puente a intervenir (m)" fld="20" baseField="2" baseItem="0" numFmtId="1"/>
    <dataField name="Suma de PRESUPUESTO BID ESTIMADO (TOTAL EN DÓLARES)" fld="32" baseField="0" baseItem="0" numFmtId="3"/>
  </dataFields>
  <formats count="7">
    <format dxfId="7">
      <pivotArea field="6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2">
      <pivotArea field="9" grandRow="1" outline="0" collapsedLevelsAreSubtotals="1">
        <references count="1">
          <reference field="4294967294" count="2" selected="0">
            <x v="1"/>
            <x v="2"/>
          </reference>
        </references>
      </pivotArea>
    </format>
    <format dxfId="13">
      <pivotArea collapsedLevelsAreSubtotals="1" fieldPosition="0">
        <references count="2">
          <reference field="4294967294" count="2" selected="0">
            <x v="1"/>
            <x v="2"/>
          </reference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184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:E5" firstHeaderRow="0" firstDataRow="1" firstDataCol="1"/>
  <pivotFields count="35">
    <pivotField showAll="0" defaultSubtotal="0"/>
    <pivotField showAll="0" defaultSubtotal="0"/>
    <pivotField showAll="0" defaultSubtotal="0"/>
    <pivotField showAll="0" defaultSubtotal="0"/>
    <pivotField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59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  <pivotField showAll="0" defaultSubtotal="0"/>
    <pivotField axis="axisRow" showAll="0" defaultSubtotal="0">
      <items count="3">
        <item h="1" sd="0" x="2"/>
        <item x="0"/>
        <item h="1" sd="0" x="1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numFmtId="4" showAll="0" defaultSubtotal="0"/>
    <pivotField dataField="1" numFmtId="4" showAll="0" defaultSubtotal="0"/>
    <pivotField showAll="0"/>
    <pivotField showAll="0" defaultSubtotal="0"/>
  </pivotFields>
  <rowFields count="2">
    <field x="9"/>
    <field x="6"/>
  </rowFields>
  <rowItems count="3">
    <i>
      <x v="1"/>
    </i>
    <i r="1"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CÓDIGO" fld="7" subtotal="count" baseField="0" baseItem="0"/>
    <dataField name="Suma de LONGITUD de camino a intervenir (km)" fld="19" baseField="2" baseItem="0" numFmtId="1"/>
    <dataField name="Suma de LONGITUD de puente a intervenir (m)" fld="20" baseField="2" baseItem="0" numFmtId="1"/>
    <dataField name="Suma de PRESUPUESTO BID ESTIMADO (TOTAL EN DÓLARES)" fld="32" baseField="0" baseItem="0" numFmtId="3"/>
  </dataFields>
  <formats count="7">
    <format dxfId="0">
      <pivotArea field="6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5">
      <pivotArea collapsedLevelsAreSubtotals="1" fieldPosition="0">
        <references count="3">
          <reference field="4294967294" count="2" selected="0">
            <x v="1"/>
            <x v="2"/>
          </reference>
          <reference field="6" count="1">
            <x v="0"/>
          </reference>
          <reference field="9" count="0" selected="0"/>
        </references>
      </pivotArea>
    </format>
    <format dxfId="6">
      <pivotArea field="9" grandRow="1" outline="0" collapsedLevelsAreSubtotals="1" axis="axisRow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"/>
  <sheetViews>
    <sheetView tabSelected="1" topLeftCell="A2" zoomScaleNormal="100" workbookViewId="0" xr3:uid="{AEA406A1-0E4B-5B11-9CD5-51D6E497D94C}">
      <selection activeCell="A4" sqref="A4"/>
    </sheetView>
  </sheetViews>
  <sheetFormatPr defaultColWidth="11.28515625" defaultRowHeight="29.45" customHeight="1"/>
  <cols>
    <col min="1" max="1" width="14.28515625" style="3" customWidth="1"/>
    <col min="2" max="2" width="11.28515625" style="3" customWidth="1"/>
    <col min="3" max="4" width="11.28515625" style="3"/>
    <col min="5" max="5" width="12.5703125" style="3" customWidth="1"/>
    <col min="6" max="6" width="16.42578125" style="3" customWidth="1"/>
    <col min="7" max="7" width="15" style="3" customWidth="1"/>
    <col min="8" max="8" width="16.28515625" style="3" customWidth="1"/>
    <col min="9" max="9" width="32.85546875" style="36" customWidth="1"/>
    <col min="10" max="15" width="16.28515625" style="3" customWidth="1"/>
    <col min="16" max="22" width="11.28515625" style="3" hidden="1" customWidth="1"/>
    <col min="23" max="23" width="19.7109375" style="3" bestFit="1" customWidth="1"/>
    <col min="24" max="24" width="24" style="3" customWidth="1"/>
    <col min="25" max="25" width="20" style="3" bestFit="1" customWidth="1"/>
    <col min="26" max="26" width="20" style="3" customWidth="1"/>
    <col min="27" max="27" width="16.28515625" style="3" bestFit="1" customWidth="1"/>
    <col min="28" max="28" width="17.28515625" style="3" bestFit="1" customWidth="1"/>
    <col min="29" max="16384" width="11.28515625" style="3"/>
  </cols>
  <sheetData>
    <row r="1" spans="1:28" ht="9" hidden="1" customHeight="1">
      <c r="A1" s="5" t="s">
        <v>0</v>
      </c>
      <c r="I1" s="36" t="s">
        <v>1</v>
      </c>
      <c r="J1" s="3">
        <v>545</v>
      </c>
    </row>
    <row r="2" spans="1:28" s="2" customFormat="1" ht="54" customHeight="1">
      <c r="A2" s="8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37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7" t="s">
        <v>24</v>
      </c>
      <c r="X2" s="7" t="s">
        <v>25</v>
      </c>
      <c r="Y2" s="7" t="s">
        <v>26</v>
      </c>
      <c r="Z2" s="7" t="s">
        <v>27</v>
      </c>
      <c r="AA2" s="7" t="s">
        <v>28</v>
      </c>
      <c r="AB2" s="11" t="s">
        <v>29</v>
      </c>
    </row>
    <row r="3" spans="1:28" s="41" customFormat="1" ht="40.5" customHeight="1">
      <c r="A3" s="38" t="s">
        <v>30</v>
      </c>
      <c r="B3" s="38" t="s">
        <v>31</v>
      </c>
      <c r="C3" s="38" t="s">
        <v>32</v>
      </c>
      <c r="D3" s="38">
        <v>16</v>
      </c>
      <c r="E3" s="38" t="s">
        <v>33</v>
      </c>
      <c r="F3" s="38" t="s">
        <v>30</v>
      </c>
      <c r="G3" s="38" t="s">
        <v>34</v>
      </c>
      <c r="H3" s="38" t="s">
        <v>35</v>
      </c>
      <c r="I3" s="39" t="s">
        <v>36</v>
      </c>
      <c r="J3" s="38">
        <v>1223</v>
      </c>
      <c r="K3" s="38">
        <v>1412</v>
      </c>
      <c r="L3" s="38">
        <f t="shared" ref="L3:L18" si="0">+K3+J3</f>
        <v>2635</v>
      </c>
      <c r="M3" s="38">
        <v>5.65</v>
      </c>
      <c r="N3" s="38"/>
      <c r="O3" s="38">
        <v>10</v>
      </c>
      <c r="P3" s="38"/>
      <c r="Q3" s="38"/>
      <c r="R3" s="38"/>
      <c r="S3" s="38"/>
      <c r="T3" s="38"/>
      <c r="U3" s="38"/>
      <c r="V3" s="38"/>
      <c r="W3" s="40">
        <f t="shared" ref="W3:W20" si="1">+Y3-X3</f>
        <v>433072796.97000003</v>
      </c>
      <c r="X3" s="40">
        <v>30838120.32</v>
      </c>
      <c r="Y3" s="40">
        <v>463910917.29000002</v>
      </c>
      <c r="Z3" s="40">
        <f>+Y3/$J$1</f>
        <v>851212.69227522938</v>
      </c>
      <c r="AA3" s="40">
        <v>214527729.78999999</v>
      </c>
      <c r="AB3" s="40">
        <f t="shared" ref="AB3:AB18" si="2">+AA3+Y3</f>
        <v>678438647.08000004</v>
      </c>
    </row>
    <row r="4" spans="1:28" s="41" customFormat="1" ht="40.5" customHeight="1">
      <c r="A4" s="38" t="s">
        <v>30</v>
      </c>
      <c r="B4" s="38" t="s">
        <v>37</v>
      </c>
      <c r="C4" s="38" t="s">
        <v>32</v>
      </c>
      <c r="D4" s="38">
        <v>12</v>
      </c>
      <c r="E4" s="38" t="s">
        <v>38</v>
      </c>
      <c r="F4" s="38" t="s">
        <v>30</v>
      </c>
      <c r="G4" s="38" t="s">
        <v>34</v>
      </c>
      <c r="H4" s="38" t="s">
        <v>39</v>
      </c>
      <c r="I4" s="39" t="s">
        <v>40</v>
      </c>
      <c r="J4" s="38">
        <v>1725</v>
      </c>
      <c r="K4" s="38">
        <v>6505</v>
      </c>
      <c r="L4" s="38">
        <f t="shared" si="0"/>
        <v>8230</v>
      </c>
      <c r="M4" s="38">
        <v>6.8</v>
      </c>
      <c r="N4" s="38"/>
      <c r="O4" s="38">
        <v>10</v>
      </c>
      <c r="P4" s="38"/>
      <c r="Q4" s="38"/>
      <c r="R4" s="38"/>
      <c r="S4" s="38"/>
      <c r="T4" s="38"/>
      <c r="U4" s="38"/>
      <c r="V4" s="38"/>
      <c r="W4" s="40">
        <f t="shared" si="1"/>
        <v>199781074.98000002</v>
      </c>
      <c r="X4" s="40">
        <v>14271048.76</v>
      </c>
      <c r="Y4" s="40">
        <v>214052123.74000001</v>
      </c>
      <c r="Z4" s="40">
        <f>+Y4/$J$1</f>
        <v>392756.19034862384</v>
      </c>
      <c r="AA4" s="40">
        <v>101510948.91</v>
      </c>
      <c r="AB4" s="40">
        <f t="shared" si="2"/>
        <v>315563072.64999998</v>
      </c>
    </row>
    <row r="5" spans="1:28" s="41" customFormat="1" ht="39.6" customHeight="1">
      <c r="A5" s="38" t="s">
        <v>30</v>
      </c>
      <c r="B5" s="38" t="s">
        <v>37</v>
      </c>
      <c r="C5" s="38" t="s">
        <v>41</v>
      </c>
      <c r="D5" s="38">
        <v>12</v>
      </c>
      <c r="E5" s="38" t="s">
        <v>38</v>
      </c>
      <c r="F5" s="38" t="s">
        <v>30</v>
      </c>
      <c r="G5" s="38" t="s">
        <v>34</v>
      </c>
      <c r="H5" s="38" t="s">
        <v>42</v>
      </c>
      <c r="I5" s="39" t="s">
        <v>43</v>
      </c>
      <c r="J5" s="38">
        <v>1620</v>
      </c>
      <c r="K5" s="38">
        <v>2594</v>
      </c>
      <c r="L5" s="38">
        <f t="shared" si="0"/>
        <v>4214</v>
      </c>
      <c r="M5" s="38">
        <v>8.25</v>
      </c>
      <c r="N5" s="38"/>
      <c r="O5" s="38">
        <v>10</v>
      </c>
      <c r="P5" s="38"/>
      <c r="Q5" s="38"/>
      <c r="R5" s="38"/>
      <c r="S5" s="38"/>
      <c r="T5" s="38"/>
      <c r="U5" s="38"/>
      <c r="V5" s="38"/>
      <c r="W5" s="40">
        <f t="shared" si="1"/>
        <v>275478710.17999995</v>
      </c>
      <c r="X5" s="40">
        <v>14724657.66</v>
      </c>
      <c r="Y5" s="40">
        <v>290203367.83999997</v>
      </c>
      <c r="Z5" s="40">
        <f>+Y5/$J$1</f>
        <v>532483.24374311918</v>
      </c>
      <c r="AA5" s="40">
        <v>33739100.619999997</v>
      </c>
      <c r="AB5" s="40">
        <f t="shared" si="2"/>
        <v>323942468.45999998</v>
      </c>
    </row>
    <row r="6" spans="1:28" s="41" customFormat="1" ht="29.45" customHeight="1">
      <c r="A6" s="38" t="s">
        <v>30</v>
      </c>
      <c r="B6" s="38" t="s">
        <v>44</v>
      </c>
      <c r="C6" s="38" t="s">
        <v>32</v>
      </c>
      <c r="D6" s="38">
        <v>15</v>
      </c>
      <c r="E6" s="38" t="s">
        <v>44</v>
      </c>
      <c r="F6" s="38" t="s">
        <v>30</v>
      </c>
      <c r="G6" s="38" t="s">
        <v>34</v>
      </c>
      <c r="H6" s="38" t="s">
        <v>45</v>
      </c>
      <c r="I6" s="39" t="s">
        <v>46</v>
      </c>
      <c r="J6" s="38">
        <v>8150</v>
      </c>
      <c r="K6" s="38">
        <v>23150</v>
      </c>
      <c r="L6" s="38">
        <f t="shared" si="0"/>
        <v>31300</v>
      </c>
      <c r="M6" s="38">
        <v>3.49</v>
      </c>
      <c r="N6" s="38"/>
      <c r="O6" s="38">
        <v>13.9</v>
      </c>
      <c r="P6" s="38"/>
      <c r="Q6" s="38"/>
      <c r="R6" s="38"/>
      <c r="S6" s="38"/>
      <c r="T6" s="38"/>
      <c r="U6" s="38"/>
      <c r="V6" s="38"/>
      <c r="W6" s="40">
        <f t="shared" si="1"/>
        <v>2135349188.6700001</v>
      </c>
      <c r="X6" s="42">
        <v>179738101</v>
      </c>
      <c r="Y6" s="40">
        <v>2315087289.6700001</v>
      </c>
      <c r="Z6" s="40">
        <f>+Y6/$J$1</f>
        <v>4247866.5865504593</v>
      </c>
      <c r="AA6" s="40">
        <v>1926150929.3299999</v>
      </c>
      <c r="AB6" s="40">
        <f t="shared" si="2"/>
        <v>4241238219</v>
      </c>
    </row>
    <row r="7" spans="1:28" s="41" customFormat="1" ht="29.45" customHeight="1">
      <c r="A7" s="38" t="s">
        <v>30</v>
      </c>
      <c r="B7" s="38" t="s">
        <v>47</v>
      </c>
      <c r="C7" s="38" t="s">
        <v>32</v>
      </c>
      <c r="D7" s="38">
        <v>11</v>
      </c>
      <c r="E7" s="38" t="s">
        <v>48</v>
      </c>
      <c r="F7" s="38" t="s">
        <v>30</v>
      </c>
      <c r="G7" s="38" t="s">
        <v>34</v>
      </c>
      <c r="H7" s="38" t="s">
        <v>49</v>
      </c>
      <c r="I7" s="39" t="s">
        <v>50</v>
      </c>
      <c r="J7" s="38">
        <v>455</v>
      </c>
      <c r="K7" s="38"/>
      <c r="L7" s="38">
        <f t="shared" si="0"/>
        <v>455</v>
      </c>
      <c r="M7" s="38">
        <v>2.4</v>
      </c>
      <c r="N7" s="38"/>
      <c r="O7" s="38">
        <v>8.6999999999999993</v>
      </c>
      <c r="P7" s="38"/>
      <c r="Q7" s="38"/>
      <c r="R7" s="38"/>
      <c r="S7" s="38"/>
      <c r="T7" s="38"/>
      <c r="U7" s="38"/>
      <c r="V7" s="38"/>
      <c r="W7" s="40">
        <f t="shared" si="1"/>
        <v>158464591</v>
      </c>
      <c r="X7" s="40">
        <v>7011708</v>
      </c>
      <c r="Y7" s="40">
        <v>165476299</v>
      </c>
      <c r="Z7" s="40">
        <f>+Y7/$J$1</f>
        <v>303626.23669724772</v>
      </c>
      <c r="AA7" s="40"/>
      <c r="AB7" s="40">
        <f t="shared" si="2"/>
        <v>165476299</v>
      </c>
    </row>
    <row r="8" spans="1:28" s="41" customFormat="1" ht="37.5" customHeight="1">
      <c r="A8" s="38" t="s">
        <v>30</v>
      </c>
      <c r="B8" s="38" t="s">
        <v>37</v>
      </c>
      <c r="C8" s="38" t="s">
        <v>32</v>
      </c>
      <c r="D8" s="38">
        <v>12</v>
      </c>
      <c r="E8" s="38" t="s">
        <v>51</v>
      </c>
      <c r="F8" s="38" t="s">
        <v>30</v>
      </c>
      <c r="G8" s="38" t="s">
        <v>34</v>
      </c>
      <c r="H8" s="38" t="s">
        <v>52</v>
      </c>
      <c r="I8" s="39" t="s">
        <v>53</v>
      </c>
      <c r="J8" s="38">
        <v>30000</v>
      </c>
      <c r="K8" s="38"/>
      <c r="L8" s="38">
        <f t="shared" si="0"/>
        <v>30000</v>
      </c>
      <c r="M8" s="38">
        <v>5</v>
      </c>
      <c r="N8" s="38"/>
      <c r="O8" s="38"/>
      <c r="P8" s="38"/>
      <c r="Q8" s="38"/>
      <c r="R8" s="38"/>
      <c r="S8" s="38"/>
      <c r="T8" s="38"/>
      <c r="U8" s="38"/>
      <c r="V8" s="38"/>
      <c r="W8" s="40">
        <f t="shared" si="1"/>
        <v>382386750.84999996</v>
      </c>
      <c r="X8" s="40">
        <v>6761258.8600000003</v>
      </c>
      <c r="Y8" s="40">
        <v>389148009.70999998</v>
      </c>
      <c r="Z8" s="40">
        <f>+Y8/$J$1</f>
        <v>714033.04533944954</v>
      </c>
      <c r="AA8" s="40"/>
      <c r="AB8" s="40">
        <f t="shared" si="2"/>
        <v>389148009.70999998</v>
      </c>
    </row>
    <row r="9" spans="1:28" s="41" customFormat="1" ht="29.45" customHeight="1">
      <c r="A9" s="38" t="s">
        <v>30</v>
      </c>
      <c r="B9" s="38" t="s">
        <v>31</v>
      </c>
      <c r="C9" s="38" t="s">
        <v>32</v>
      </c>
      <c r="D9" s="38">
        <v>18</v>
      </c>
      <c r="E9" s="38" t="s">
        <v>54</v>
      </c>
      <c r="F9" s="38" t="s">
        <v>30</v>
      </c>
      <c r="G9" s="38" t="s">
        <v>34</v>
      </c>
      <c r="H9" s="38" t="s">
        <v>55</v>
      </c>
      <c r="I9" s="39" t="s">
        <v>56</v>
      </c>
      <c r="J9" s="38">
        <v>480</v>
      </c>
      <c r="K9" s="38">
        <v>330</v>
      </c>
      <c r="L9" s="38">
        <f t="shared" si="0"/>
        <v>810</v>
      </c>
      <c r="M9" s="38">
        <v>1.6</v>
      </c>
      <c r="N9" s="38"/>
      <c r="O9" s="38">
        <v>10</v>
      </c>
      <c r="P9" s="38"/>
      <c r="Q9" s="38"/>
      <c r="R9" s="38"/>
      <c r="S9" s="38"/>
      <c r="T9" s="38"/>
      <c r="U9" s="38"/>
      <c r="V9" s="38"/>
      <c r="W9" s="40">
        <f t="shared" si="1"/>
        <v>91366742.530000001</v>
      </c>
      <c r="X9" s="40">
        <v>4701848.88</v>
      </c>
      <c r="Y9" s="40">
        <v>96068591.409999996</v>
      </c>
      <c r="Z9" s="40">
        <f>+Y9/$J$1</f>
        <v>176272.64478899082</v>
      </c>
      <c r="AA9" s="40"/>
      <c r="AB9" s="40">
        <f t="shared" si="2"/>
        <v>96068591.409999996</v>
      </c>
    </row>
    <row r="10" spans="1:28" s="41" customFormat="1" ht="29.45" customHeight="1">
      <c r="A10" s="38" t="s">
        <v>30</v>
      </c>
      <c r="B10" s="38" t="s">
        <v>31</v>
      </c>
      <c r="C10" s="38" t="s">
        <v>41</v>
      </c>
      <c r="D10" s="38">
        <v>18</v>
      </c>
      <c r="E10" s="38" t="s">
        <v>54</v>
      </c>
      <c r="F10" s="38" t="s">
        <v>30</v>
      </c>
      <c r="G10" s="38" t="s">
        <v>34</v>
      </c>
      <c r="H10" s="38" t="s">
        <v>57</v>
      </c>
      <c r="I10" s="39" t="s">
        <v>58</v>
      </c>
      <c r="J10" s="38">
        <v>400</v>
      </c>
      <c r="K10" s="38">
        <v>1900</v>
      </c>
      <c r="L10" s="38">
        <f t="shared" si="0"/>
        <v>2300</v>
      </c>
      <c r="M10" s="38">
        <v>2.7</v>
      </c>
      <c r="N10" s="38"/>
      <c r="O10" s="38">
        <v>10</v>
      </c>
      <c r="P10" s="38"/>
      <c r="Q10" s="38"/>
      <c r="R10" s="38"/>
      <c r="S10" s="38"/>
      <c r="T10" s="38"/>
      <c r="U10" s="38"/>
      <c r="V10" s="38"/>
      <c r="W10" s="40">
        <f t="shared" si="1"/>
        <v>211681665.08000001</v>
      </c>
      <c r="X10" s="40"/>
      <c r="Y10" s="40">
        <v>211681665.08000001</v>
      </c>
      <c r="Z10" s="40">
        <f>+Y10/$J$1</f>
        <v>388406.72491743125</v>
      </c>
      <c r="AA10" s="40"/>
      <c r="AB10" s="40">
        <f t="shared" si="2"/>
        <v>211681665.08000001</v>
      </c>
    </row>
    <row r="11" spans="1:28" s="41" customFormat="1" ht="29.45" customHeight="1">
      <c r="A11" s="38" t="s">
        <v>30</v>
      </c>
      <c r="B11" s="38" t="s">
        <v>59</v>
      </c>
      <c r="C11" s="38" t="s">
        <v>41</v>
      </c>
      <c r="D11" s="38">
        <v>1</v>
      </c>
      <c r="E11" s="38" t="s">
        <v>60</v>
      </c>
      <c r="F11" s="38" t="s">
        <v>30</v>
      </c>
      <c r="G11" s="38" t="s">
        <v>34</v>
      </c>
      <c r="H11" s="38" t="s">
        <v>61</v>
      </c>
      <c r="I11" s="39" t="s">
        <v>62</v>
      </c>
      <c r="J11" s="38">
        <v>2329</v>
      </c>
      <c r="K11" s="38"/>
      <c r="L11" s="38">
        <f t="shared" si="0"/>
        <v>2329</v>
      </c>
      <c r="M11" s="38">
        <v>6</v>
      </c>
      <c r="N11" s="38"/>
      <c r="O11" s="38"/>
      <c r="P11" s="38"/>
      <c r="Q11" s="38"/>
      <c r="R11" s="38"/>
      <c r="S11" s="38"/>
      <c r="T11" s="38"/>
      <c r="U11" s="38"/>
      <c r="V11" s="38"/>
      <c r="W11" s="40">
        <f t="shared" si="1"/>
        <v>297188815.62</v>
      </c>
      <c r="X11" s="40">
        <v>14800000</v>
      </c>
      <c r="Y11" s="40">
        <v>311988815.62</v>
      </c>
      <c r="Z11" s="40">
        <f>+Y11/$J$1</f>
        <v>572456.54242201836</v>
      </c>
      <c r="AA11" s="40"/>
      <c r="AB11" s="40">
        <f t="shared" si="2"/>
        <v>311988815.62</v>
      </c>
    </row>
    <row r="12" spans="1:28" s="41" customFormat="1" ht="29.45" customHeight="1">
      <c r="A12" s="38" t="s">
        <v>30</v>
      </c>
      <c r="B12" s="38" t="s">
        <v>59</v>
      </c>
      <c r="C12" s="38" t="s">
        <v>63</v>
      </c>
      <c r="D12" s="38">
        <v>1</v>
      </c>
      <c r="E12" s="38" t="s">
        <v>60</v>
      </c>
      <c r="F12" s="38" t="s">
        <v>30</v>
      </c>
      <c r="G12" s="38" t="s">
        <v>34</v>
      </c>
      <c r="H12" s="38" t="s">
        <v>64</v>
      </c>
      <c r="I12" s="39" t="s">
        <v>65</v>
      </c>
      <c r="J12" s="38">
        <v>4181</v>
      </c>
      <c r="K12" s="38"/>
      <c r="L12" s="38">
        <f t="shared" si="0"/>
        <v>4181</v>
      </c>
      <c r="M12" s="38">
        <v>7.9</v>
      </c>
      <c r="N12" s="38"/>
      <c r="O12" s="38"/>
      <c r="P12" s="38"/>
      <c r="Q12" s="38"/>
      <c r="R12" s="38"/>
      <c r="S12" s="38"/>
      <c r="T12" s="38"/>
      <c r="U12" s="38"/>
      <c r="V12" s="38"/>
      <c r="W12" s="40">
        <f t="shared" si="1"/>
        <v>702259095.83000004</v>
      </c>
      <c r="X12" s="40">
        <v>35697000</v>
      </c>
      <c r="Y12" s="40">
        <v>737956095.83000004</v>
      </c>
      <c r="Z12" s="40">
        <f>+Y12/$J$1</f>
        <v>1354047.8822568809</v>
      </c>
      <c r="AA12" s="40"/>
      <c r="AB12" s="40">
        <f t="shared" si="2"/>
        <v>737956095.83000004</v>
      </c>
    </row>
    <row r="13" spans="1:28" s="41" customFormat="1" ht="29.45" customHeight="1">
      <c r="A13" s="38" t="s">
        <v>30</v>
      </c>
      <c r="B13" s="38" t="s">
        <v>59</v>
      </c>
      <c r="C13" s="38" t="s">
        <v>66</v>
      </c>
      <c r="D13" s="38">
        <v>1</v>
      </c>
      <c r="E13" s="38" t="s">
        <v>60</v>
      </c>
      <c r="F13" s="38" t="s">
        <v>30</v>
      </c>
      <c r="G13" s="38" t="s">
        <v>34</v>
      </c>
      <c r="H13" s="38" t="s">
        <v>67</v>
      </c>
      <c r="I13" s="39" t="s">
        <v>68</v>
      </c>
      <c r="J13" s="38">
        <v>1337</v>
      </c>
      <c r="K13" s="38"/>
      <c r="L13" s="38">
        <f t="shared" si="0"/>
        <v>1337</v>
      </c>
      <c r="M13" s="38">
        <v>2.8</v>
      </c>
      <c r="N13" s="38"/>
      <c r="O13" s="38"/>
      <c r="P13" s="38"/>
      <c r="Q13" s="38"/>
      <c r="R13" s="38"/>
      <c r="S13" s="38"/>
      <c r="T13" s="38"/>
      <c r="U13" s="38"/>
      <c r="V13" s="38"/>
      <c r="W13" s="40">
        <f t="shared" si="1"/>
        <v>268894656.33999997</v>
      </c>
      <c r="X13" s="40">
        <v>13500</v>
      </c>
      <c r="Y13" s="40">
        <v>268908156.33999997</v>
      </c>
      <c r="Z13" s="40">
        <f>+Y13/$J$1</f>
        <v>493409.46117431187</v>
      </c>
      <c r="AA13" s="40"/>
      <c r="AB13" s="40">
        <f t="shared" si="2"/>
        <v>268908156.33999997</v>
      </c>
    </row>
    <row r="14" spans="1:28" s="41" customFormat="1" ht="29.45" customHeight="1">
      <c r="A14" s="38" t="s">
        <v>30</v>
      </c>
      <c r="B14" s="38" t="s">
        <v>59</v>
      </c>
      <c r="C14" s="38" t="s">
        <v>32</v>
      </c>
      <c r="D14" s="38">
        <v>4</v>
      </c>
      <c r="E14" s="38" t="s">
        <v>60</v>
      </c>
      <c r="F14" s="38" t="s">
        <v>30</v>
      </c>
      <c r="G14" s="38" t="s">
        <v>34</v>
      </c>
      <c r="H14" s="38" t="s">
        <v>69</v>
      </c>
      <c r="I14" s="39" t="s">
        <v>70</v>
      </c>
      <c r="J14" s="38">
        <v>1450</v>
      </c>
      <c r="K14" s="38">
        <v>6450</v>
      </c>
      <c r="L14" s="38">
        <f t="shared" si="0"/>
        <v>7900</v>
      </c>
      <c r="M14" s="38">
        <v>10</v>
      </c>
      <c r="N14" s="38"/>
      <c r="O14" s="38">
        <v>9.89</v>
      </c>
      <c r="P14" s="38"/>
      <c r="Q14" s="38"/>
      <c r="R14" s="38"/>
      <c r="S14" s="38"/>
      <c r="T14" s="38"/>
      <c r="U14" s="38"/>
      <c r="V14" s="38"/>
      <c r="W14" s="40">
        <f t="shared" si="1"/>
        <v>552891607.36000001</v>
      </c>
      <c r="X14" s="40">
        <v>25596834</v>
      </c>
      <c r="Y14" s="40">
        <v>578488441.36000001</v>
      </c>
      <c r="Z14" s="40">
        <f>+Y14/$J$1</f>
        <v>1061446.6813944955</v>
      </c>
      <c r="AA14" s="40"/>
      <c r="AB14" s="40">
        <f t="shared" si="2"/>
        <v>578488441.36000001</v>
      </c>
    </row>
    <row r="15" spans="1:28" s="41" customFormat="1" ht="29.45" customHeight="1">
      <c r="A15" s="38" t="s">
        <v>30</v>
      </c>
      <c r="B15" s="38" t="s">
        <v>31</v>
      </c>
      <c r="C15" s="38" t="s">
        <v>32</v>
      </c>
      <c r="D15" s="38">
        <v>16</v>
      </c>
      <c r="E15" s="38" t="s">
        <v>71</v>
      </c>
      <c r="F15" s="38" t="s">
        <v>30</v>
      </c>
      <c r="G15" s="38" t="s">
        <v>34</v>
      </c>
      <c r="H15" s="38" t="s">
        <v>72</v>
      </c>
      <c r="I15" s="39" t="s">
        <v>73</v>
      </c>
      <c r="J15" s="38">
        <v>660</v>
      </c>
      <c r="K15" s="38">
        <v>3714</v>
      </c>
      <c r="L15" s="38">
        <f t="shared" si="0"/>
        <v>4374</v>
      </c>
      <c r="M15" s="38">
        <v>7.2</v>
      </c>
      <c r="N15" s="38"/>
      <c r="O15" s="38">
        <v>10</v>
      </c>
      <c r="P15" s="38"/>
      <c r="Q15" s="38"/>
      <c r="R15" s="38"/>
      <c r="S15" s="38"/>
      <c r="T15" s="38"/>
      <c r="U15" s="38"/>
      <c r="V15" s="38"/>
      <c r="W15" s="40">
        <f t="shared" si="1"/>
        <v>307050674.10000002</v>
      </c>
      <c r="X15" s="40"/>
      <c r="Y15" s="40">
        <v>307050674.10000002</v>
      </c>
      <c r="Z15" s="40">
        <f>+Y15/$J$1</f>
        <v>563395.73229357798</v>
      </c>
      <c r="AA15" s="40"/>
      <c r="AB15" s="40">
        <f t="shared" si="2"/>
        <v>307050674.10000002</v>
      </c>
    </row>
    <row r="16" spans="1:28" s="41" customFormat="1" ht="29.45" customHeight="1">
      <c r="A16" s="38" t="s">
        <v>30</v>
      </c>
      <c r="B16" s="38" t="s">
        <v>59</v>
      </c>
      <c r="C16" s="38" t="s">
        <v>32</v>
      </c>
      <c r="D16" s="38">
        <v>3</v>
      </c>
      <c r="E16" s="38" t="s">
        <v>74</v>
      </c>
      <c r="F16" s="38" t="s">
        <v>30</v>
      </c>
      <c r="G16" s="38" t="s">
        <v>34</v>
      </c>
      <c r="H16" s="38" t="s">
        <v>75</v>
      </c>
      <c r="I16" s="39" t="s">
        <v>76</v>
      </c>
      <c r="J16" s="38">
        <v>10984</v>
      </c>
      <c r="K16" s="38"/>
      <c r="L16" s="38">
        <f t="shared" si="0"/>
        <v>10984</v>
      </c>
      <c r="M16" s="38">
        <v>5.78</v>
      </c>
      <c r="N16" s="38"/>
      <c r="O16" s="38"/>
      <c r="P16" s="38"/>
      <c r="Q16" s="38"/>
      <c r="R16" s="38"/>
      <c r="S16" s="38"/>
      <c r="T16" s="38"/>
      <c r="U16" s="38"/>
      <c r="V16" s="38"/>
      <c r="W16" s="40">
        <f t="shared" si="1"/>
        <v>591473359</v>
      </c>
      <c r="X16" s="40">
        <v>27638942</v>
      </c>
      <c r="Y16" s="40">
        <v>619112301</v>
      </c>
      <c r="Z16" s="40">
        <f>+Y16/$J$1</f>
        <v>1135985.8733944953</v>
      </c>
      <c r="AA16" s="38"/>
      <c r="AB16" s="40">
        <f t="shared" si="2"/>
        <v>619112301</v>
      </c>
    </row>
    <row r="17" spans="1:28" s="41" customFormat="1" ht="29.45" customHeight="1">
      <c r="A17" s="38" t="s">
        <v>30</v>
      </c>
      <c r="B17" s="38" t="s">
        <v>37</v>
      </c>
      <c r="C17" s="38" t="s">
        <v>32</v>
      </c>
      <c r="D17" s="38">
        <v>13</v>
      </c>
      <c r="E17" s="38" t="s">
        <v>77</v>
      </c>
      <c r="F17" s="38" t="s">
        <v>30</v>
      </c>
      <c r="G17" s="38" t="s">
        <v>34</v>
      </c>
      <c r="H17" s="38" t="s">
        <v>78</v>
      </c>
      <c r="I17" s="39" t="s">
        <v>79</v>
      </c>
      <c r="J17" s="38">
        <v>477</v>
      </c>
      <c r="K17" s="38">
        <v>2556</v>
      </c>
      <c r="L17" s="38">
        <f t="shared" si="0"/>
        <v>3033</v>
      </c>
      <c r="M17" s="38">
        <v>1.7</v>
      </c>
      <c r="N17" s="38">
        <v>6</v>
      </c>
      <c r="O17" s="38"/>
      <c r="P17" s="38"/>
      <c r="Q17" s="38"/>
      <c r="R17" s="38"/>
      <c r="S17" s="38"/>
      <c r="T17" s="38"/>
      <c r="U17" s="38"/>
      <c r="V17" s="38"/>
      <c r="W17" s="40">
        <f t="shared" si="1"/>
        <v>220503758.42000002</v>
      </c>
      <c r="X17" s="40">
        <v>12470178.42</v>
      </c>
      <c r="Y17" s="40">
        <v>232973936.84</v>
      </c>
      <c r="Z17" s="40">
        <f>+Y17/$J$1</f>
        <v>427475.1134678899</v>
      </c>
      <c r="AA17" s="38"/>
      <c r="AB17" s="40">
        <f t="shared" si="2"/>
        <v>232973936.84</v>
      </c>
    </row>
    <row r="18" spans="1:28" s="41" customFormat="1" ht="29.45" customHeight="1">
      <c r="A18" s="38" t="s">
        <v>30</v>
      </c>
      <c r="B18" s="38" t="s">
        <v>37</v>
      </c>
      <c r="C18" s="38" t="s">
        <v>63</v>
      </c>
      <c r="D18" s="38">
        <v>14</v>
      </c>
      <c r="E18" s="38" t="s">
        <v>77</v>
      </c>
      <c r="F18" s="38" t="s">
        <v>30</v>
      </c>
      <c r="G18" s="38" t="s">
        <v>34</v>
      </c>
      <c r="H18" s="38" t="s">
        <v>80</v>
      </c>
      <c r="I18" s="39" t="s">
        <v>81</v>
      </c>
      <c r="J18" s="38">
        <v>8660</v>
      </c>
      <c r="K18" s="38">
        <v>824</v>
      </c>
      <c r="L18" s="38">
        <f t="shared" si="0"/>
        <v>9484</v>
      </c>
      <c r="M18" s="38">
        <v>2.6</v>
      </c>
      <c r="N18" s="38"/>
      <c r="O18" s="38"/>
      <c r="P18" s="38"/>
      <c r="Q18" s="38"/>
      <c r="R18" s="38"/>
      <c r="S18" s="38"/>
      <c r="T18" s="38"/>
      <c r="U18" s="38"/>
      <c r="V18" s="38"/>
      <c r="W18" s="40">
        <f t="shared" si="1"/>
        <v>239114677.59999999</v>
      </c>
      <c r="X18" s="40">
        <v>15534965.6</v>
      </c>
      <c r="Y18" s="40">
        <v>254649643.19999999</v>
      </c>
      <c r="Z18" s="40">
        <f>+Y18/$J$1</f>
        <v>467247.05174311926</v>
      </c>
      <c r="AA18" s="38"/>
      <c r="AB18" s="40">
        <f t="shared" si="2"/>
        <v>254649643.19999999</v>
      </c>
    </row>
    <row r="19" spans="1:28" s="41" customFormat="1" ht="29.45" customHeight="1">
      <c r="A19" s="38" t="s">
        <v>30</v>
      </c>
      <c r="B19" s="38" t="s">
        <v>59</v>
      </c>
      <c r="C19" s="38" t="s">
        <v>32</v>
      </c>
      <c r="D19" s="38">
        <v>2</v>
      </c>
      <c r="E19" s="38" t="s">
        <v>82</v>
      </c>
      <c r="F19" s="38" t="s">
        <v>30</v>
      </c>
      <c r="G19" s="38" t="s">
        <v>34</v>
      </c>
      <c r="H19" s="38" t="s">
        <v>83</v>
      </c>
      <c r="I19" s="39" t="s">
        <v>84</v>
      </c>
      <c r="J19" s="38">
        <v>600</v>
      </c>
      <c r="K19" s="38">
        <v>1000</v>
      </c>
      <c r="L19" s="38">
        <f t="shared" ref="L19:L28" si="3">+K19+J19</f>
        <v>1600</v>
      </c>
      <c r="M19" s="38">
        <v>2</v>
      </c>
      <c r="N19" s="38"/>
      <c r="O19" s="38"/>
      <c r="P19" s="38"/>
      <c r="Q19" s="38"/>
      <c r="R19" s="38"/>
      <c r="S19" s="38"/>
      <c r="T19" s="38"/>
      <c r="U19" s="38"/>
      <c r="V19" s="38"/>
      <c r="W19" s="40">
        <f t="shared" si="1"/>
        <v>172374244.98000002</v>
      </c>
      <c r="X19" s="40">
        <v>8208297.3799999999</v>
      </c>
      <c r="Y19" s="40">
        <v>180582542.36000001</v>
      </c>
      <c r="Z19" s="40">
        <f>+Y19/$J$1</f>
        <v>331344.11442201835</v>
      </c>
      <c r="AA19" s="38"/>
      <c r="AB19" s="40">
        <f t="shared" ref="AB19:AB38" si="4">+AA19+Y19</f>
        <v>180582542.36000001</v>
      </c>
    </row>
    <row r="20" spans="1:28" s="41" customFormat="1" ht="29.45" customHeight="1">
      <c r="A20" s="38" t="s">
        <v>30</v>
      </c>
      <c r="B20" s="38" t="s">
        <v>59</v>
      </c>
      <c r="C20" s="38" t="s">
        <v>41</v>
      </c>
      <c r="D20" s="38">
        <v>2</v>
      </c>
      <c r="E20" s="38" t="s">
        <v>82</v>
      </c>
      <c r="F20" s="38" t="s">
        <v>30</v>
      </c>
      <c r="G20" s="38" t="s">
        <v>34</v>
      </c>
      <c r="H20" s="38" t="s">
        <v>85</v>
      </c>
      <c r="I20" s="39" t="s">
        <v>86</v>
      </c>
      <c r="J20" s="38">
        <v>600</v>
      </c>
      <c r="K20" s="38">
        <v>1000</v>
      </c>
      <c r="L20" s="38">
        <f t="shared" si="3"/>
        <v>1600</v>
      </c>
      <c r="M20" s="38">
        <v>2.5</v>
      </c>
      <c r="N20" s="38"/>
      <c r="O20" s="38"/>
      <c r="P20" s="38"/>
      <c r="Q20" s="38"/>
      <c r="R20" s="38"/>
      <c r="S20" s="38"/>
      <c r="T20" s="38"/>
      <c r="U20" s="38"/>
      <c r="V20" s="38"/>
      <c r="W20" s="40">
        <f t="shared" si="1"/>
        <v>227407215</v>
      </c>
      <c r="X20" s="40">
        <v>10828915</v>
      </c>
      <c r="Y20" s="40">
        <v>238236130</v>
      </c>
      <c r="Z20" s="40">
        <f>+Y20/$J$1</f>
        <v>437130.51376146788</v>
      </c>
      <c r="AA20" s="38"/>
      <c r="AB20" s="40">
        <f t="shared" si="4"/>
        <v>238236130</v>
      </c>
    </row>
    <row r="21" spans="1:28" s="41" customFormat="1" ht="29.45" customHeight="1">
      <c r="A21" s="38" t="s">
        <v>30</v>
      </c>
      <c r="B21" s="38" t="s">
        <v>59</v>
      </c>
      <c r="C21" s="38" t="s">
        <v>32</v>
      </c>
      <c r="D21" s="38">
        <v>2</v>
      </c>
      <c r="E21" s="38" t="s">
        <v>87</v>
      </c>
      <c r="F21" s="38" t="s">
        <v>30</v>
      </c>
      <c r="G21" s="38" t="s">
        <v>34</v>
      </c>
      <c r="H21" s="38" t="s">
        <v>88</v>
      </c>
      <c r="I21" s="39" t="s">
        <v>89</v>
      </c>
      <c r="J21" s="38">
        <v>440</v>
      </c>
      <c r="K21" s="38">
        <v>5000</v>
      </c>
      <c r="L21" s="38">
        <f t="shared" si="3"/>
        <v>5440</v>
      </c>
      <c r="M21" s="38">
        <v>5.28</v>
      </c>
      <c r="N21" s="38"/>
      <c r="O21" s="38">
        <v>8.85</v>
      </c>
      <c r="P21" s="38"/>
      <c r="Q21" s="38"/>
      <c r="R21" s="38"/>
      <c r="S21" s="38"/>
      <c r="T21" s="38"/>
      <c r="U21" s="38"/>
      <c r="V21" s="38"/>
      <c r="W21" s="40">
        <v>477506732.19</v>
      </c>
      <c r="X21" s="40">
        <v>18000000</v>
      </c>
      <c r="Y21" s="40">
        <f>+X21+W21</f>
        <v>495506732.19</v>
      </c>
      <c r="Z21" s="40">
        <f>+Y21/$J$1</f>
        <v>909186.66456880735</v>
      </c>
      <c r="AA21" s="38"/>
      <c r="AB21" s="40">
        <f t="shared" si="4"/>
        <v>495506732.19</v>
      </c>
    </row>
    <row r="22" spans="1:28" s="41" customFormat="1" ht="29.45" customHeight="1">
      <c r="A22" s="38" t="s">
        <v>30</v>
      </c>
      <c r="B22" s="38" t="s">
        <v>44</v>
      </c>
      <c r="C22" s="38" t="s">
        <v>32</v>
      </c>
      <c r="D22" s="38">
        <v>6</v>
      </c>
      <c r="E22" s="38" t="s">
        <v>90</v>
      </c>
      <c r="F22" s="38" t="s">
        <v>30</v>
      </c>
      <c r="G22" s="38" t="s">
        <v>34</v>
      </c>
      <c r="H22" s="38" t="s">
        <v>91</v>
      </c>
      <c r="I22" s="39" t="s">
        <v>92</v>
      </c>
      <c r="J22" s="38">
        <v>598</v>
      </c>
      <c r="K22" s="38">
        <v>11074</v>
      </c>
      <c r="L22" s="38">
        <f t="shared" si="3"/>
        <v>11672</v>
      </c>
      <c r="M22" s="38">
        <v>6.86</v>
      </c>
      <c r="N22" s="38"/>
      <c r="O22" s="38">
        <v>9.5</v>
      </c>
      <c r="P22" s="38"/>
      <c r="Q22" s="38"/>
      <c r="R22" s="38"/>
      <c r="S22" s="38"/>
      <c r="T22" s="38"/>
      <c r="U22" s="38"/>
      <c r="V22" s="38"/>
      <c r="W22" s="40">
        <f t="shared" ref="W22:W38" si="5">+Y22-X22</f>
        <v>687078536</v>
      </c>
      <c r="X22" s="40">
        <v>20011900</v>
      </c>
      <c r="Y22" s="40">
        <v>707090436</v>
      </c>
      <c r="Z22" s="40">
        <f>+Y22/$J$1</f>
        <v>1297413.6440366972</v>
      </c>
      <c r="AA22" s="38"/>
      <c r="AB22" s="40">
        <f t="shared" si="4"/>
        <v>707090436</v>
      </c>
    </row>
    <row r="23" spans="1:28" s="41" customFormat="1" ht="29.45" customHeight="1">
      <c r="A23" s="38" t="s">
        <v>30</v>
      </c>
      <c r="B23" s="38" t="s">
        <v>44</v>
      </c>
      <c r="C23" s="38" t="s">
        <v>32</v>
      </c>
      <c r="D23" s="38">
        <v>5</v>
      </c>
      <c r="E23" s="38" t="s">
        <v>93</v>
      </c>
      <c r="F23" s="38" t="s">
        <v>30</v>
      </c>
      <c r="G23" s="38" t="s">
        <v>34</v>
      </c>
      <c r="H23" s="38" t="s">
        <v>94</v>
      </c>
      <c r="I23" s="39" t="s">
        <v>95</v>
      </c>
      <c r="J23" s="38">
        <v>2897</v>
      </c>
      <c r="K23" s="38">
        <v>5700</v>
      </c>
      <c r="L23" s="38">
        <f t="shared" si="3"/>
        <v>8597</v>
      </c>
      <c r="M23" s="38">
        <v>6.2</v>
      </c>
      <c r="N23" s="38"/>
      <c r="O23" s="38">
        <v>9.5</v>
      </c>
      <c r="P23" s="38"/>
      <c r="Q23" s="38"/>
      <c r="R23" s="38"/>
      <c r="S23" s="38"/>
      <c r="T23" s="38"/>
      <c r="U23" s="38"/>
      <c r="V23" s="38"/>
      <c r="W23" s="40">
        <f t="shared" si="5"/>
        <v>474572360</v>
      </c>
      <c r="X23" s="40">
        <v>13559200</v>
      </c>
      <c r="Y23" s="40">
        <v>488131560</v>
      </c>
      <c r="Z23" s="40">
        <f>+Y23/$J$1</f>
        <v>895654.23853211012</v>
      </c>
      <c r="AA23" s="38"/>
      <c r="AB23" s="40">
        <f t="shared" si="4"/>
        <v>488131560</v>
      </c>
    </row>
    <row r="24" spans="1:28" s="41" customFormat="1" ht="29.45" customHeight="1">
      <c r="A24" s="38" t="s">
        <v>30</v>
      </c>
      <c r="B24" s="38" t="s">
        <v>96</v>
      </c>
      <c r="C24" s="38" t="s">
        <v>32</v>
      </c>
      <c r="D24" s="38">
        <v>14</v>
      </c>
      <c r="E24" s="38" t="s">
        <v>96</v>
      </c>
      <c r="F24" s="38" t="s">
        <v>30</v>
      </c>
      <c r="G24" s="38" t="s">
        <v>34</v>
      </c>
      <c r="H24" s="38" t="s">
        <v>97</v>
      </c>
      <c r="I24" s="39" t="s">
        <v>98</v>
      </c>
      <c r="J24" s="38">
        <v>700</v>
      </c>
      <c r="K24" s="38">
        <v>15543</v>
      </c>
      <c r="L24" s="38">
        <f t="shared" si="3"/>
        <v>16243</v>
      </c>
      <c r="M24" s="38">
        <v>5.29</v>
      </c>
      <c r="N24" s="38"/>
      <c r="O24" s="38"/>
      <c r="P24" s="38"/>
      <c r="Q24" s="38"/>
      <c r="R24" s="38"/>
      <c r="S24" s="38"/>
      <c r="T24" s="38"/>
      <c r="U24" s="38"/>
      <c r="V24" s="38"/>
      <c r="W24" s="40">
        <f t="shared" si="5"/>
        <v>467042584.10000002</v>
      </c>
      <c r="X24" s="40">
        <v>22325252</v>
      </c>
      <c r="Y24" s="40">
        <v>489367836.10000002</v>
      </c>
      <c r="Z24" s="40">
        <f>+Y24/$J$1</f>
        <v>897922.6350458716</v>
      </c>
      <c r="AA24" s="38"/>
      <c r="AB24" s="40">
        <f t="shared" si="4"/>
        <v>489367836.10000002</v>
      </c>
    </row>
    <row r="25" spans="1:28" s="41" customFormat="1" ht="29.45" customHeight="1">
      <c r="A25" s="38" t="s">
        <v>30</v>
      </c>
      <c r="B25" s="38" t="s">
        <v>31</v>
      </c>
      <c r="C25" s="38" t="s">
        <v>32</v>
      </c>
      <c r="D25" s="38">
        <v>17</v>
      </c>
      <c r="E25" s="38" t="s">
        <v>99</v>
      </c>
      <c r="F25" s="38" t="s">
        <v>30</v>
      </c>
      <c r="G25" s="38" t="s">
        <v>34</v>
      </c>
      <c r="H25" s="38" t="s">
        <v>100</v>
      </c>
      <c r="I25" s="39" t="s">
        <v>101</v>
      </c>
      <c r="J25" s="38">
        <v>615</v>
      </c>
      <c r="K25" s="38">
        <v>1500</v>
      </c>
      <c r="L25" s="38">
        <f t="shared" si="3"/>
        <v>2115</v>
      </c>
      <c r="M25" s="38">
        <v>5</v>
      </c>
      <c r="N25" s="38"/>
      <c r="O25" s="38">
        <v>10</v>
      </c>
      <c r="P25" s="38"/>
      <c r="Q25" s="38"/>
      <c r="R25" s="38"/>
      <c r="S25" s="38"/>
      <c r="T25" s="38"/>
      <c r="U25" s="38"/>
      <c r="V25" s="38"/>
      <c r="W25" s="40">
        <f t="shared" si="5"/>
        <v>260620553.05000001</v>
      </c>
      <c r="X25" s="40"/>
      <c r="Y25" s="40">
        <v>260620553.05000001</v>
      </c>
      <c r="Z25" s="40">
        <f>+Y25/$J$1</f>
        <v>478202.84963302757</v>
      </c>
      <c r="AA25" s="38"/>
      <c r="AB25" s="40">
        <f t="shared" si="4"/>
        <v>260620553.05000001</v>
      </c>
    </row>
    <row r="26" spans="1:28" s="41" customFormat="1" ht="29.45" customHeight="1">
      <c r="A26" s="38" t="s">
        <v>30</v>
      </c>
      <c r="B26" s="38" t="s">
        <v>47</v>
      </c>
      <c r="C26" s="38" t="s">
        <v>41</v>
      </c>
      <c r="D26" s="38">
        <v>11</v>
      </c>
      <c r="E26" s="38" t="s">
        <v>102</v>
      </c>
      <c r="F26" s="38" t="s">
        <v>30</v>
      </c>
      <c r="G26" s="38" t="s">
        <v>34</v>
      </c>
      <c r="H26" s="38" t="s">
        <v>103</v>
      </c>
      <c r="I26" s="39" t="s">
        <v>104</v>
      </c>
      <c r="J26" s="38">
        <v>157</v>
      </c>
      <c r="K26" s="38">
        <v>8117</v>
      </c>
      <c r="L26" s="38">
        <f t="shared" si="3"/>
        <v>8274</v>
      </c>
      <c r="M26" s="38">
        <v>1.1000000000000001</v>
      </c>
      <c r="N26" s="38"/>
      <c r="O26" s="38"/>
      <c r="P26" s="38"/>
      <c r="Q26" s="38"/>
      <c r="R26" s="38"/>
      <c r="S26" s="38"/>
      <c r="T26" s="38"/>
      <c r="U26" s="38"/>
      <c r="V26" s="38"/>
      <c r="W26" s="40">
        <f t="shared" si="5"/>
        <v>96777074.829999998</v>
      </c>
      <c r="X26" s="40">
        <v>10000000</v>
      </c>
      <c r="Y26" s="40">
        <v>106777074.83</v>
      </c>
      <c r="Z26" s="40">
        <f>+Y26/$J$1</f>
        <v>195921.23822018347</v>
      </c>
      <c r="AA26" s="38"/>
      <c r="AB26" s="40">
        <f t="shared" si="4"/>
        <v>106777074.83</v>
      </c>
    </row>
    <row r="27" spans="1:28" s="41" customFormat="1" ht="29.45" customHeight="1">
      <c r="A27" s="38" t="s">
        <v>30</v>
      </c>
      <c r="B27" s="38" t="s">
        <v>31</v>
      </c>
      <c r="C27" s="38" t="s">
        <v>32</v>
      </c>
      <c r="D27" s="38">
        <v>18</v>
      </c>
      <c r="E27" s="38" t="s">
        <v>105</v>
      </c>
      <c r="F27" s="38" t="s">
        <v>30</v>
      </c>
      <c r="G27" s="38" t="s">
        <v>34</v>
      </c>
      <c r="H27" s="38" t="s">
        <v>106</v>
      </c>
      <c r="I27" s="39" t="s">
        <v>107</v>
      </c>
      <c r="J27" s="38">
        <v>665</v>
      </c>
      <c r="K27" s="38">
        <v>2000</v>
      </c>
      <c r="L27" s="38">
        <f t="shared" si="3"/>
        <v>2665</v>
      </c>
      <c r="M27" s="38">
        <v>4.5999999999999996</v>
      </c>
      <c r="N27" s="38"/>
      <c r="O27" s="38">
        <v>10</v>
      </c>
      <c r="P27" s="38"/>
      <c r="Q27" s="38"/>
      <c r="R27" s="38"/>
      <c r="S27" s="38"/>
      <c r="T27" s="38"/>
      <c r="U27" s="38"/>
      <c r="V27" s="38"/>
      <c r="W27" s="40">
        <f t="shared" si="5"/>
        <v>295166040.86000001</v>
      </c>
      <c r="X27" s="40"/>
      <c r="Y27" s="40">
        <v>295166040.86000001</v>
      </c>
      <c r="Z27" s="40">
        <f>+Y27/$J$1</f>
        <v>541589.06579816516</v>
      </c>
      <c r="AA27" s="38"/>
      <c r="AB27" s="40">
        <f t="shared" si="4"/>
        <v>295166040.86000001</v>
      </c>
    </row>
    <row r="28" spans="1:28" s="41" customFormat="1" ht="29.45" customHeight="1">
      <c r="A28" s="38" t="s">
        <v>30</v>
      </c>
      <c r="B28" s="38" t="s">
        <v>37</v>
      </c>
      <c r="C28" s="38" t="s">
        <v>32</v>
      </c>
      <c r="D28" s="38">
        <v>13</v>
      </c>
      <c r="E28" s="38" t="s">
        <v>108</v>
      </c>
      <c r="F28" s="38" t="s">
        <v>30</v>
      </c>
      <c r="G28" s="38" t="s">
        <v>34</v>
      </c>
      <c r="H28" s="38" t="s">
        <v>109</v>
      </c>
      <c r="I28" s="39" t="s">
        <v>110</v>
      </c>
      <c r="J28" s="38">
        <v>513</v>
      </c>
      <c r="K28" s="38">
        <v>5000</v>
      </c>
      <c r="L28" s="38">
        <f t="shared" si="3"/>
        <v>5513</v>
      </c>
      <c r="M28" s="38">
        <v>2.1230000000000002</v>
      </c>
      <c r="N28" s="38"/>
      <c r="O28" s="38"/>
      <c r="P28" s="38"/>
      <c r="Q28" s="38"/>
      <c r="R28" s="38"/>
      <c r="S28" s="38"/>
      <c r="T28" s="38"/>
      <c r="U28" s="38"/>
      <c r="V28" s="38"/>
      <c r="W28" s="40">
        <f t="shared" si="5"/>
        <v>194616083.66</v>
      </c>
      <c r="X28" s="40">
        <v>6258000</v>
      </c>
      <c r="Y28" s="40">
        <v>200874083.66</v>
      </c>
      <c r="Z28" s="40">
        <f>+Y28/$J$1</f>
        <v>368576.30029357795</v>
      </c>
      <c r="AA28" s="38"/>
      <c r="AB28" s="40">
        <f t="shared" si="4"/>
        <v>200874083.66</v>
      </c>
    </row>
    <row r="29" spans="1:28" s="41" customFormat="1" ht="29.45" customHeight="1">
      <c r="A29" s="38" t="s">
        <v>30</v>
      </c>
      <c r="B29" s="38" t="s">
        <v>44</v>
      </c>
      <c r="C29" s="38" t="s">
        <v>32</v>
      </c>
      <c r="D29" s="38">
        <v>5</v>
      </c>
      <c r="E29" s="38" t="s">
        <v>111</v>
      </c>
      <c r="F29" s="38" t="s">
        <v>30</v>
      </c>
      <c r="G29" s="38" t="s">
        <v>34</v>
      </c>
      <c r="H29" s="38" t="s">
        <v>112</v>
      </c>
      <c r="I29" s="39" t="s">
        <v>113</v>
      </c>
      <c r="J29" s="38">
        <v>2000</v>
      </c>
      <c r="K29" s="38">
        <v>5966</v>
      </c>
      <c r="L29" s="38">
        <f t="shared" ref="L29:L46" si="6">+K29+J29</f>
        <v>7966</v>
      </c>
      <c r="M29" s="38">
        <v>5</v>
      </c>
      <c r="N29" s="38"/>
      <c r="O29" s="38"/>
      <c r="P29" s="38"/>
      <c r="Q29" s="38"/>
      <c r="R29" s="38"/>
      <c r="S29" s="38"/>
      <c r="T29" s="38"/>
      <c r="U29" s="38"/>
      <c r="V29" s="38"/>
      <c r="W29" s="40">
        <f t="shared" si="5"/>
        <v>215202288.18000001</v>
      </c>
      <c r="X29" s="40">
        <v>6148636.8099999996</v>
      </c>
      <c r="Y29" s="40">
        <v>221350924.99000001</v>
      </c>
      <c r="Z29" s="40">
        <f>+Y29/$J$1</f>
        <v>406148.48622018349</v>
      </c>
      <c r="AA29" s="38"/>
      <c r="AB29" s="40">
        <f t="shared" si="4"/>
        <v>221350924.99000001</v>
      </c>
    </row>
    <row r="30" spans="1:28" s="41" customFormat="1" ht="29.45" customHeight="1">
      <c r="A30" s="38" t="s">
        <v>30</v>
      </c>
      <c r="B30" s="38" t="s">
        <v>44</v>
      </c>
      <c r="C30" s="38" t="s">
        <v>41</v>
      </c>
      <c r="D30" s="38">
        <v>9</v>
      </c>
      <c r="E30" s="38" t="s">
        <v>111</v>
      </c>
      <c r="F30" s="38" t="s">
        <v>30</v>
      </c>
      <c r="G30" s="38" t="s">
        <v>34</v>
      </c>
      <c r="H30" s="38" t="s">
        <v>114</v>
      </c>
      <c r="I30" s="39" t="s">
        <v>115</v>
      </c>
      <c r="J30" s="38">
        <v>1555</v>
      </c>
      <c r="K30" s="38">
        <v>1534</v>
      </c>
      <c r="L30" s="38">
        <f t="shared" si="6"/>
        <v>3089</v>
      </c>
      <c r="M30" s="38">
        <v>8.25</v>
      </c>
      <c r="N30" s="38">
        <v>18</v>
      </c>
      <c r="O30" s="38"/>
      <c r="P30" s="38"/>
      <c r="Q30" s="38"/>
      <c r="R30" s="38"/>
      <c r="S30" s="38"/>
      <c r="T30" s="38"/>
      <c r="U30" s="38"/>
      <c r="V30" s="38"/>
      <c r="W30" s="40">
        <f t="shared" si="5"/>
        <v>474337308.38999999</v>
      </c>
      <c r="X30" s="40">
        <v>8631723.0999999996</v>
      </c>
      <c r="Y30" s="40">
        <v>482969031.49000001</v>
      </c>
      <c r="Z30" s="40">
        <f>+Y30/$J$1</f>
        <v>886181.70915596327</v>
      </c>
      <c r="AA30" s="38"/>
      <c r="AB30" s="40">
        <f t="shared" si="4"/>
        <v>482969031.49000001</v>
      </c>
    </row>
    <row r="31" spans="1:28" s="41" customFormat="1" ht="29.45" customHeight="1">
      <c r="A31" s="38" t="s">
        <v>30</v>
      </c>
      <c r="B31" s="38" t="s">
        <v>116</v>
      </c>
      <c r="C31" s="38" t="s">
        <v>32</v>
      </c>
      <c r="D31" s="38">
        <v>7</v>
      </c>
      <c r="E31" s="38" t="s">
        <v>117</v>
      </c>
      <c r="F31" s="38" t="s">
        <v>30</v>
      </c>
      <c r="G31" s="38" t="s">
        <v>34</v>
      </c>
      <c r="H31" s="38" t="s">
        <v>118</v>
      </c>
      <c r="I31" s="39" t="s">
        <v>119</v>
      </c>
      <c r="J31" s="38">
        <v>3240</v>
      </c>
      <c r="K31" s="38">
        <v>2100</v>
      </c>
      <c r="L31" s="38">
        <f t="shared" si="6"/>
        <v>5340</v>
      </c>
      <c r="M31" s="38">
        <f>0.537+2.93</f>
        <v>3.4670000000000001</v>
      </c>
      <c r="N31" s="38"/>
      <c r="O31" s="38"/>
      <c r="P31" s="38"/>
      <c r="Q31" s="38"/>
      <c r="R31" s="38"/>
      <c r="S31" s="38"/>
      <c r="T31" s="38"/>
      <c r="U31" s="38"/>
      <c r="V31" s="38"/>
      <c r="W31" s="40">
        <f t="shared" si="5"/>
        <v>398016250.76999998</v>
      </c>
      <c r="X31" s="40">
        <v>18867777.370000001</v>
      </c>
      <c r="Y31" s="40">
        <v>416884028.13999999</v>
      </c>
      <c r="Z31" s="40">
        <f>+Y31/$J$1</f>
        <v>764924.82227522938</v>
      </c>
      <c r="AA31" s="38"/>
      <c r="AB31" s="40">
        <f t="shared" si="4"/>
        <v>416884028.13999999</v>
      </c>
    </row>
    <row r="32" spans="1:28" s="41" customFormat="1" ht="29.45" customHeight="1">
      <c r="A32" s="38" t="s">
        <v>30</v>
      </c>
      <c r="B32" s="38" t="s">
        <v>59</v>
      </c>
      <c r="C32" s="38" t="s">
        <v>32</v>
      </c>
      <c r="D32" s="38">
        <v>16</v>
      </c>
      <c r="E32" s="38" t="s">
        <v>120</v>
      </c>
      <c r="F32" s="38" t="s">
        <v>30</v>
      </c>
      <c r="G32" s="38" t="s">
        <v>34</v>
      </c>
      <c r="H32" s="38" t="s">
        <v>121</v>
      </c>
      <c r="I32" s="39" t="s">
        <v>122</v>
      </c>
      <c r="J32" s="38">
        <v>385</v>
      </c>
      <c r="K32" s="38">
        <v>600</v>
      </c>
      <c r="L32" s="38">
        <f t="shared" si="6"/>
        <v>985</v>
      </c>
      <c r="M32" s="38">
        <v>4.3499999999999996</v>
      </c>
      <c r="N32" s="38"/>
      <c r="O32" s="38">
        <v>10</v>
      </c>
      <c r="P32" s="38"/>
      <c r="Q32" s="38"/>
      <c r="R32" s="38"/>
      <c r="S32" s="38"/>
      <c r="T32" s="38"/>
      <c r="U32" s="38"/>
      <c r="V32" s="38"/>
      <c r="W32" s="40">
        <f t="shared" si="5"/>
        <v>402911297.56</v>
      </c>
      <c r="X32" s="40">
        <v>22806532.949999999</v>
      </c>
      <c r="Y32" s="40">
        <v>425717830.50999999</v>
      </c>
      <c r="Z32" s="40">
        <f>+Y32/$J$1</f>
        <v>781133.63396330271</v>
      </c>
      <c r="AA32" s="38"/>
      <c r="AB32" s="40">
        <f t="shared" si="4"/>
        <v>425717830.50999999</v>
      </c>
    </row>
    <row r="33" spans="1:28" s="41" customFormat="1" ht="29.45" customHeight="1">
      <c r="A33" s="38" t="s">
        <v>30</v>
      </c>
      <c r="B33" s="38" t="s">
        <v>37</v>
      </c>
      <c r="C33" s="38" t="s">
        <v>32</v>
      </c>
      <c r="D33" s="38">
        <v>12</v>
      </c>
      <c r="E33" s="38" t="s">
        <v>123</v>
      </c>
      <c r="F33" s="38" t="s">
        <v>30</v>
      </c>
      <c r="G33" s="38" t="s">
        <v>34</v>
      </c>
      <c r="H33" s="38" t="s">
        <v>124</v>
      </c>
      <c r="I33" s="39" t="s">
        <v>125</v>
      </c>
      <c r="J33" s="38">
        <v>2108</v>
      </c>
      <c r="K33" s="38">
        <v>4546</v>
      </c>
      <c r="L33" s="38">
        <f t="shared" si="6"/>
        <v>6654</v>
      </c>
      <c r="M33" s="38">
        <v>4.4429999999999996</v>
      </c>
      <c r="N33" s="38"/>
      <c r="O33" s="38">
        <v>8.6</v>
      </c>
      <c r="P33" s="38"/>
      <c r="Q33" s="38"/>
      <c r="R33" s="38"/>
      <c r="S33" s="38"/>
      <c r="T33" s="38"/>
      <c r="U33" s="38"/>
      <c r="V33" s="38"/>
      <c r="W33" s="40">
        <f t="shared" si="5"/>
        <v>260016225</v>
      </c>
      <c r="X33" s="40">
        <v>12381725</v>
      </c>
      <c r="Y33" s="40">
        <v>272397950</v>
      </c>
      <c r="Z33" s="40">
        <f>+Y33/$J$1</f>
        <v>499812.752293578</v>
      </c>
      <c r="AA33" s="38"/>
      <c r="AB33" s="40">
        <f t="shared" si="4"/>
        <v>272397950</v>
      </c>
    </row>
    <row r="34" spans="1:28" s="41" customFormat="1" ht="29.45" customHeight="1">
      <c r="A34" s="38" t="s">
        <v>30</v>
      </c>
      <c r="B34" s="38" t="s">
        <v>37</v>
      </c>
      <c r="C34" s="38" t="s">
        <v>41</v>
      </c>
      <c r="D34" s="38">
        <v>12</v>
      </c>
      <c r="E34" s="38" t="s">
        <v>123</v>
      </c>
      <c r="F34" s="38" t="s">
        <v>30</v>
      </c>
      <c r="G34" s="38" t="s">
        <v>34</v>
      </c>
      <c r="H34" s="38" t="s">
        <v>124</v>
      </c>
      <c r="I34" s="39" t="s">
        <v>126</v>
      </c>
      <c r="J34" s="38">
        <v>2108</v>
      </c>
      <c r="K34" s="38">
        <v>4546</v>
      </c>
      <c r="L34" s="38">
        <f t="shared" si="6"/>
        <v>6654</v>
      </c>
      <c r="M34" s="38">
        <v>3.181</v>
      </c>
      <c r="N34" s="38"/>
      <c r="O34" s="38">
        <v>8.6</v>
      </c>
      <c r="P34" s="38"/>
      <c r="Q34" s="38"/>
      <c r="R34" s="38"/>
      <c r="S34" s="38"/>
      <c r="T34" s="38"/>
      <c r="U34" s="38"/>
      <c r="V34" s="38"/>
      <c r="W34" s="40">
        <f t="shared" si="5"/>
        <v>227388493</v>
      </c>
      <c r="X34" s="40">
        <v>10815643</v>
      </c>
      <c r="Y34" s="40">
        <v>238204136</v>
      </c>
      <c r="Z34" s="40">
        <f>+Y34/$J$1</f>
        <v>437071.80917431193</v>
      </c>
      <c r="AA34" s="38"/>
      <c r="AB34" s="40">
        <f t="shared" si="4"/>
        <v>238204136</v>
      </c>
    </row>
    <row r="35" spans="1:28" s="41" customFormat="1" ht="29.45" customHeight="1">
      <c r="A35" s="38" t="s">
        <v>30</v>
      </c>
      <c r="B35" s="38" t="s">
        <v>31</v>
      </c>
      <c r="C35" s="38" t="s">
        <v>32</v>
      </c>
      <c r="D35" s="38">
        <v>17</v>
      </c>
      <c r="E35" s="38" t="s">
        <v>127</v>
      </c>
      <c r="F35" s="38" t="s">
        <v>30</v>
      </c>
      <c r="G35" s="38" t="s">
        <v>34</v>
      </c>
      <c r="H35" s="38" t="s">
        <v>128</v>
      </c>
      <c r="I35" s="39" t="s">
        <v>129</v>
      </c>
      <c r="J35" s="38">
        <v>3161</v>
      </c>
      <c r="K35" s="38">
        <v>11620</v>
      </c>
      <c r="L35" s="38">
        <f t="shared" si="6"/>
        <v>14781</v>
      </c>
      <c r="M35" s="38">
        <v>9.35</v>
      </c>
      <c r="N35" s="38"/>
      <c r="O35" s="38">
        <v>10</v>
      </c>
      <c r="P35" s="38"/>
      <c r="Q35" s="38"/>
      <c r="R35" s="38"/>
      <c r="S35" s="38"/>
      <c r="T35" s="38"/>
      <c r="U35" s="38"/>
      <c r="V35" s="38"/>
      <c r="W35" s="40">
        <f t="shared" si="5"/>
        <v>390410018.58999997</v>
      </c>
      <c r="X35" s="40"/>
      <c r="Y35" s="40">
        <v>390410018.58999997</v>
      </c>
      <c r="Z35" s="40">
        <f>+Y35/$J$1</f>
        <v>716348.65796330268</v>
      </c>
      <c r="AA35" s="38"/>
      <c r="AB35" s="40">
        <f t="shared" si="4"/>
        <v>390410018.58999997</v>
      </c>
    </row>
    <row r="36" spans="1:28" s="41" customFormat="1" ht="29.45" customHeight="1">
      <c r="A36" s="38" t="s">
        <v>30</v>
      </c>
      <c r="B36" s="38" t="s">
        <v>44</v>
      </c>
      <c r="C36" s="38" t="s">
        <v>32</v>
      </c>
      <c r="D36" s="38">
        <v>15</v>
      </c>
      <c r="E36" s="38" t="s">
        <v>130</v>
      </c>
      <c r="F36" s="38" t="s">
        <v>30</v>
      </c>
      <c r="G36" s="38" t="s">
        <v>34</v>
      </c>
      <c r="H36" s="38" t="s">
        <v>131</v>
      </c>
      <c r="I36" s="39" t="s">
        <v>132</v>
      </c>
      <c r="J36" s="38">
        <v>4750</v>
      </c>
      <c r="K36" s="38">
        <v>7000</v>
      </c>
      <c r="L36" s="38">
        <f t="shared" si="6"/>
        <v>11750</v>
      </c>
      <c r="M36" s="38">
        <v>1.65</v>
      </c>
      <c r="N36" s="38"/>
      <c r="O36" s="38"/>
      <c r="P36" s="38"/>
      <c r="Q36" s="38"/>
      <c r="R36" s="38"/>
      <c r="S36" s="38"/>
      <c r="T36" s="38"/>
      <c r="U36" s="38"/>
      <c r="V36" s="38"/>
      <c r="W36" s="40">
        <f t="shared" si="5"/>
        <v>212253022.27000001</v>
      </c>
      <c r="X36" s="40">
        <v>6064372.0700000003</v>
      </c>
      <c r="Y36" s="40">
        <v>218317394.34</v>
      </c>
      <c r="Z36" s="40">
        <f>+Y36/$J$1</f>
        <v>400582.37493577984</v>
      </c>
      <c r="AA36" s="38"/>
      <c r="AB36" s="40">
        <f t="shared" si="4"/>
        <v>218317394.34</v>
      </c>
    </row>
    <row r="37" spans="1:28" s="41" customFormat="1" ht="29.45" customHeight="1">
      <c r="A37" s="38" t="s">
        <v>30</v>
      </c>
      <c r="B37" s="38" t="s">
        <v>59</v>
      </c>
      <c r="C37" s="38" t="s">
        <v>32</v>
      </c>
      <c r="D37" s="38">
        <v>3</v>
      </c>
      <c r="E37" s="38" t="s">
        <v>133</v>
      </c>
      <c r="F37" s="38" t="s">
        <v>30</v>
      </c>
      <c r="G37" s="38" t="s">
        <v>34</v>
      </c>
      <c r="H37" s="38" t="s">
        <v>134</v>
      </c>
      <c r="I37" s="39" t="s">
        <v>135</v>
      </c>
      <c r="J37" s="38">
        <v>1500</v>
      </c>
      <c r="K37" s="38"/>
      <c r="L37" s="38">
        <f t="shared" si="6"/>
        <v>1500</v>
      </c>
      <c r="M37" s="38">
        <f>4.93+0.195</f>
        <v>5.125</v>
      </c>
      <c r="N37" s="38"/>
      <c r="O37" s="38">
        <v>9.89</v>
      </c>
      <c r="P37" s="38"/>
      <c r="Q37" s="38"/>
      <c r="R37" s="38"/>
      <c r="S37" s="38"/>
      <c r="T37" s="38"/>
      <c r="U37" s="38"/>
      <c r="V37" s="38"/>
      <c r="W37" s="40">
        <f t="shared" si="5"/>
        <v>446031092</v>
      </c>
      <c r="X37" s="40">
        <v>20649588</v>
      </c>
      <c r="Y37" s="40">
        <v>466680680</v>
      </c>
      <c r="Z37" s="40">
        <f>+Y37/$J$1</f>
        <v>856294.82568807341</v>
      </c>
      <c r="AA37" s="38"/>
      <c r="AB37" s="40">
        <f t="shared" si="4"/>
        <v>466680680</v>
      </c>
    </row>
    <row r="38" spans="1:28" s="41" customFormat="1" ht="29.45" customHeight="1">
      <c r="A38" s="38" t="s">
        <v>30</v>
      </c>
      <c r="B38" s="38" t="s">
        <v>59</v>
      </c>
      <c r="C38" s="38" t="s">
        <v>41</v>
      </c>
      <c r="D38" s="38">
        <v>3</v>
      </c>
      <c r="E38" s="38" t="s">
        <v>133</v>
      </c>
      <c r="F38" s="38" t="s">
        <v>30</v>
      </c>
      <c r="G38" s="38" t="s">
        <v>34</v>
      </c>
      <c r="H38" s="38" t="s">
        <v>136</v>
      </c>
      <c r="I38" s="39" t="s">
        <v>137</v>
      </c>
      <c r="J38" s="38">
        <v>2657</v>
      </c>
      <c r="K38" s="38"/>
      <c r="L38" s="38">
        <f t="shared" si="6"/>
        <v>2657</v>
      </c>
      <c r="M38" s="38">
        <v>2.5</v>
      </c>
      <c r="N38" s="38"/>
      <c r="O38" s="38"/>
      <c r="P38" s="38"/>
      <c r="Q38" s="38"/>
      <c r="R38" s="38"/>
      <c r="S38" s="38"/>
      <c r="T38" s="38"/>
      <c r="U38" s="38"/>
      <c r="V38" s="38"/>
      <c r="W38" s="40">
        <f t="shared" si="5"/>
        <v>200257488</v>
      </c>
      <c r="X38" s="40">
        <v>9271180</v>
      </c>
      <c r="Y38" s="40">
        <v>209528668</v>
      </c>
      <c r="Z38" s="40">
        <f>+Y38/$J$1</f>
        <v>384456.27155963302</v>
      </c>
      <c r="AA38" s="38"/>
      <c r="AB38" s="40">
        <f t="shared" si="4"/>
        <v>209528668</v>
      </c>
    </row>
    <row r="39" spans="1:28" s="41" customFormat="1" ht="29.45" customHeight="1">
      <c r="A39" s="38" t="s">
        <v>30</v>
      </c>
      <c r="B39" s="38" t="s">
        <v>37</v>
      </c>
      <c r="C39" s="38" t="s">
        <v>32</v>
      </c>
      <c r="D39" s="38">
        <v>4</v>
      </c>
      <c r="E39" s="38" t="s">
        <v>138</v>
      </c>
      <c r="F39" s="38" t="s">
        <v>30</v>
      </c>
      <c r="G39" s="38" t="s">
        <v>34</v>
      </c>
      <c r="H39" s="38" t="s">
        <v>139</v>
      </c>
      <c r="I39" s="39" t="s">
        <v>140</v>
      </c>
      <c r="J39" s="38">
        <f>1500+2400+2600</f>
        <v>6500</v>
      </c>
      <c r="K39" s="38">
        <f>3500+3100+7500</f>
        <v>14100</v>
      </c>
      <c r="L39" s="38">
        <f t="shared" si="6"/>
        <v>20600</v>
      </c>
      <c r="M39" s="38">
        <f>1.2+1.75+5.1</f>
        <v>8.0500000000000007</v>
      </c>
      <c r="N39" s="38"/>
      <c r="O39" s="38"/>
      <c r="P39" s="38"/>
      <c r="Q39" s="38"/>
      <c r="R39" s="38"/>
      <c r="S39" s="38"/>
      <c r="T39" s="38"/>
      <c r="U39" s="38"/>
      <c r="V39" s="38"/>
      <c r="W39" s="40">
        <f t="shared" ref="W39:W46" si="7">+Y39-X39</f>
        <v>670696006.36000001</v>
      </c>
      <c r="X39" s="40">
        <f>40893112.36+24725882.85+10393230.25</f>
        <v>76012225.460000008</v>
      </c>
      <c r="Y39" s="40">
        <v>746708231.82000005</v>
      </c>
      <c r="Z39" s="40">
        <f>+Y39/$J$1</f>
        <v>1370106.8473761468</v>
      </c>
      <c r="AA39" s="38"/>
      <c r="AB39" s="40">
        <f t="shared" ref="AB39:AB46" si="8">+AA39+Y39</f>
        <v>746708231.82000005</v>
      </c>
    </row>
    <row r="40" spans="1:28" s="41" customFormat="1" ht="29.45" customHeight="1">
      <c r="A40" s="38" t="s">
        <v>30</v>
      </c>
      <c r="B40" s="38" t="s">
        <v>116</v>
      </c>
      <c r="C40" s="38" t="s">
        <v>32</v>
      </c>
      <c r="D40" s="38">
        <v>7</v>
      </c>
      <c r="E40" s="38" t="s">
        <v>141</v>
      </c>
      <c r="F40" s="38" t="s">
        <v>30</v>
      </c>
      <c r="G40" s="38" t="s">
        <v>34</v>
      </c>
      <c r="H40" s="38" t="s">
        <v>142</v>
      </c>
      <c r="I40" s="39" t="s">
        <v>143</v>
      </c>
      <c r="J40" s="38">
        <v>1171</v>
      </c>
      <c r="K40" s="38">
        <v>2204</v>
      </c>
      <c r="L40" s="38">
        <f t="shared" si="6"/>
        <v>3375</v>
      </c>
      <c r="M40" s="38">
        <v>1.65</v>
      </c>
      <c r="N40" s="38"/>
      <c r="O40" s="38"/>
      <c r="P40" s="38"/>
      <c r="Q40" s="38"/>
      <c r="R40" s="38"/>
      <c r="S40" s="38"/>
      <c r="T40" s="38"/>
      <c r="U40" s="38"/>
      <c r="V40" s="38"/>
      <c r="W40" s="40">
        <f t="shared" si="7"/>
        <v>166957364.12</v>
      </c>
      <c r="X40" s="40">
        <v>8541000</v>
      </c>
      <c r="Y40" s="40">
        <v>175498364.12</v>
      </c>
      <c r="Z40" s="40">
        <f>+Y40/$J$1</f>
        <v>322015.34700917429</v>
      </c>
      <c r="AA40" s="38"/>
      <c r="AB40" s="40">
        <f t="shared" si="8"/>
        <v>175498364.12</v>
      </c>
    </row>
    <row r="41" spans="1:28" s="41" customFormat="1" ht="29.45" customHeight="1">
      <c r="A41" s="38" t="s">
        <v>30</v>
      </c>
      <c r="B41" s="38" t="s">
        <v>116</v>
      </c>
      <c r="C41" s="38" t="s">
        <v>41</v>
      </c>
      <c r="D41" s="38">
        <v>7</v>
      </c>
      <c r="E41" s="38" t="s">
        <v>141</v>
      </c>
      <c r="F41" s="38" t="s">
        <v>30</v>
      </c>
      <c r="G41" s="38" t="s">
        <v>34</v>
      </c>
      <c r="H41" s="38" t="s">
        <v>144</v>
      </c>
      <c r="I41" s="39" t="s">
        <v>145</v>
      </c>
      <c r="J41" s="38">
        <v>2060</v>
      </c>
      <c r="K41" s="38">
        <v>4200</v>
      </c>
      <c r="L41" s="38">
        <f t="shared" si="6"/>
        <v>6260</v>
      </c>
      <c r="M41" s="38">
        <v>1.7</v>
      </c>
      <c r="N41" s="38"/>
      <c r="O41" s="38"/>
      <c r="P41" s="38"/>
      <c r="Q41" s="38"/>
      <c r="R41" s="38"/>
      <c r="S41" s="38"/>
      <c r="T41" s="38"/>
      <c r="U41" s="38"/>
      <c r="V41" s="38"/>
      <c r="W41" s="40">
        <f t="shared" si="7"/>
        <v>203120403.31999999</v>
      </c>
      <c r="X41" s="40">
        <v>8810000</v>
      </c>
      <c r="Y41" s="40">
        <v>211930403.31999999</v>
      </c>
      <c r="Z41" s="40">
        <f>+Y41/$J$1</f>
        <v>388863.12535779813</v>
      </c>
      <c r="AA41" s="40">
        <v>45669546.140000001</v>
      </c>
      <c r="AB41" s="40">
        <f t="shared" si="8"/>
        <v>257599949.45999998</v>
      </c>
    </row>
    <row r="42" spans="1:28" s="41" customFormat="1" ht="29.45" customHeight="1">
      <c r="A42" s="38" t="s">
        <v>30</v>
      </c>
      <c r="B42" s="38" t="s">
        <v>116</v>
      </c>
      <c r="C42" s="38" t="s">
        <v>66</v>
      </c>
      <c r="D42" s="38">
        <v>8</v>
      </c>
      <c r="E42" s="38" t="s">
        <v>141</v>
      </c>
      <c r="F42" s="38" t="s">
        <v>30</v>
      </c>
      <c r="G42" s="38" t="s">
        <v>34</v>
      </c>
      <c r="H42" s="38" t="s">
        <v>146</v>
      </c>
      <c r="I42" s="39" t="s">
        <v>147</v>
      </c>
      <c r="J42" s="38">
        <v>470</v>
      </c>
      <c r="K42" s="38">
        <v>1650</v>
      </c>
      <c r="L42" s="38">
        <f t="shared" si="6"/>
        <v>2120</v>
      </c>
      <c r="M42" s="38">
        <v>2.5499999999999998</v>
      </c>
      <c r="N42" s="38"/>
      <c r="O42" s="38"/>
      <c r="P42" s="38"/>
      <c r="Q42" s="38"/>
      <c r="R42" s="38"/>
      <c r="S42" s="38"/>
      <c r="T42" s="38"/>
      <c r="U42" s="38"/>
      <c r="V42" s="38"/>
      <c r="W42" s="40">
        <f t="shared" si="7"/>
        <v>187186101.55000001</v>
      </c>
      <c r="X42" s="40">
        <v>991000</v>
      </c>
      <c r="Y42" s="40">
        <v>188177101.55000001</v>
      </c>
      <c r="Z42" s="40">
        <f>+Y42/$J$1</f>
        <v>345279.08541284408</v>
      </c>
      <c r="AA42" s="40">
        <v>86201511.370000005</v>
      </c>
      <c r="AB42" s="40">
        <f t="shared" si="8"/>
        <v>274378612.92000002</v>
      </c>
    </row>
    <row r="43" spans="1:28" s="41" customFormat="1" ht="29.45" customHeight="1">
      <c r="A43" s="38" t="s">
        <v>30</v>
      </c>
      <c r="B43" s="38" t="s">
        <v>116</v>
      </c>
      <c r="C43" s="38" t="s">
        <v>63</v>
      </c>
      <c r="D43" s="38">
        <v>8</v>
      </c>
      <c r="E43" s="38" t="s">
        <v>141</v>
      </c>
      <c r="F43" s="38" t="s">
        <v>30</v>
      </c>
      <c r="G43" s="38" t="s">
        <v>34</v>
      </c>
      <c r="H43" s="38" t="s">
        <v>148</v>
      </c>
      <c r="I43" s="39" t="s">
        <v>149</v>
      </c>
      <c r="J43" s="38">
        <v>1800</v>
      </c>
      <c r="K43" s="38">
        <v>4080</v>
      </c>
      <c r="L43" s="38">
        <f t="shared" si="6"/>
        <v>5880</v>
      </c>
      <c r="M43" s="38">
        <v>1.7</v>
      </c>
      <c r="N43" s="38"/>
      <c r="O43" s="38"/>
      <c r="P43" s="38"/>
      <c r="Q43" s="38"/>
      <c r="R43" s="38"/>
      <c r="S43" s="38"/>
      <c r="T43" s="38"/>
      <c r="U43" s="38"/>
      <c r="V43" s="38"/>
      <c r="W43" s="40">
        <f t="shared" si="7"/>
        <v>194318049.94</v>
      </c>
      <c r="X43" s="40">
        <v>9975000</v>
      </c>
      <c r="Y43" s="40">
        <v>204293049.94</v>
      </c>
      <c r="Z43" s="40">
        <f>+Y43/$J$1</f>
        <v>374849.63291743118</v>
      </c>
      <c r="AA43" s="40">
        <v>33853014.75</v>
      </c>
      <c r="AB43" s="40">
        <f t="shared" si="8"/>
        <v>238146064.69</v>
      </c>
    </row>
    <row r="44" spans="1:28" s="41" customFormat="1" ht="29.45" customHeight="1">
      <c r="A44" s="38" t="s">
        <v>30</v>
      </c>
      <c r="B44" s="38" t="s">
        <v>59</v>
      </c>
      <c r="C44" s="38" t="s">
        <v>32</v>
      </c>
      <c r="D44" s="38">
        <v>2</v>
      </c>
      <c r="E44" s="38" t="s">
        <v>59</v>
      </c>
      <c r="F44" s="38" t="s">
        <v>30</v>
      </c>
      <c r="G44" s="38" t="s">
        <v>34</v>
      </c>
      <c r="H44" s="38" t="s">
        <v>150</v>
      </c>
      <c r="I44" s="39" t="s">
        <v>151</v>
      </c>
      <c r="J44" s="38">
        <f>795+30650+15759</f>
        <v>47204</v>
      </c>
      <c r="K44" s="38">
        <v>9055</v>
      </c>
      <c r="L44" s="38">
        <f t="shared" si="6"/>
        <v>56259</v>
      </c>
      <c r="M44" s="38">
        <v>1.7</v>
      </c>
      <c r="N44" s="38"/>
      <c r="O44" s="38">
        <v>7.3</v>
      </c>
      <c r="P44" s="38"/>
      <c r="Q44" s="38"/>
      <c r="R44" s="38"/>
      <c r="S44" s="38"/>
      <c r="T44" s="38"/>
      <c r="U44" s="38"/>
      <c r="V44" s="38"/>
      <c r="W44" s="40">
        <f t="shared" si="7"/>
        <v>463083078.49000001</v>
      </c>
      <c r="X44" s="40"/>
      <c r="Y44" s="40">
        <v>463083078.49000001</v>
      </c>
      <c r="Z44" s="40">
        <f>+Y44/$J$1</f>
        <v>849693.72200000007</v>
      </c>
      <c r="AA44" s="40">
        <v>22404153.920000002</v>
      </c>
      <c r="AB44" s="40">
        <f t="shared" si="8"/>
        <v>485487232.41000003</v>
      </c>
    </row>
    <row r="45" spans="1:28" s="41" customFormat="1" ht="29.45" customHeight="1">
      <c r="A45" s="38" t="s">
        <v>30</v>
      </c>
      <c r="B45" s="38" t="s">
        <v>59</v>
      </c>
      <c r="C45" s="38" t="s">
        <v>32</v>
      </c>
      <c r="D45" s="38">
        <v>2</v>
      </c>
      <c r="E45" s="38" t="s">
        <v>152</v>
      </c>
      <c r="F45" s="38" t="s">
        <v>30</v>
      </c>
      <c r="G45" s="38" t="s">
        <v>34</v>
      </c>
      <c r="H45" s="38" t="s">
        <v>153</v>
      </c>
      <c r="I45" s="39" t="s">
        <v>154</v>
      </c>
      <c r="J45" s="38"/>
      <c r="K45" s="38"/>
      <c r="L45" s="38">
        <f t="shared" si="6"/>
        <v>0</v>
      </c>
      <c r="M45" s="38">
        <v>4.6500000000000004</v>
      </c>
      <c r="N45" s="38"/>
      <c r="O45" s="38">
        <v>10.1</v>
      </c>
      <c r="P45" s="38"/>
      <c r="Q45" s="38"/>
      <c r="R45" s="38"/>
      <c r="S45" s="38"/>
      <c r="T45" s="38"/>
      <c r="U45" s="38"/>
      <c r="V45" s="38"/>
      <c r="W45" s="40">
        <f t="shared" si="7"/>
        <v>214378927</v>
      </c>
      <c r="X45" s="40">
        <v>9924951</v>
      </c>
      <c r="Y45" s="40">
        <v>224303878</v>
      </c>
      <c r="Z45" s="40">
        <f>+Y45/$J$1</f>
        <v>411566.7486238532</v>
      </c>
      <c r="AA45" s="40">
        <v>0</v>
      </c>
      <c r="AB45" s="40">
        <f t="shared" si="8"/>
        <v>224303878</v>
      </c>
    </row>
    <row r="46" spans="1:28" s="41" customFormat="1" ht="29.45" customHeight="1">
      <c r="A46" s="38" t="s">
        <v>30</v>
      </c>
      <c r="B46" s="38" t="s">
        <v>44</v>
      </c>
      <c r="C46" s="38" t="s">
        <v>32</v>
      </c>
      <c r="D46" s="38">
        <v>10</v>
      </c>
      <c r="E46" s="38" t="s">
        <v>155</v>
      </c>
      <c r="F46" s="38" t="s">
        <v>30</v>
      </c>
      <c r="G46" s="38" t="s">
        <v>34</v>
      </c>
      <c r="H46" s="38" t="s">
        <v>156</v>
      </c>
      <c r="I46" s="39" t="s">
        <v>157</v>
      </c>
      <c r="J46" s="38">
        <v>3500</v>
      </c>
      <c r="K46" s="38">
        <v>25000</v>
      </c>
      <c r="L46" s="38">
        <f t="shared" si="6"/>
        <v>28500</v>
      </c>
      <c r="M46" s="38">
        <f>9.34+2.6</f>
        <v>11.94</v>
      </c>
      <c r="N46" s="38"/>
      <c r="O46" s="38"/>
      <c r="P46" s="38"/>
      <c r="Q46" s="38"/>
      <c r="R46" s="38"/>
      <c r="S46" s="38"/>
      <c r="T46" s="38"/>
      <c r="U46" s="38"/>
      <c r="V46" s="38"/>
      <c r="W46" s="40">
        <f t="shared" si="7"/>
        <v>1358707086</v>
      </c>
      <c r="X46" s="40">
        <v>38393700</v>
      </c>
      <c r="Y46" s="40">
        <v>1397100786</v>
      </c>
      <c r="Z46" s="40">
        <f>+Y46/$J$1</f>
        <v>2563487.6807339448</v>
      </c>
      <c r="AA46" s="40">
        <v>293627022.94999999</v>
      </c>
      <c r="AB46" s="40">
        <f t="shared" si="8"/>
        <v>1690727808.95</v>
      </c>
    </row>
    <row r="47" spans="1:28" s="45" customFormat="1" ht="29.45" customHeight="1">
      <c r="A47" s="43" t="s">
        <v>30</v>
      </c>
      <c r="B47" s="43" t="s">
        <v>44</v>
      </c>
      <c r="C47" s="43" t="s">
        <v>32</v>
      </c>
      <c r="D47" s="43">
        <v>6</v>
      </c>
      <c r="E47" s="43" t="s">
        <v>158</v>
      </c>
      <c r="F47" s="43" t="s">
        <v>30</v>
      </c>
      <c r="G47" s="43" t="s">
        <v>34</v>
      </c>
      <c r="H47" s="43" t="s">
        <v>159</v>
      </c>
      <c r="I47" s="39" t="s">
        <v>160</v>
      </c>
      <c r="J47" s="43"/>
      <c r="K47" s="43">
        <v>13000</v>
      </c>
      <c r="L47" s="43">
        <f t="shared" ref="L47:L63" si="9">+K47+J47</f>
        <v>13000</v>
      </c>
      <c r="M47" s="43">
        <f>2.904+0.878</f>
        <v>3.782</v>
      </c>
      <c r="N47" s="43"/>
      <c r="O47" s="43">
        <v>9.7200000000000006</v>
      </c>
      <c r="P47" s="43"/>
      <c r="Q47" s="43"/>
      <c r="R47" s="43"/>
      <c r="S47" s="43"/>
      <c r="T47" s="43"/>
      <c r="U47" s="43"/>
      <c r="V47" s="43"/>
      <c r="W47" s="44">
        <f t="shared" ref="W47:W63" si="10">+Y47-X47</f>
        <v>266200241.66999999</v>
      </c>
      <c r="X47" s="40"/>
      <c r="Y47" s="44">
        <v>266200241.66999999</v>
      </c>
      <c r="Z47" s="40">
        <f>+Y47/$J$1</f>
        <v>488440.81040366972</v>
      </c>
      <c r="AA47" s="44">
        <v>66565823.759999998</v>
      </c>
      <c r="AB47" s="44">
        <f t="shared" ref="AB47:AB63" si="11">+AA47+Y47</f>
        <v>332766065.43000001</v>
      </c>
    </row>
    <row r="48" spans="1:28" s="45" customFormat="1" ht="29.45" customHeight="1">
      <c r="A48" s="43" t="s">
        <v>30</v>
      </c>
      <c r="B48" s="43" t="s">
        <v>44</v>
      </c>
      <c r="C48" s="43" t="s">
        <v>41</v>
      </c>
      <c r="D48" s="43">
        <v>15</v>
      </c>
      <c r="E48" s="43" t="s">
        <v>161</v>
      </c>
      <c r="F48" s="43" t="s">
        <v>30</v>
      </c>
      <c r="G48" s="43" t="s">
        <v>34</v>
      </c>
      <c r="H48" s="43" t="s">
        <v>162</v>
      </c>
      <c r="I48" s="39" t="s">
        <v>163</v>
      </c>
      <c r="J48" s="43">
        <v>850</v>
      </c>
      <c r="K48" s="43">
        <v>8000</v>
      </c>
      <c r="L48" s="43">
        <f t="shared" si="9"/>
        <v>8850</v>
      </c>
      <c r="M48" s="43">
        <f>0.95+3.7</f>
        <v>4.6500000000000004</v>
      </c>
      <c r="N48" s="43"/>
      <c r="O48" s="43"/>
      <c r="P48" s="43"/>
      <c r="Q48" s="43"/>
      <c r="R48" s="43"/>
      <c r="S48" s="43"/>
      <c r="T48" s="43"/>
      <c r="U48" s="43"/>
      <c r="V48" s="43"/>
      <c r="W48" s="44">
        <f t="shared" si="10"/>
        <v>243952221.36000001</v>
      </c>
      <c r="X48" s="44">
        <v>6970000</v>
      </c>
      <c r="Y48" s="44">
        <v>250922221.36000001</v>
      </c>
      <c r="Z48" s="40">
        <f>+Y48/$J$1</f>
        <v>460407.74561467895</v>
      </c>
      <c r="AA48" s="44">
        <v>88133525</v>
      </c>
      <c r="AB48" s="44">
        <f t="shared" si="11"/>
        <v>339055746.36000001</v>
      </c>
    </row>
    <row r="49" spans="1:28" s="45" customFormat="1" ht="29.45" customHeight="1">
      <c r="A49" s="43" t="s">
        <v>30</v>
      </c>
      <c r="B49" s="38" t="s">
        <v>44</v>
      </c>
      <c r="C49" s="38" t="s">
        <v>32</v>
      </c>
      <c r="D49" s="38">
        <v>9</v>
      </c>
      <c r="E49" s="38" t="s">
        <v>164</v>
      </c>
      <c r="F49" s="38" t="s">
        <v>30</v>
      </c>
      <c r="G49" s="38" t="s">
        <v>34</v>
      </c>
      <c r="H49" s="43" t="s">
        <v>165</v>
      </c>
      <c r="I49" s="39" t="s">
        <v>166</v>
      </c>
      <c r="J49" s="43">
        <v>2500</v>
      </c>
      <c r="K49" s="43">
        <v>5000</v>
      </c>
      <c r="L49" s="43">
        <f t="shared" si="9"/>
        <v>7500</v>
      </c>
      <c r="M49" s="43">
        <f>1.38+0.37</f>
        <v>1.75</v>
      </c>
      <c r="N49" s="43"/>
      <c r="O49" s="43"/>
      <c r="P49" s="43"/>
      <c r="Q49" s="43"/>
      <c r="R49" s="43"/>
      <c r="S49" s="43"/>
      <c r="T49" s="43"/>
      <c r="U49" s="43"/>
      <c r="V49" s="43"/>
      <c r="W49" s="44">
        <f t="shared" si="10"/>
        <v>232383778.09</v>
      </c>
      <c r="X49" s="44">
        <v>6639536.5199999996</v>
      </c>
      <c r="Y49" s="44">
        <v>239023314.61000001</v>
      </c>
      <c r="Z49" s="40">
        <f>+Y49/$J$1</f>
        <v>438574.88919266057</v>
      </c>
      <c r="AA49" s="44">
        <v>52315451.090000004</v>
      </c>
      <c r="AB49" s="44">
        <f t="shared" si="11"/>
        <v>291338765.70000005</v>
      </c>
    </row>
    <row r="50" spans="1:28" s="45" customFormat="1" ht="29.45" customHeight="1">
      <c r="A50" s="43" t="s">
        <v>30</v>
      </c>
      <c r="B50" s="43" t="s">
        <v>96</v>
      </c>
      <c r="C50" s="43" t="s">
        <v>32</v>
      </c>
      <c r="D50" s="43">
        <v>14</v>
      </c>
      <c r="E50" s="43" t="s">
        <v>167</v>
      </c>
      <c r="F50" s="43" t="s">
        <v>30</v>
      </c>
      <c r="G50" s="43" t="s">
        <v>34</v>
      </c>
      <c r="H50" s="43" t="s">
        <v>168</v>
      </c>
      <c r="I50" s="46" t="s">
        <v>169</v>
      </c>
      <c r="J50" s="43">
        <v>925</v>
      </c>
      <c r="K50" s="43">
        <v>1661</v>
      </c>
      <c r="L50" s="43">
        <f t="shared" si="9"/>
        <v>2586</v>
      </c>
      <c r="M50" s="43">
        <v>1.2</v>
      </c>
      <c r="N50" s="43"/>
      <c r="O50" s="43"/>
      <c r="P50" s="43"/>
      <c r="Q50" s="43"/>
      <c r="R50" s="43"/>
      <c r="S50" s="43"/>
      <c r="T50" s="43"/>
      <c r="U50" s="43"/>
      <c r="V50" s="43"/>
      <c r="W50" s="44">
        <f t="shared" si="10"/>
        <v>216404014.47</v>
      </c>
      <c r="X50" s="44">
        <v>7322447.0199999996</v>
      </c>
      <c r="Y50" s="44">
        <v>223726461.49000001</v>
      </c>
      <c r="Z50" s="40">
        <f>+Y50/$J$1</f>
        <v>410507.26878899086</v>
      </c>
      <c r="AA50" s="44">
        <v>35000000</v>
      </c>
      <c r="AB50" s="44">
        <f t="shared" si="11"/>
        <v>258726461.49000001</v>
      </c>
    </row>
    <row r="51" spans="1:28" ht="29.45" customHeight="1">
      <c r="A51" s="9" t="s">
        <v>30</v>
      </c>
      <c r="B51" s="9" t="s">
        <v>31</v>
      </c>
      <c r="C51" s="9" t="s">
        <v>32</v>
      </c>
      <c r="D51" s="9">
        <v>17</v>
      </c>
      <c r="E51" s="9" t="s">
        <v>170</v>
      </c>
      <c r="F51" s="9" t="s">
        <v>30</v>
      </c>
      <c r="G51" s="9" t="s">
        <v>34</v>
      </c>
      <c r="H51" s="9" t="s">
        <v>171</v>
      </c>
      <c r="I51" s="35" t="s">
        <v>172</v>
      </c>
      <c r="J51" s="9">
        <v>3000</v>
      </c>
      <c r="K51" s="9">
        <v>5000</v>
      </c>
      <c r="L51" s="9">
        <f t="shared" si="9"/>
        <v>8000</v>
      </c>
      <c r="M51" s="9">
        <v>2.35</v>
      </c>
      <c r="N51" s="9"/>
      <c r="O51" s="9"/>
      <c r="P51" s="9"/>
      <c r="Q51" s="9"/>
      <c r="R51" s="9"/>
      <c r="S51" s="9"/>
      <c r="T51" s="9"/>
      <c r="U51" s="9"/>
      <c r="V51" s="9"/>
      <c r="W51" s="10">
        <f t="shared" si="10"/>
        <v>378846920.24000001</v>
      </c>
      <c r="X51" s="10">
        <v>21668683.280000001</v>
      </c>
      <c r="Y51" s="10">
        <v>400515603.51999998</v>
      </c>
      <c r="Z51" s="12">
        <f>+Y51/$J$1</f>
        <v>734891.01563302753</v>
      </c>
      <c r="AA51" s="10">
        <v>76195428.569999993</v>
      </c>
      <c r="AB51" s="10">
        <f t="shared" si="11"/>
        <v>476711032.08999997</v>
      </c>
    </row>
    <row r="52" spans="1:28" s="45" customFormat="1" ht="29.45" customHeight="1">
      <c r="A52" s="43" t="s">
        <v>30</v>
      </c>
      <c r="B52" s="43" t="s">
        <v>96</v>
      </c>
      <c r="C52" s="43" t="s">
        <v>32</v>
      </c>
      <c r="D52" s="43">
        <v>14</v>
      </c>
      <c r="E52" s="43" t="s">
        <v>173</v>
      </c>
      <c r="F52" s="43" t="s">
        <v>30</v>
      </c>
      <c r="G52" s="43" t="s">
        <v>34</v>
      </c>
      <c r="H52" s="43" t="s">
        <v>174</v>
      </c>
      <c r="I52" s="47" t="s">
        <v>175</v>
      </c>
      <c r="J52" s="43">
        <v>5167</v>
      </c>
      <c r="K52" s="43">
        <f>34748+20813+37293+16056</f>
        <v>108910</v>
      </c>
      <c r="L52" s="43">
        <f t="shared" si="9"/>
        <v>114077</v>
      </c>
      <c r="M52" s="43">
        <v>0.83</v>
      </c>
      <c r="N52" s="43"/>
      <c r="O52" s="43"/>
      <c r="P52" s="43"/>
      <c r="Q52" s="43"/>
      <c r="R52" s="43"/>
      <c r="S52" s="43"/>
      <c r="T52" s="43"/>
      <c r="U52" s="43"/>
      <c r="V52" s="43"/>
      <c r="W52" s="44">
        <f t="shared" si="10"/>
        <v>204987130.55000001</v>
      </c>
      <c r="X52" s="44">
        <v>9000000</v>
      </c>
      <c r="Y52" s="44">
        <v>213987130.55000001</v>
      </c>
      <c r="Z52" s="40">
        <f>+Y52/$J$1</f>
        <v>392636.93678899086</v>
      </c>
      <c r="AA52" s="44">
        <v>0</v>
      </c>
      <c r="AB52" s="44">
        <f t="shared" si="11"/>
        <v>213987130.55000001</v>
      </c>
    </row>
    <row r="53" spans="1:28" s="45" customFormat="1" ht="29.45" customHeight="1">
      <c r="A53" s="43" t="s">
        <v>30</v>
      </c>
      <c r="B53" s="43" t="s">
        <v>96</v>
      </c>
      <c r="C53" s="43" t="s">
        <v>32</v>
      </c>
      <c r="D53" s="43">
        <v>8</v>
      </c>
      <c r="E53" s="43" t="s">
        <v>176</v>
      </c>
      <c r="F53" s="43" t="s">
        <v>30</v>
      </c>
      <c r="G53" s="43" t="s">
        <v>34</v>
      </c>
      <c r="H53" s="43" t="s">
        <v>177</v>
      </c>
      <c r="I53" s="47" t="s">
        <v>178</v>
      </c>
      <c r="J53" s="43">
        <v>2000</v>
      </c>
      <c r="K53" s="43"/>
      <c r="L53" s="43">
        <f t="shared" si="9"/>
        <v>2000</v>
      </c>
      <c r="M53" s="43">
        <v>4.4000000000000004</v>
      </c>
      <c r="N53" s="43"/>
      <c r="O53" s="43">
        <v>6.1</v>
      </c>
      <c r="P53" s="43"/>
      <c r="Q53" s="43"/>
      <c r="R53" s="43"/>
      <c r="S53" s="43"/>
      <c r="T53" s="43"/>
      <c r="U53" s="43"/>
      <c r="V53" s="43"/>
      <c r="W53" s="44">
        <f t="shared" si="10"/>
        <v>507899978.17000002</v>
      </c>
      <c r="X53" s="44">
        <v>23929320.809999999</v>
      </c>
      <c r="Y53" s="44">
        <v>531829298.98000002</v>
      </c>
      <c r="Z53" s="40">
        <f>+Y53/$J$1</f>
        <v>975833.57611009176</v>
      </c>
      <c r="AA53" s="44">
        <v>27236437.969999999</v>
      </c>
      <c r="AB53" s="44">
        <f t="shared" si="11"/>
        <v>559065736.95000005</v>
      </c>
    </row>
    <row r="54" spans="1:28" s="45" customFormat="1" ht="29.45" customHeight="1">
      <c r="A54" s="43" t="s">
        <v>30</v>
      </c>
      <c r="B54" s="43" t="s">
        <v>96</v>
      </c>
      <c r="C54" s="43" t="s">
        <v>41</v>
      </c>
      <c r="D54" s="43">
        <v>9</v>
      </c>
      <c r="E54" s="43" t="s">
        <v>176</v>
      </c>
      <c r="F54" s="43" t="s">
        <v>30</v>
      </c>
      <c r="G54" s="43" t="s">
        <v>34</v>
      </c>
      <c r="H54" s="43" t="s">
        <v>179</v>
      </c>
      <c r="I54" s="47" t="s">
        <v>180</v>
      </c>
      <c r="J54" s="43">
        <v>8000</v>
      </c>
      <c r="K54" s="43"/>
      <c r="L54" s="43">
        <f t="shared" si="9"/>
        <v>8000</v>
      </c>
      <c r="M54" s="43">
        <f>2.566+0.71+1.8</f>
        <v>5.0759999999999996</v>
      </c>
      <c r="N54" s="43"/>
      <c r="O54" s="43">
        <v>6.1</v>
      </c>
      <c r="P54" s="43"/>
      <c r="Q54" s="43"/>
      <c r="R54" s="43"/>
      <c r="S54" s="43"/>
      <c r="T54" s="43"/>
      <c r="U54" s="43"/>
      <c r="V54" s="43"/>
      <c r="W54" s="44">
        <f t="shared" si="10"/>
        <v>728902418.33000004</v>
      </c>
      <c r="X54" s="44">
        <v>20000000</v>
      </c>
      <c r="Y54" s="44">
        <v>748902418.33000004</v>
      </c>
      <c r="Z54" s="40">
        <f>+Y54/$J$1</f>
        <v>1374132.8776697249</v>
      </c>
      <c r="AA54" s="44">
        <v>80334779.239999995</v>
      </c>
      <c r="AB54" s="44">
        <f t="shared" si="11"/>
        <v>829237197.57000005</v>
      </c>
    </row>
    <row r="55" spans="1:28" s="45" customFormat="1" ht="29.45" customHeight="1">
      <c r="A55" s="43" t="s">
        <v>30</v>
      </c>
      <c r="B55" s="43" t="s">
        <v>116</v>
      </c>
      <c r="C55" s="43" t="s">
        <v>32</v>
      </c>
      <c r="D55" s="43">
        <v>8</v>
      </c>
      <c r="E55" s="43" t="s">
        <v>181</v>
      </c>
      <c r="F55" s="43" t="s">
        <v>30</v>
      </c>
      <c r="G55" s="43" t="s">
        <v>34</v>
      </c>
      <c r="H55" s="43" t="s">
        <v>182</v>
      </c>
      <c r="I55" s="47" t="s">
        <v>183</v>
      </c>
      <c r="J55" s="43">
        <v>1100</v>
      </c>
      <c r="K55" s="43">
        <v>3000</v>
      </c>
      <c r="L55" s="43">
        <f t="shared" si="9"/>
        <v>4100</v>
      </c>
      <c r="M55" s="43">
        <v>6.45</v>
      </c>
      <c r="N55" s="43"/>
      <c r="O55" s="43">
        <v>7.5</v>
      </c>
      <c r="P55" s="43"/>
      <c r="Q55" s="43"/>
      <c r="R55" s="43"/>
      <c r="S55" s="43"/>
      <c r="T55" s="43"/>
      <c r="U55" s="43"/>
      <c r="V55" s="43"/>
      <c r="W55" s="44">
        <f t="shared" si="10"/>
        <v>730909808.97000003</v>
      </c>
      <c r="X55" s="44">
        <v>20000000</v>
      </c>
      <c r="Y55" s="44">
        <v>750909808.97000003</v>
      </c>
      <c r="Z55" s="40">
        <f>+Y55/$J$1</f>
        <v>1377816.1632477064</v>
      </c>
      <c r="AA55" s="44">
        <v>94091843.099999994</v>
      </c>
      <c r="AB55" s="44">
        <f t="shared" si="11"/>
        <v>845001652.07000005</v>
      </c>
    </row>
    <row r="56" spans="1:28" s="45" customFormat="1" ht="29.45" customHeight="1">
      <c r="A56" s="43" t="s">
        <v>30</v>
      </c>
      <c r="B56" s="43" t="s">
        <v>116</v>
      </c>
      <c r="C56" s="43" t="s">
        <v>32</v>
      </c>
      <c r="D56" s="43">
        <v>7</v>
      </c>
      <c r="E56" s="43" t="s">
        <v>184</v>
      </c>
      <c r="F56" s="43" t="s">
        <v>30</v>
      </c>
      <c r="G56" s="43" t="s">
        <v>34</v>
      </c>
      <c r="H56" s="43" t="s">
        <v>185</v>
      </c>
      <c r="I56" s="47" t="s">
        <v>186</v>
      </c>
      <c r="J56" s="43">
        <v>7318</v>
      </c>
      <c r="K56" s="43">
        <v>13558</v>
      </c>
      <c r="L56" s="43">
        <f t="shared" si="9"/>
        <v>20876</v>
      </c>
      <c r="M56" s="43">
        <v>3</v>
      </c>
      <c r="N56" s="43"/>
      <c r="O56" s="43">
        <v>7.1</v>
      </c>
      <c r="P56" s="43"/>
      <c r="Q56" s="43"/>
      <c r="R56" s="43"/>
      <c r="S56" s="43"/>
      <c r="T56" s="43"/>
      <c r="U56" s="43"/>
      <c r="V56" s="43"/>
      <c r="W56" s="44">
        <f t="shared" si="10"/>
        <v>514031913.70999998</v>
      </c>
      <c r="X56" s="44">
        <v>15000000</v>
      </c>
      <c r="Y56" s="44">
        <v>529031913.70999998</v>
      </c>
      <c r="Z56" s="40">
        <f>+Y56/$J$1</f>
        <v>970700.75910091738</v>
      </c>
      <c r="AA56" s="44">
        <v>32142296.420000002</v>
      </c>
      <c r="AB56" s="44">
        <f t="shared" si="11"/>
        <v>561174210.13</v>
      </c>
    </row>
    <row r="57" spans="1:28" s="45" customFormat="1" ht="29.45" customHeight="1">
      <c r="A57" s="43" t="s">
        <v>30</v>
      </c>
      <c r="B57" s="43" t="s">
        <v>37</v>
      </c>
      <c r="C57" s="43" t="s">
        <v>32</v>
      </c>
      <c r="D57" s="43">
        <v>13</v>
      </c>
      <c r="E57" s="43" t="s">
        <v>187</v>
      </c>
      <c r="F57" s="43" t="s">
        <v>30</v>
      </c>
      <c r="G57" s="43" t="s">
        <v>34</v>
      </c>
      <c r="H57" s="43" t="s">
        <v>188</v>
      </c>
      <c r="I57" s="39" t="s">
        <v>189</v>
      </c>
      <c r="J57" s="43">
        <v>1487</v>
      </c>
      <c r="K57" s="43">
        <v>8240</v>
      </c>
      <c r="L57" s="43">
        <f t="shared" si="9"/>
        <v>9727</v>
      </c>
      <c r="M57" s="43">
        <v>9</v>
      </c>
      <c r="N57" s="43"/>
      <c r="O57" s="43"/>
      <c r="P57" s="43"/>
      <c r="Q57" s="43"/>
      <c r="R57" s="43"/>
      <c r="S57" s="43"/>
      <c r="T57" s="43"/>
      <c r="U57" s="43"/>
      <c r="V57" s="43"/>
      <c r="W57" s="44">
        <f t="shared" si="10"/>
        <v>323126967.01999998</v>
      </c>
      <c r="X57" s="44">
        <v>14687589.41</v>
      </c>
      <c r="Y57" s="44">
        <v>337814556.43000001</v>
      </c>
      <c r="Z57" s="40">
        <f>+Y57/$J$1</f>
        <v>619843.22280733951</v>
      </c>
      <c r="AA57" s="44">
        <v>41627477</v>
      </c>
      <c r="AB57" s="44">
        <f t="shared" si="11"/>
        <v>379442033.43000001</v>
      </c>
    </row>
    <row r="58" spans="1:28" s="45" customFormat="1" ht="29.45" customHeight="1">
      <c r="A58" s="43" t="s">
        <v>30</v>
      </c>
      <c r="B58" s="43" t="s">
        <v>31</v>
      </c>
      <c r="C58" s="43" t="s">
        <v>32</v>
      </c>
      <c r="D58" s="43">
        <v>16</v>
      </c>
      <c r="E58" s="43" t="s">
        <v>190</v>
      </c>
      <c r="F58" s="43" t="s">
        <v>30</v>
      </c>
      <c r="G58" s="43" t="s">
        <v>34</v>
      </c>
      <c r="H58" s="43" t="s">
        <v>191</v>
      </c>
      <c r="I58" s="47" t="s">
        <v>192</v>
      </c>
      <c r="J58" s="43">
        <v>596</v>
      </c>
      <c r="K58" s="43">
        <v>1720</v>
      </c>
      <c r="L58" s="43">
        <f t="shared" si="9"/>
        <v>2316</v>
      </c>
      <c r="M58" s="43">
        <v>3.05</v>
      </c>
      <c r="N58" s="43"/>
      <c r="O58" s="43">
        <v>9.3000000000000007</v>
      </c>
      <c r="P58" s="43"/>
      <c r="Q58" s="43"/>
      <c r="R58" s="43"/>
      <c r="S58" s="43"/>
      <c r="T58" s="43"/>
      <c r="U58" s="43"/>
      <c r="V58" s="43"/>
      <c r="W58" s="44">
        <f t="shared" si="10"/>
        <v>263761532.94</v>
      </c>
      <c r="X58" s="40"/>
      <c r="Y58" s="44">
        <v>263761532.94</v>
      </c>
      <c r="Z58" s="40">
        <f>+Y58/$J$1</f>
        <v>483966.1154862385</v>
      </c>
      <c r="AA58" s="44">
        <v>23752082.440000001</v>
      </c>
      <c r="AB58" s="44">
        <f t="shared" si="11"/>
        <v>287513615.38</v>
      </c>
    </row>
    <row r="59" spans="1:28" s="45" customFormat="1" ht="29.45" customHeight="1">
      <c r="A59" s="43" t="s">
        <v>30</v>
      </c>
      <c r="B59" s="43" t="s">
        <v>47</v>
      </c>
      <c r="C59" s="43" t="s">
        <v>32</v>
      </c>
      <c r="D59" s="43">
        <v>11</v>
      </c>
      <c r="E59" s="43" t="s">
        <v>193</v>
      </c>
      <c r="F59" s="43" t="s">
        <v>30</v>
      </c>
      <c r="G59" s="43" t="s">
        <v>34</v>
      </c>
      <c r="H59" s="43" t="s">
        <v>194</v>
      </c>
      <c r="I59" s="47" t="s">
        <v>195</v>
      </c>
      <c r="J59" s="43">
        <v>2000</v>
      </c>
      <c r="K59" s="43">
        <v>2000</v>
      </c>
      <c r="L59" s="43">
        <f t="shared" si="9"/>
        <v>4000</v>
      </c>
      <c r="M59" s="43">
        <v>2.8</v>
      </c>
      <c r="N59" s="43"/>
      <c r="O59" s="43"/>
      <c r="P59" s="43"/>
      <c r="Q59" s="43"/>
      <c r="R59" s="43"/>
      <c r="S59" s="43"/>
      <c r="T59" s="43"/>
      <c r="U59" s="43"/>
      <c r="V59" s="43"/>
      <c r="W59" s="44">
        <f t="shared" si="10"/>
        <v>317862125.04000002</v>
      </c>
      <c r="X59" s="44">
        <v>15000000</v>
      </c>
      <c r="Y59" s="44">
        <v>332862125.04000002</v>
      </c>
      <c r="Z59" s="40">
        <f>+Y59/$J$1</f>
        <v>610756.19273394498</v>
      </c>
      <c r="AA59" s="44">
        <v>58535224.75</v>
      </c>
      <c r="AB59" s="44">
        <f t="shared" si="11"/>
        <v>391397349.79000002</v>
      </c>
    </row>
    <row r="60" spans="1:28" s="45" customFormat="1" ht="29.45" customHeight="1">
      <c r="A60" s="43" t="s">
        <v>30</v>
      </c>
      <c r="B60" s="43" t="s">
        <v>37</v>
      </c>
      <c r="C60" s="43" t="s">
        <v>32</v>
      </c>
      <c r="D60" s="43">
        <v>6</v>
      </c>
      <c r="E60" s="43" t="s">
        <v>196</v>
      </c>
      <c r="F60" s="43" t="s">
        <v>30</v>
      </c>
      <c r="G60" s="43" t="s">
        <v>34</v>
      </c>
      <c r="H60" s="43" t="s">
        <v>197</v>
      </c>
      <c r="I60" s="47" t="s">
        <v>198</v>
      </c>
      <c r="J60" s="43">
        <v>2725</v>
      </c>
      <c r="K60" s="43">
        <v>800</v>
      </c>
      <c r="L60" s="43">
        <f t="shared" si="9"/>
        <v>3525</v>
      </c>
      <c r="M60" s="43">
        <f>2.1+3.81</f>
        <v>5.91</v>
      </c>
      <c r="N60" s="43"/>
      <c r="O60" s="43">
        <v>8.2799999999999994</v>
      </c>
      <c r="P60" s="43"/>
      <c r="Q60" s="43"/>
      <c r="R60" s="43"/>
      <c r="S60" s="43"/>
      <c r="T60" s="43"/>
      <c r="U60" s="43"/>
      <c r="V60" s="43"/>
      <c r="W60" s="44">
        <f t="shared" si="10"/>
        <v>226181735.12</v>
      </c>
      <c r="X60" s="44">
        <v>10771000</v>
      </c>
      <c r="Y60" s="44">
        <f>226181735.12+10771000</f>
        <v>236952735.12</v>
      </c>
      <c r="Z60" s="40">
        <f>+Y60/$J$1</f>
        <v>434775.66077064222</v>
      </c>
      <c r="AA60" s="44">
        <v>8945189</v>
      </c>
      <c r="AB60" s="44">
        <f t="shared" si="11"/>
        <v>245897924.12</v>
      </c>
    </row>
    <row r="61" spans="1:28" s="45" customFormat="1" ht="29.45" customHeight="1">
      <c r="A61" s="43" t="s">
        <v>30</v>
      </c>
      <c r="B61" s="43" t="s">
        <v>44</v>
      </c>
      <c r="C61" s="43" t="s">
        <v>32</v>
      </c>
      <c r="D61" s="43">
        <v>5</v>
      </c>
      <c r="E61" s="43" t="s">
        <v>199</v>
      </c>
      <c r="F61" s="43" t="s">
        <v>30</v>
      </c>
      <c r="G61" s="43" t="s">
        <v>34</v>
      </c>
      <c r="H61" s="43" t="s">
        <v>200</v>
      </c>
      <c r="I61" s="39" t="s">
        <v>201</v>
      </c>
      <c r="J61" s="43">
        <v>3512</v>
      </c>
      <c r="K61" s="43">
        <v>11709</v>
      </c>
      <c r="L61" s="43">
        <f t="shared" si="9"/>
        <v>15221</v>
      </c>
      <c r="M61" s="43">
        <v>3.5</v>
      </c>
      <c r="N61" s="43"/>
      <c r="O61" s="43"/>
      <c r="P61" s="43"/>
      <c r="Q61" s="43"/>
      <c r="R61" s="43"/>
      <c r="S61" s="43"/>
      <c r="T61" s="43"/>
      <c r="U61" s="43"/>
      <c r="V61" s="43"/>
      <c r="W61" s="44">
        <f t="shared" si="10"/>
        <v>102027558.87</v>
      </c>
      <c r="X61" s="44">
        <v>2915073.13</v>
      </c>
      <c r="Y61" s="44">
        <v>104942632</v>
      </c>
      <c r="Z61" s="40">
        <f>+Y61/$J$1</f>
        <v>192555.28807339451</v>
      </c>
      <c r="AA61" s="44">
        <v>24633838.460000001</v>
      </c>
      <c r="AB61" s="44">
        <f t="shared" si="11"/>
        <v>129576470.46000001</v>
      </c>
    </row>
    <row r="62" spans="1:28" s="45" customFormat="1" ht="29.45" customHeight="1">
      <c r="A62" s="43" t="s">
        <v>30</v>
      </c>
      <c r="B62" s="43" t="s">
        <v>44</v>
      </c>
      <c r="C62" s="43" t="s">
        <v>41</v>
      </c>
      <c r="D62" s="43">
        <v>5</v>
      </c>
      <c r="E62" s="43" t="s">
        <v>199</v>
      </c>
      <c r="F62" s="43" t="s">
        <v>30</v>
      </c>
      <c r="G62" s="43" t="s">
        <v>34</v>
      </c>
      <c r="H62" s="43" t="s">
        <v>202</v>
      </c>
      <c r="I62" s="39" t="s">
        <v>203</v>
      </c>
      <c r="J62" s="43">
        <v>2000</v>
      </c>
      <c r="K62" s="43">
        <v>20677</v>
      </c>
      <c r="L62" s="43">
        <f t="shared" si="9"/>
        <v>22677</v>
      </c>
      <c r="M62" s="43">
        <v>10</v>
      </c>
      <c r="N62" s="43"/>
      <c r="O62" s="43"/>
      <c r="P62" s="43"/>
      <c r="Q62" s="43"/>
      <c r="R62" s="43"/>
      <c r="S62" s="43"/>
      <c r="T62" s="43"/>
      <c r="U62" s="43"/>
      <c r="V62" s="43"/>
      <c r="W62" s="44">
        <f t="shared" si="10"/>
        <v>268989353.38999999</v>
      </c>
      <c r="X62" s="44">
        <v>7685410.0999999996</v>
      </c>
      <c r="Y62" s="44">
        <v>276674763.49000001</v>
      </c>
      <c r="Z62" s="40">
        <f>+Y62/$J$1</f>
        <v>507660.11649541283</v>
      </c>
      <c r="AA62" s="44">
        <v>83446643.540000007</v>
      </c>
      <c r="AB62" s="44">
        <f t="shared" si="11"/>
        <v>360121407.03000003</v>
      </c>
    </row>
    <row r="63" spans="1:28" s="45" customFormat="1" ht="29.45" customHeight="1">
      <c r="A63" s="43" t="s">
        <v>30</v>
      </c>
      <c r="B63" s="43" t="s">
        <v>44</v>
      </c>
      <c r="C63" s="43" t="s">
        <v>32</v>
      </c>
      <c r="D63" s="43">
        <v>6</v>
      </c>
      <c r="E63" s="43" t="s">
        <v>204</v>
      </c>
      <c r="F63" s="43" t="s">
        <v>30</v>
      </c>
      <c r="G63" s="43" t="s">
        <v>34</v>
      </c>
      <c r="H63" s="43" t="s">
        <v>205</v>
      </c>
      <c r="I63" s="39" t="s">
        <v>206</v>
      </c>
      <c r="J63" s="43">
        <v>590</v>
      </c>
      <c r="K63" s="43">
        <v>3091</v>
      </c>
      <c r="L63" s="43">
        <f t="shared" si="9"/>
        <v>3681</v>
      </c>
      <c r="M63" s="43">
        <f>3.51+0.83</f>
        <v>4.34</v>
      </c>
      <c r="N63" s="43"/>
      <c r="O63" s="43"/>
      <c r="P63" s="43"/>
      <c r="Q63" s="43"/>
      <c r="R63" s="43"/>
      <c r="S63" s="43"/>
      <c r="T63" s="43"/>
      <c r="U63" s="43"/>
      <c r="V63" s="43"/>
      <c r="W63" s="44">
        <f t="shared" si="10"/>
        <v>358877091.77000004</v>
      </c>
      <c r="X63" s="44">
        <f>6333037.42+4119693.41</f>
        <v>10452730.83</v>
      </c>
      <c r="Y63" s="44">
        <f>223767322.24+145562500.36</f>
        <v>369329822.60000002</v>
      </c>
      <c r="Z63" s="40">
        <f>+Y63/$J$1</f>
        <v>677669.39926605509</v>
      </c>
      <c r="AA63" s="44">
        <v>155285228.13999999</v>
      </c>
      <c r="AB63" s="44">
        <f t="shared" si="11"/>
        <v>524615050.74000001</v>
      </c>
    </row>
    <row r="64" spans="1:28" ht="29.45" customHeight="1">
      <c r="W64" s="4"/>
      <c r="X64" s="4"/>
      <c r="Y64" s="4"/>
      <c r="Z64" s="4"/>
    </row>
    <row r="65" spans="5:26" ht="29.45" customHeight="1">
      <c r="W65" s="4"/>
      <c r="X65" s="4"/>
      <c r="Y65" s="4"/>
      <c r="Z65" s="4"/>
    </row>
    <row r="66" spans="5:26" ht="29.45" customHeight="1">
      <c r="W66" s="4"/>
      <c r="X66" s="4"/>
      <c r="Y66" s="4"/>
      <c r="Z66" s="4"/>
    </row>
    <row r="67" spans="5:26" ht="14.45">
      <c r="E67"/>
      <c r="F67"/>
      <c r="G67"/>
      <c r="W67" s="4"/>
      <c r="X67" s="4"/>
      <c r="Y67" s="4"/>
      <c r="Z67" s="4"/>
    </row>
    <row r="68" spans="5:26" ht="14.45">
      <c r="E68"/>
      <c r="F68"/>
      <c r="G68"/>
      <c r="W68" s="4"/>
      <c r="X68" s="4"/>
      <c r="Y68" s="4"/>
      <c r="Z68" s="4"/>
    </row>
    <row r="69" spans="5:26" ht="14.45">
      <c r="E69"/>
      <c r="F69"/>
      <c r="G69"/>
      <c r="W69" s="4"/>
      <c r="X69" s="4"/>
      <c r="Y69" s="4"/>
      <c r="Z69" s="4"/>
    </row>
    <row r="70" spans="5:26" ht="14.45">
      <c r="E70"/>
      <c r="F70"/>
      <c r="G70"/>
      <c r="W70" s="4"/>
      <c r="X70" s="4"/>
      <c r="Y70" s="4"/>
      <c r="Z70" s="4"/>
    </row>
    <row r="71" spans="5:26" ht="14.45">
      <c r="E71"/>
      <c r="F71"/>
      <c r="G71"/>
      <c r="W71" s="4"/>
      <c r="X71" s="4"/>
      <c r="Y71" s="4"/>
      <c r="Z71" s="4"/>
    </row>
    <row r="72" spans="5:26" ht="14.45">
      <c r="E72"/>
      <c r="F72"/>
      <c r="G72"/>
      <c r="W72" s="4"/>
      <c r="X72" s="4"/>
      <c r="Y72" s="4"/>
      <c r="Z72" s="4"/>
    </row>
    <row r="73" spans="5:26" ht="14.45">
      <c r="E73"/>
      <c r="F73"/>
      <c r="G73"/>
      <c r="W73" s="4"/>
      <c r="X73" s="4"/>
      <c r="Y73" s="4"/>
      <c r="Z73" s="4"/>
    </row>
    <row r="74" spans="5:26" ht="14.45">
      <c r="E74"/>
      <c r="F74"/>
      <c r="G74"/>
      <c r="W74" s="4"/>
      <c r="X74" s="4"/>
      <c r="Y74" s="4"/>
      <c r="Z74" s="4"/>
    </row>
    <row r="75" spans="5:26" ht="14.45">
      <c r="E75"/>
      <c r="F75"/>
      <c r="G75"/>
      <c r="W75" s="4"/>
      <c r="X75" s="4"/>
      <c r="Y75" s="4"/>
      <c r="Z75" s="4"/>
    </row>
    <row r="76" spans="5:26" ht="14.45">
      <c r="E76"/>
      <c r="F76"/>
      <c r="G76"/>
      <c r="W76" s="4"/>
      <c r="X76" s="4"/>
      <c r="Y76" s="4"/>
      <c r="Z76" s="4"/>
    </row>
    <row r="77" spans="5:26" ht="14.45">
      <c r="E77"/>
      <c r="F77"/>
      <c r="G77"/>
      <c r="W77" s="4"/>
      <c r="X77" s="4"/>
      <c r="Y77" s="4"/>
      <c r="Z77" s="4"/>
    </row>
    <row r="78" spans="5:26" ht="14.45">
      <c r="E78"/>
      <c r="F78"/>
      <c r="G78"/>
      <c r="W78" s="4"/>
      <c r="X78" s="4"/>
      <c r="Y78" s="4"/>
      <c r="Z78" s="4"/>
    </row>
    <row r="79" spans="5:26" ht="14.45">
      <c r="E79"/>
      <c r="F79"/>
      <c r="G79"/>
      <c r="W79" s="4"/>
      <c r="X79" s="4"/>
      <c r="Y79" s="4"/>
      <c r="Z79" s="4"/>
    </row>
    <row r="80" spans="5:26" ht="29.45" customHeight="1">
      <c r="W80" s="4"/>
      <c r="X80" s="4"/>
      <c r="Y80" s="4"/>
      <c r="Z80" s="4"/>
    </row>
    <row r="81" spans="23:26" ht="29.45" customHeight="1">
      <c r="W81" s="4"/>
      <c r="X81" s="4"/>
      <c r="Y81" s="4"/>
      <c r="Z81" s="4"/>
    </row>
    <row r="82" spans="23:26" ht="29.45" customHeight="1">
      <c r="W82" s="4"/>
      <c r="X82" s="4"/>
      <c r="Y82" s="4"/>
      <c r="Z82" s="4"/>
    </row>
    <row r="83" spans="23:26" ht="29.45" customHeight="1">
      <c r="W83" s="4"/>
      <c r="X83" s="4"/>
      <c r="Y83" s="4"/>
      <c r="Z83" s="4"/>
    </row>
    <row r="84" spans="23:26" ht="29.45" customHeight="1">
      <c r="W84" s="4"/>
      <c r="X84" s="4"/>
      <c r="Y84" s="4"/>
      <c r="Z84" s="4"/>
    </row>
    <row r="85" spans="23:26" ht="29.45" customHeight="1">
      <c r="W85" s="4"/>
      <c r="X85" s="4"/>
      <c r="Y85" s="4"/>
      <c r="Z85" s="4"/>
    </row>
    <row r="86" spans="23:26" ht="29.45" customHeight="1">
      <c r="W86" s="4"/>
      <c r="X86" s="4"/>
      <c r="Y86" s="4"/>
      <c r="Z86" s="4"/>
    </row>
    <row r="87" spans="23:26" ht="29.45" customHeight="1">
      <c r="W87" s="4"/>
      <c r="X87" s="4"/>
      <c r="Y87" s="4"/>
      <c r="Z87" s="4"/>
    </row>
    <row r="88" spans="23:26" ht="29.45" customHeight="1">
      <c r="W88" s="4"/>
      <c r="X88" s="4"/>
      <c r="Y88" s="4"/>
      <c r="Z88" s="4"/>
    </row>
    <row r="89" spans="23:26" ht="29.45" customHeight="1">
      <c r="W89" s="4"/>
      <c r="X89" s="4"/>
      <c r="Y89" s="4"/>
      <c r="Z89" s="4"/>
    </row>
    <row r="90" spans="23:26" ht="29.45" customHeight="1">
      <c r="W90" s="4"/>
      <c r="X90" s="4"/>
      <c r="Y90" s="4"/>
      <c r="Z90" s="4"/>
    </row>
    <row r="91" spans="23:26" ht="29.45" customHeight="1">
      <c r="W91" s="4"/>
      <c r="X91" s="4"/>
      <c r="Y91" s="4"/>
      <c r="Z91" s="4"/>
    </row>
    <row r="92" spans="23:26" ht="29.45" customHeight="1">
      <c r="W92" s="4"/>
      <c r="X92" s="4"/>
      <c r="Y92" s="4"/>
      <c r="Z92" s="4"/>
    </row>
    <row r="93" spans="23:26" ht="29.45" customHeight="1">
      <c r="W93" s="4"/>
      <c r="X93" s="4"/>
      <c r="Y93" s="4"/>
      <c r="Z93" s="4"/>
    </row>
    <row r="94" spans="23:26" ht="29.45" customHeight="1">
      <c r="W94" s="4"/>
      <c r="X94" s="4"/>
      <c r="Y94" s="4"/>
      <c r="Z94" s="4"/>
    </row>
    <row r="95" spans="23:26" ht="29.45" customHeight="1">
      <c r="W95" s="4"/>
      <c r="X95" s="4"/>
      <c r="Y95" s="4"/>
      <c r="Z95" s="4"/>
    </row>
    <row r="96" spans="23:26" ht="29.45" customHeight="1">
      <c r="W96" s="4"/>
      <c r="X96" s="4"/>
      <c r="Y96" s="4"/>
      <c r="Z96" s="4"/>
    </row>
    <row r="97" spans="23:26" ht="29.45" customHeight="1">
      <c r="W97" s="4"/>
      <c r="X97" s="4"/>
      <c r="Y97" s="4"/>
      <c r="Z97" s="4"/>
    </row>
  </sheetData>
  <autoFilter ref="A2:AB63" xr:uid="{00000000-0009-0000-0000-000000000000}">
    <sortState ref="A3:AB66">
      <sortCondition ref="E2:E66"/>
    </sortState>
  </autoFilter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topLeftCell="B1" workbookViewId="0" xr3:uid="{958C4451-9541-5A59-BF78-D2F731DF1C81}">
      <selection activeCell="C8" sqref="C8"/>
    </sheetView>
  </sheetViews>
  <sheetFormatPr defaultColWidth="11.5703125" defaultRowHeight="14.45"/>
  <cols>
    <col min="1" max="1" width="32.28515625" customWidth="1"/>
    <col min="2" max="2" width="16.85546875" bestFit="1" customWidth="1"/>
    <col min="3" max="3" width="17.7109375" customWidth="1"/>
    <col min="4" max="4" width="17.7109375" bestFit="1" customWidth="1"/>
    <col min="5" max="5" width="19.5703125" customWidth="1"/>
    <col min="6" max="6" width="21.28515625" customWidth="1"/>
    <col min="7" max="7" width="16.5703125" customWidth="1"/>
    <col min="8" max="8" width="16.85546875" bestFit="1" customWidth="1"/>
    <col min="9" max="11" width="16.5703125" customWidth="1"/>
  </cols>
  <sheetData>
    <row r="1" spans="1:11">
      <c r="A1" t="s">
        <v>207</v>
      </c>
      <c r="G1" t="s">
        <v>208</v>
      </c>
    </row>
    <row r="2" spans="1:11" ht="57.6">
      <c r="A2" s="15" t="s">
        <v>209</v>
      </c>
      <c r="B2" t="s">
        <v>210</v>
      </c>
      <c r="C2" s="16" t="s">
        <v>211</v>
      </c>
      <c r="D2" s="16" t="s">
        <v>212</v>
      </c>
      <c r="E2" s="16" t="s">
        <v>213</v>
      </c>
      <c r="G2" s="15" t="s">
        <v>209</v>
      </c>
      <c r="H2" t="s">
        <v>210</v>
      </c>
      <c r="I2" s="16" t="s">
        <v>211</v>
      </c>
      <c r="J2" s="16" t="s">
        <v>212</v>
      </c>
      <c r="K2" s="16" t="s">
        <v>213</v>
      </c>
    </row>
    <row r="3" spans="1:11">
      <c r="A3" s="13" t="s">
        <v>214</v>
      </c>
      <c r="B3" s="14"/>
      <c r="C3" s="18"/>
      <c r="D3" s="18"/>
      <c r="E3" s="17"/>
      <c r="G3" s="13" t="s">
        <v>34</v>
      </c>
      <c r="H3" s="14">
        <v>99</v>
      </c>
      <c r="I3" s="20">
        <v>404.13499999999988</v>
      </c>
      <c r="J3" s="20">
        <v>57.66</v>
      </c>
      <c r="K3" s="17">
        <v>68004839.437853217</v>
      </c>
    </row>
    <row r="4" spans="1:11">
      <c r="A4" s="19" t="s">
        <v>34</v>
      </c>
      <c r="B4" s="14">
        <v>61</v>
      </c>
      <c r="C4" s="20">
        <v>274.16699999999997</v>
      </c>
      <c r="D4" s="20">
        <v>24</v>
      </c>
      <c r="E4" s="17">
        <v>43945048.537963316</v>
      </c>
      <c r="G4" s="13" t="s">
        <v>215</v>
      </c>
      <c r="H4" s="14">
        <v>12</v>
      </c>
      <c r="I4" s="20">
        <v>0.753</v>
      </c>
      <c r="J4" s="20">
        <v>264.15999999999997</v>
      </c>
      <c r="K4" s="17">
        <v>5438920.9362752279</v>
      </c>
    </row>
    <row r="5" spans="1:11">
      <c r="A5" s="13" t="s">
        <v>216</v>
      </c>
      <c r="B5" s="14">
        <v>61</v>
      </c>
      <c r="C5" s="20">
        <v>274.16699999999997</v>
      </c>
      <c r="D5" s="20">
        <v>24</v>
      </c>
      <c r="E5" s="17">
        <v>43945048.537963316</v>
      </c>
      <c r="G5" s="13" t="s">
        <v>216</v>
      </c>
      <c r="H5" s="14">
        <v>111</v>
      </c>
      <c r="I5" s="20">
        <v>404.88799999999986</v>
      </c>
      <c r="J5" s="20">
        <v>321.82</v>
      </c>
      <c r="K5" s="17">
        <v>73443760.374128446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 xr3:uid="{842E5F09-E766-5B8D-85AF-A39847EA96FD}">
      <selection sqref="A1:G1"/>
    </sheetView>
  </sheetViews>
  <sheetFormatPr defaultColWidth="11.5703125" defaultRowHeight="14.45"/>
  <cols>
    <col min="1" max="1" width="16.5703125" customWidth="1"/>
    <col min="2" max="2" width="16.85546875" bestFit="1" customWidth="1"/>
    <col min="3" max="3" width="19.5703125" customWidth="1"/>
    <col min="4" max="4" width="17.42578125" customWidth="1"/>
    <col min="5" max="5" width="20.5703125" customWidth="1"/>
    <col min="6" max="6" width="21.28515625" customWidth="1"/>
    <col min="7" max="7" width="19.5703125" customWidth="1"/>
  </cols>
  <sheetData>
    <row r="1" spans="1:7">
      <c r="A1" s="1" t="s">
        <v>217</v>
      </c>
      <c r="B1" s="1"/>
      <c r="C1" s="1"/>
      <c r="D1" s="1"/>
      <c r="E1" s="1"/>
      <c r="F1" s="1"/>
      <c r="G1" s="1"/>
    </row>
    <row r="2" spans="1:7" ht="43.15">
      <c r="A2" s="22" t="s">
        <v>218</v>
      </c>
      <c r="B2" s="23" t="s">
        <v>219</v>
      </c>
      <c r="C2" s="23" t="s">
        <v>220</v>
      </c>
      <c r="D2" s="23" t="s">
        <v>221</v>
      </c>
      <c r="E2" s="23" t="s">
        <v>222</v>
      </c>
      <c r="F2" s="23" t="s">
        <v>223</v>
      </c>
      <c r="G2" s="23" t="s">
        <v>224</v>
      </c>
    </row>
    <row r="3" spans="1:7">
      <c r="A3" s="24" t="s">
        <v>34</v>
      </c>
      <c r="B3" s="25">
        <v>99</v>
      </c>
      <c r="C3" s="26">
        <v>404.13499999999988</v>
      </c>
      <c r="D3" s="26"/>
      <c r="E3" s="27">
        <v>68004839.437853217</v>
      </c>
      <c r="F3" s="27">
        <f>+E3/C3</f>
        <v>168272.58079070915</v>
      </c>
      <c r="G3" s="28">
        <f>+B3/B5</f>
        <v>0.89189189189189189</v>
      </c>
    </row>
    <row r="4" spans="1:7">
      <c r="A4" s="24" t="s">
        <v>215</v>
      </c>
      <c r="B4" s="25">
        <v>12</v>
      </c>
      <c r="C4" s="26"/>
      <c r="D4" s="26">
        <v>264.15999999999997</v>
      </c>
      <c r="E4" s="27">
        <v>5438920.9362752279</v>
      </c>
      <c r="F4" s="27">
        <f>+E4/D4</f>
        <v>20589.494761792961</v>
      </c>
      <c r="G4" s="28">
        <f>+B4/B5</f>
        <v>0.10810810810810811</v>
      </c>
    </row>
    <row r="5" spans="1:7">
      <c r="A5" s="24" t="s">
        <v>216</v>
      </c>
      <c r="B5" s="25">
        <v>111</v>
      </c>
      <c r="C5" s="26">
        <v>404.13499999999988</v>
      </c>
      <c r="D5" s="26">
        <v>264.15999999999997</v>
      </c>
      <c r="E5" s="27">
        <v>73443760.374128446</v>
      </c>
      <c r="F5" s="27"/>
      <c r="G5" s="29"/>
    </row>
    <row r="8" spans="1:7" ht="43.15">
      <c r="A8" s="30" t="s">
        <v>225</v>
      </c>
      <c r="B8" s="32">
        <v>115200000</v>
      </c>
      <c r="C8" s="33"/>
      <c r="D8" s="34"/>
    </row>
    <row r="9" spans="1:7" ht="43.15">
      <c r="A9" s="23" t="s">
        <v>218</v>
      </c>
      <c r="B9" s="31" t="s">
        <v>220</v>
      </c>
      <c r="C9" s="31" t="s">
        <v>221</v>
      </c>
      <c r="D9" s="31" t="s">
        <v>222</v>
      </c>
    </row>
    <row r="10" spans="1:7">
      <c r="A10" s="24" t="s">
        <v>34</v>
      </c>
      <c r="B10" s="26">
        <f>+D10/$F$3</f>
        <v>610.59232266567142</v>
      </c>
      <c r="C10" s="26"/>
      <c r="D10" s="27">
        <f>+$B$8*$G$3</f>
        <v>102745945.94594595</v>
      </c>
    </row>
    <row r="11" spans="1:7">
      <c r="A11" s="24" t="s">
        <v>215</v>
      </c>
      <c r="B11" s="26"/>
      <c r="C11" s="26">
        <f>+D11/$F$4</f>
        <v>604.87419424999723</v>
      </c>
      <c r="D11" s="27">
        <f>+$B$8*$G$4</f>
        <v>12454054.054054055</v>
      </c>
    </row>
    <row r="12" spans="1:7">
      <c r="A12" s="24" t="s">
        <v>216</v>
      </c>
      <c r="B12" s="26">
        <f>SUM(B10:B11)</f>
        <v>610.59232266567142</v>
      </c>
      <c r="C12" s="26">
        <f>SUM(C10:C11)</f>
        <v>604.87419424999723</v>
      </c>
      <c r="D12" s="27">
        <f>SUM(D10:D11)</f>
        <v>115200000</v>
      </c>
    </row>
    <row r="13" spans="1:7">
      <c r="A13" s="13"/>
      <c r="B13" s="20"/>
      <c r="C13" s="20"/>
      <c r="D13" s="17"/>
    </row>
    <row r="14" spans="1:7" ht="13.9" customHeight="1"/>
    <row r="15" spans="1:7" ht="43.15">
      <c r="A15" s="30" t="s">
        <v>226</v>
      </c>
      <c r="B15" s="32">
        <f>115200000+4000000</f>
        <v>119200000</v>
      </c>
      <c r="C15" s="33"/>
      <c r="D15" s="34"/>
    </row>
    <row r="16" spans="1:7" ht="43.15">
      <c r="A16" s="23" t="s">
        <v>218</v>
      </c>
      <c r="B16" s="31" t="s">
        <v>220</v>
      </c>
      <c r="C16" s="31" t="s">
        <v>221</v>
      </c>
      <c r="D16" s="31" t="s">
        <v>222</v>
      </c>
      <c r="E16" s="21"/>
    </row>
    <row r="17" spans="1:5">
      <c r="A17" s="24" t="s">
        <v>34</v>
      </c>
      <c r="B17" s="26">
        <f>+D17/$F$3</f>
        <v>631.79344498045168</v>
      </c>
      <c r="C17" s="26"/>
      <c r="D17" s="27">
        <f>+$B$15*$G$3</f>
        <v>106313513.51351351</v>
      </c>
      <c r="E17" s="17"/>
    </row>
    <row r="18" spans="1:5">
      <c r="A18" s="24" t="s">
        <v>215</v>
      </c>
      <c r="B18" s="26"/>
      <c r="C18" s="26">
        <f>+D18/$F$4</f>
        <v>625.87677043923316</v>
      </c>
      <c r="D18" s="27">
        <f>+$B$15*$G$4</f>
        <v>12886486.486486487</v>
      </c>
      <c r="E18" s="17"/>
    </row>
    <row r="19" spans="1:5">
      <c r="A19" s="24" t="s">
        <v>216</v>
      </c>
      <c r="B19" s="26">
        <f>SUM(B17:B18)</f>
        <v>631.79344498045168</v>
      </c>
      <c r="C19" s="26">
        <f>SUM(C17:C18)</f>
        <v>625.87677043923316</v>
      </c>
      <c r="D19" s="27">
        <f>SUM(D17:D18)</f>
        <v>119200000</v>
      </c>
      <c r="E19" s="17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DDAECDD503FDD74B97AB9BDF7A48CF56" ma:contentTypeVersion="25" ma:contentTypeDescription="The base project type from which other project content types inherit their information." ma:contentTypeScope="" ma:versionID="a0f202ea9c235f468daae9f12db80a4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bf88f37e2cd0e74a99ac9720f0dfa0e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Costa Rica</TermName>
          <TermId xmlns="http://schemas.microsoft.com/office/infopath/2007/PartnerControls">70401352-ba64-401d-af16-55c448a66295</TermId>
        </TermInfo>
      </Terms>
    </ic46d7e087fd4a108fb86518ca413cc6>
    <IDBDocs_x0020_Number xmlns="cdc7663a-08f0-4737-9e8c-148ce897a09c" xsi:nil="true"/>
    <Division_x0020_or_x0020_Unit xmlns="cdc7663a-08f0-4737-9e8c-148ce897a09c">INE/TSP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>ACTIVE</Phase>
    <Document_x0020_Author xmlns="cdc7663a-08f0-4737-9e8c-148ce897a09c">Cocha, Agustina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RURAL ROADS</TermName>
          <TermId xmlns="http://schemas.microsoft.com/office/infopath/2007/PartnerControls">1f79be0e-3eda-44ad-a2e0-bba2d08bb57f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26</Value>
      <Value>45</Value>
      <Value>24</Value>
      <Value>2</Value>
      <Value>44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CR-L1065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Record_x0020_Number xmlns="cdc7663a-08f0-4737-9e8c-148ce897a09c">R0001927237</Record_x0020_Number>
    <_dlc_DocId xmlns="cdc7663a-08f0-4737-9e8c-148ce897a09c">EZSHARE-998400382-44</_dlc_DocId>
    <_dlc_DocIdUrl xmlns="cdc7663a-08f0-4737-9e8c-148ce897a09c">
      <Url>https://idbg.sharepoint.com/teams/EZ-CR-LON/CR-L1065/_layouts/15/DocIdRedir.aspx?ID=EZSHARE-998400382-44</Url>
      <Description>EZSHARE-998400382-44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3EB02646EF80643A0294A2C33ABB4CF" ma:contentTypeVersion="29" ma:contentTypeDescription="A content type to manage public (operations) IDB documents" ma:contentTypeScope="" ma:versionID="54dacbe579d24e06ecb7e1d47b88876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2d115101199490617cb5334436e5cb2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CR-L1065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325FAB37-8F0C-47D5-A64B-ED4339F53E3A}"/>
</file>

<file path=customXml/itemProps2.xml><?xml version="1.0" encoding="utf-8"?>
<ds:datastoreItem xmlns:ds="http://schemas.openxmlformats.org/officeDocument/2006/customXml" ds:itemID="{0F9BFC51-1D77-4F5A-8E8F-0C7040A7597C}"/>
</file>

<file path=customXml/itemProps3.xml><?xml version="1.0" encoding="utf-8"?>
<ds:datastoreItem xmlns:ds="http://schemas.openxmlformats.org/officeDocument/2006/customXml" ds:itemID="{58F4AFE2-5E85-41BA-9353-81B16FB93CB6}"/>
</file>

<file path=customXml/itemProps4.xml><?xml version="1.0" encoding="utf-8"?>
<ds:datastoreItem xmlns:ds="http://schemas.openxmlformats.org/officeDocument/2006/customXml" ds:itemID="{E8FEB0B2-FBF1-4CB6-B6E3-E112B136887E}"/>
</file>

<file path=customXml/itemProps5.xml><?xml version="1.0" encoding="utf-8"?>
<ds:datastoreItem xmlns:ds="http://schemas.openxmlformats.org/officeDocument/2006/customXml" ds:itemID="{7EC1AB6F-3FFD-47A5-9D21-A0DF3B5CA940}"/>
</file>

<file path=customXml/itemProps6.xml><?xml version="1.0" encoding="utf-8"?>
<ds:datastoreItem xmlns:ds="http://schemas.openxmlformats.org/officeDocument/2006/customXml" ds:itemID="{94EDD9CA-65A7-447C-9B46-071B90E6061F}"/>
</file>

<file path=customXml/itemProps7.xml><?xml version="1.0" encoding="utf-8"?>
<ds:datastoreItem xmlns:ds="http://schemas.openxmlformats.org/officeDocument/2006/customXml" ds:itemID="{0BA0B3B8-0782-414F-9387-1EDFCB41B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</dc:creator>
  <cp:keywords/>
  <dc:description/>
  <cp:lastModifiedBy>Bayona Pulido, Mauricio</cp:lastModifiedBy>
  <cp:revision/>
  <dcterms:created xsi:type="dcterms:W3CDTF">2017-08-23T20:20:25Z</dcterms:created>
  <dcterms:modified xsi:type="dcterms:W3CDTF">2018-02-08T00:24:36Z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45;#RURAL ROADS|1f79be0e-3eda-44ad-a2e0-bba2d08bb57f</vt:lpwstr>
  </property>
  <property fmtid="{D5CDD505-2E9C-101B-9397-08002B2CF9AE}" pid="7" name="Fund IDB">
    <vt:lpwstr>24;#ORC|c028a4b2-ad8b-4cf4-9cac-a2ae6a778e23</vt:lpwstr>
  </property>
  <property fmtid="{D5CDD505-2E9C-101B-9397-08002B2CF9AE}" pid="8" name="Country">
    <vt:lpwstr>26;#Costa Rica|70401352-ba64-401d-af16-55c448a66295</vt:lpwstr>
  </property>
  <property fmtid="{D5CDD505-2E9C-101B-9397-08002B2CF9AE}" pid="9" name="Sector IDB">
    <vt:lpwstr>44;#TRANSPORT|5a25d1a8-4baf-41a8-9e3b-e167accda6ea</vt:lpwstr>
  </property>
  <property fmtid="{D5CDD505-2E9C-101B-9397-08002B2CF9AE}" pid="10" name="Function Operations IDB">
    <vt:lpwstr>2;#Monitoring and Reporting|df3c2aa1-d63e-41aa-b1f5-bb15dee691ca</vt:lpwstr>
  </property>
  <property fmtid="{D5CDD505-2E9C-101B-9397-08002B2CF9AE}" pid="11" name="_dlc_DocIdItemGuid">
    <vt:lpwstr>7696be01-d998-4eca-8de0-59e4c3a3f164</vt:lpwstr>
  </property>
  <property fmtid="{D5CDD505-2E9C-101B-9397-08002B2CF9AE}" pid="12" name="RecordPoint_ActiveItemMoved">
    <vt:lpwstr>/teams/EZ-CR-LON/CR-L1065/15 LifeCycle Milestones/Draft Area/EEO_2_Proyectos de la Muestra Representativa.xlsx</vt:lpwstr>
  </property>
  <property fmtid="{D5CDD505-2E9C-101B-9397-08002B2CF9AE}" pid="13" name="RecordStorageActiveId">
    <vt:lpwstr>ea00cfca-9e47-4b87-8cff-fe16fcffa5e5</vt:lpwstr>
  </property>
  <property fmtid="{D5CDD505-2E9C-101B-9397-08002B2CF9AE}" pid="14" name="Disclosure Activity">
    <vt:lpwstr>Loan Proposal</vt:lpwstr>
  </property>
  <property fmtid="{D5CDD505-2E9C-101B-9397-08002B2CF9AE}" pid="15" name="ContentTypeId">
    <vt:lpwstr>0x0101001A458A224826124E8B45B1D613300CFC00E3EB02646EF80643A0294A2C33ABB4CF</vt:lpwstr>
  </property>
</Properties>
</file>