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SANZ\Documents\OneDrive - Inter-American Development Bank Group\NSANZ\Natalia\METROS\Metro Bogota\CO-L1234\LP\Documentos finales\"/>
    </mc:Choice>
  </mc:AlternateContent>
  <xr:revisionPtr revIDLastSave="0" documentId="13_ncr:1_{D674BB2B-EC18-4D17-AA51-F014A46F15F5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PEP - POA" sheetId="1" r:id="rId1"/>
  </sheets>
  <externalReferences>
    <externalReference r:id="rId2"/>
  </externalReferences>
  <definedNames>
    <definedName name="CATEGORIAS">[1]Tabla_Proyección!$C$2:$C$5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Q42" i="1"/>
  <c r="Q43" i="1"/>
  <c r="Q41" i="1"/>
  <c r="P41" i="1"/>
  <c r="P42" i="1"/>
  <c r="P43" i="1"/>
  <c r="P44" i="1"/>
  <c r="N44" i="1"/>
  <c r="O44" i="1"/>
  <c r="M44" i="1"/>
  <c r="O43" i="1"/>
  <c r="O42" i="1"/>
  <c r="O41" i="1"/>
  <c r="N43" i="1"/>
  <c r="N42" i="1"/>
  <c r="N41" i="1"/>
  <c r="M43" i="1"/>
  <c r="M42" i="1"/>
  <c r="M41" i="1"/>
  <c r="M38" i="1"/>
  <c r="I32" i="1"/>
  <c r="J32" i="1"/>
  <c r="K32" i="1"/>
  <c r="L32" i="1"/>
  <c r="I29" i="1"/>
  <c r="J29" i="1"/>
  <c r="K29" i="1"/>
  <c r="L29" i="1"/>
  <c r="L26" i="1"/>
  <c r="K26" i="1"/>
  <c r="J26" i="1"/>
  <c r="I26" i="1"/>
  <c r="I23" i="1"/>
  <c r="J23" i="1"/>
  <c r="K23" i="1"/>
  <c r="L23" i="1"/>
  <c r="L17" i="1"/>
  <c r="K17" i="1"/>
  <c r="J17" i="1"/>
  <c r="I17" i="1"/>
  <c r="I14" i="1"/>
  <c r="J14" i="1"/>
  <c r="K14" i="1"/>
  <c r="L14" i="1"/>
  <c r="L9" i="1"/>
  <c r="K9" i="1"/>
  <c r="J9" i="1"/>
  <c r="I9" i="1"/>
  <c r="T6" i="1"/>
  <c r="T10" i="1"/>
  <c r="T15" i="1"/>
  <c r="T24" i="1"/>
  <c r="T27" i="1"/>
  <c r="T5" i="1"/>
  <c r="S6" i="1"/>
  <c r="S10" i="1"/>
  <c r="S15" i="1"/>
  <c r="S24" i="1"/>
  <c r="S27" i="1"/>
  <c r="S5" i="1"/>
  <c r="Q6" i="1"/>
  <c r="Q10" i="1"/>
  <c r="Q15" i="1"/>
  <c r="Q24" i="1"/>
  <c r="Q27" i="1"/>
  <c r="Q5" i="1"/>
  <c r="P6" i="1"/>
  <c r="P10" i="1"/>
  <c r="P15" i="1"/>
  <c r="P24" i="1"/>
  <c r="P27" i="1"/>
  <c r="P5" i="1"/>
  <c r="O6" i="1"/>
  <c r="O15" i="1"/>
  <c r="O24" i="1"/>
  <c r="O27" i="1"/>
  <c r="O5" i="1"/>
  <c r="AN31" i="1"/>
  <c r="AN33" i="1"/>
  <c r="AN30" i="1"/>
  <c r="AL31" i="1"/>
  <c r="AL33" i="1"/>
  <c r="AL30" i="1"/>
  <c r="AJ31" i="1"/>
  <c r="AJ33" i="1"/>
  <c r="AJ30" i="1"/>
  <c r="AH31" i="1"/>
  <c r="AH33" i="1"/>
  <c r="AH30" i="1"/>
  <c r="AF31" i="1"/>
  <c r="AF33" i="1"/>
  <c r="AF30" i="1"/>
  <c r="AD31" i="1"/>
  <c r="AD33" i="1"/>
  <c r="AD30" i="1"/>
  <c r="AB31" i="1"/>
  <c r="AB33" i="1"/>
  <c r="AB30" i="1"/>
  <c r="Z31" i="1"/>
  <c r="Z33" i="1"/>
  <c r="Z30" i="1"/>
  <c r="X31" i="1"/>
  <c r="X33" i="1"/>
  <c r="X30" i="1"/>
  <c r="V31" i="1"/>
  <c r="V33" i="1"/>
  <c r="V30" i="1"/>
  <c r="T31" i="1"/>
  <c r="T33" i="1"/>
  <c r="T30" i="1"/>
  <c r="R31" i="1"/>
  <c r="R33" i="1"/>
  <c r="R30" i="1"/>
  <c r="P31" i="1"/>
  <c r="P33" i="1"/>
  <c r="P30" i="1"/>
  <c r="O31" i="1"/>
  <c r="O33" i="1"/>
  <c r="O30" i="1"/>
  <c r="N31" i="1"/>
  <c r="N33" i="1"/>
  <c r="N30" i="1"/>
  <c r="M31" i="1"/>
  <c r="M33" i="1"/>
  <c r="M30" i="1"/>
  <c r="L31" i="1"/>
  <c r="L33" i="1"/>
  <c r="L30" i="1"/>
  <c r="J31" i="1"/>
  <c r="J33" i="1"/>
  <c r="J30" i="1"/>
  <c r="AL27" i="1"/>
  <c r="AH27" i="1"/>
  <c r="AD27" i="1"/>
  <c r="Z27" i="1"/>
  <c r="V27" i="1"/>
  <c r="R27" i="1"/>
  <c r="N27" i="1"/>
  <c r="M27" i="1"/>
  <c r="AN24" i="1"/>
  <c r="AM24" i="1"/>
  <c r="AK24" i="1"/>
  <c r="AJ24" i="1"/>
  <c r="AI24" i="1"/>
  <c r="AG24" i="1"/>
  <c r="AF24" i="1"/>
  <c r="AE24" i="1"/>
  <c r="AC24" i="1"/>
  <c r="AB24" i="1"/>
  <c r="AA24" i="1"/>
  <c r="Y24" i="1"/>
  <c r="X24" i="1"/>
  <c r="W24" i="1"/>
  <c r="U24" i="1"/>
  <c r="M24" i="1"/>
  <c r="L24" i="1"/>
  <c r="K24" i="1"/>
  <c r="I24" i="1"/>
  <c r="D17" i="1"/>
  <c r="F17" i="1"/>
  <c r="R15" i="1"/>
  <c r="N15" i="1"/>
  <c r="M15" i="1"/>
  <c r="D28" i="1"/>
  <c r="C28" i="1"/>
  <c r="D29" i="1"/>
  <c r="C29" i="1"/>
  <c r="AM33" i="1"/>
  <c r="AI33" i="1"/>
  <c r="AE33" i="1"/>
  <c r="AA33" i="1"/>
  <c r="W33" i="1"/>
  <c r="S33" i="1"/>
  <c r="AK33" i="1"/>
  <c r="AG33" i="1"/>
  <c r="AC33" i="1"/>
  <c r="Y33" i="1"/>
  <c r="U33" i="1"/>
  <c r="Q33" i="1"/>
  <c r="K33" i="1"/>
  <c r="J27" i="1"/>
  <c r="I33" i="1"/>
  <c r="I6" i="1"/>
  <c r="K6" i="1"/>
  <c r="I10" i="1"/>
  <c r="K10" i="1"/>
  <c r="L10" i="1"/>
  <c r="AK6" i="1"/>
  <c r="AK10" i="1"/>
  <c r="AL6" i="1"/>
  <c r="AL10" i="1"/>
  <c r="AM6" i="1"/>
  <c r="AN6" i="1"/>
  <c r="AN10" i="1"/>
  <c r="AC6" i="1"/>
  <c r="AC10" i="1"/>
  <c r="AD6" i="1"/>
  <c r="AD10" i="1"/>
  <c r="AE6" i="1"/>
  <c r="AF6" i="1"/>
  <c r="AF10" i="1"/>
  <c r="AG6" i="1"/>
  <c r="AG10" i="1"/>
  <c r="AH6" i="1"/>
  <c r="AH10" i="1"/>
  <c r="AI6" i="1"/>
  <c r="AJ6" i="1"/>
  <c r="AJ10" i="1"/>
  <c r="Y6" i="1"/>
  <c r="Y10" i="1"/>
  <c r="Z6" i="1"/>
  <c r="Z10" i="1"/>
  <c r="AA6" i="1"/>
  <c r="AB6" i="1"/>
  <c r="AB10" i="1"/>
  <c r="W6" i="1"/>
  <c r="X6" i="1"/>
  <c r="X10" i="1"/>
  <c r="M6" i="1"/>
  <c r="M10" i="1"/>
  <c r="M5" i="1"/>
  <c r="U6" i="1"/>
  <c r="U10" i="1"/>
  <c r="V6" i="1"/>
  <c r="V10" i="1"/>
  <c r="D7" i="1"/>
  <c r="F7" i="1"/>
  <c r="D8" i="1"/>
  <c r="F8" i="1"/>
  <c r="D9" i="1"/>
  <c r="F9" i="1"/>
  <c r="D11" i="1"/>
  <c r="F11" i="1"/>
  <c r="D13" i="1"/>
  <c r="F13" i="1"/>
  <c r="D14" i="1"/>
  <c r="F14" i="1"/>
  <c r="D16" i="1"/>
  <c r="F16" i="1"/>
  <c r="D18" i="1"/>
  <c r="F18" i="1"/>
  <c r="C19" i="1"/>
  <c r="D19" i="1"/>
  <c r="F19" i="1"/>
  <c r="D20" i="1"/>
  <c r="F20" i="1"/>
  <c r="D21" i="1"/>
  <c r="F21" i="1"/>
  <c r="D22" i="1"/>
  <c r="F22" i="1"/>
  <c r="G33" i="1"/>
  <c r="D25" i="1"/>
  <c r="F25" i="1"/>
  <c r="D26" i="1"/>
  <c r="F26" i="1"/>
  <c r="D32" i="1"/>
  <c r="D34" i="1"/>
  <c r="L6" i="1"/>
  <c r="AM31" i="1"/>
  <c r="AM30" i="1"/>
  <c r="AK31" i="1"/>
  <c r="AK30" i="1"/>
  <c r="AI31" i="1"/>
  <c r="AI30" i="1"/>
  <c r="AG31" i="1"/>
  <c r="AG30" i="1"/>
  <c r="AE31" i="1"/>
  <c r="AE30" i="1"/>
  <c r="AC31" i="1"/>
  <c r="AC30" i="1"/>
  <c r="AA31" i="1"/>
  <c r="AA30" i="1"/>
  <c r="Y31" i="1"/>
  <c r="Y30" i="1"/>
  <c r="W31" i="1"/>
  <c r="W30" i="1"/>
  <c r="U31" i="1"/>
  <c r="U30" i="1"/>
  <c r="AN27" i="1"/>
  <c r="AM27" i="1"/>
  <c r="AK27" i="1"/>
  <c r="AJ27" i="1"/>
  <c r="AI27" i="1"/>
  <c r="AG27" i="1"/>
  <c r="AF27" i="1"/>
  <c r="AE27" i="1"/>
  <c r="AC27" i="1"/>
  <c r="AB27" i="1"/>
  <c r="AA27" i="1"/>
  <c r="Y27" i="1"/>
  <c r="AL24" i="1"/>
  <c r="AH24" i="1"/>
  <c r="AD24" i="1"/>
  <c r="Z24" i="1"/>
  <c r="V24" i="1"/>
  <c r="R24" i="1"/>
  <c r="AN15" i="1"/>
  <c r="AN5" i="1"/>
  <c r="AM15" i="1"/>
  <c r="AM5" i="1"/>
  <c r="AI15" i="1"/>
  <c r="AI5" i="1"/>
  <c r="AG15" i="1"/>
  <c r="AG5" i="1"/>
  <c r="AE15" i="1"/>
  <c r="AE5" i="1"/>
  <c r="AC15" i="1"/>
  <c r="AC5" i="1"/>
  <c r="AA15" i="1"/>
  <c r="AA5" i="1"/>
  <c r="Y15" i="1"/>
  <c r="Y5" i="1"/>
  <c r="R10" i="1"/>
  <c r="R6" i="1"/>
  <c r="K31" i="1"/>
  <c r="K30" i="1"/>
  <c r="S31" i="1"/>
  <c r="S30" i="1"/>
  <c r="N10" i="1"/>
  <c r="R5" i="1"/>
  <c r="X27" i="1"/>
  <c r="L27" i="1"/>
  <c r="N6" i="1"/>
  <c r="K15" i="1"/>
  <c r="W15" i="1"/>
  <c r="Z15" i="1"/>
  <c r="Z5" i="1"/>
  <c r="AB15" i="1"/>
  <c r="AB5" i="1"/>
  <c r="W27" i="1"/>
  <c r="K27" i="1"/>
  <c r="N24" i="1"/>
  <c r="AH15" i="1"/>
  <c r="AH5" i="1"/>
  <c r="AJ15" i="1"/>
  <c r="AJ5" i="1"/>
  <c r="G23" i="1"/>
  <c r="Q31" i="1"/>
  <c r="Q30" i="1"/>
  <c r="I15" i="1"/>
  <c r="U15" i="1"/>
  <c r="AD15" i="1"/>
  <c r="AD5" i="1"/>
  <c r="AF15" i="1"/>
  <c r="AF5" i="1"/>
  <c r="AL15" i="1"/>
  <c r="AL5" i="1"/>
  <c r="AK15" i="1"/>
  <c r="AK5" i="1"/>
  <c r="U27" i="1"/>
  <c r="K5" i="1"/>
  <c r="N5" i="1"/>
  <c r="L15" i="1"/>
  <c r="L5" i="1"/>
  <c r="X15" i="1"/>
  <c r="X5" i="1"/>
  <c r="I27" i="1"/>
  <c r="I5" i="1"/>
  <c r="G29" i="1"/>
  <c r="G27" i="1"/>
  <c r="I31" i="1"/>
  <c r="I30" i="1"/>
  <c r="G32" i="1"/>
  <c r="J6" i="1"/>
  <c r="G9" i="1"/>
  <c r="G6" i="1"/>
  <c r="V15" i="1"/>
  <c r="V5" i="1"/>
  <c r="W5" i="1"/>
  <c r="U5" i="1"/>
  <c r="J24" i="1"/>
  <c r="G26" i="1"/>
  <c r="G24" i="1"/>
  <c r="J10" i="1"/>
  <c r="G14" i="1"/>
  <c r="G10" i="1"/>
  <c r="G31" i="1"/>
  <c r="G30" i="1"/>
  <c r="H33" i="1"/>
  <c r="G17" i="1"/>
  <c r="G15" i="1"/>
  <c r="J15" i="1"/>
  <c r="J5" i="1"/>
  <c r="H31" i="1"/>
  <c r="G5" i="1"/>
  <c r="H6" i="1"/>
  <c r="H27" i="1"/>
  <c r="H10" i="1"/>
  <c r="H15" i="1"/>
  <c r="G35" i="1"/>
  <c r="H30" i="1"/>
  <c r="H24" i="1"/>
  <c r="H5" i="1"/>
  <c r="H35" i="1"/>
  <c r="L35" i="1"/>
  <c r="W35" i="1"/>
  <c r="K35" i="1"/>
  <c r="AJ35" i="1"/>
  <c r="S35" i="1"/>
  <c r="AC35" i="1"/>
  <c r="AH35" i="1"/>
  <c r="Q35" i="1"/>
  <c r="Y35" i="1"/>
  <c r="V35" i="1"/>
  <c r="Z35" i="1"/>
  <c r="AG35" i="1"/>
  <c r="R35" i="1"/>
  <c r="AF35" i="1"/>
  <c r="AL35" i="1"/>
  <c r="O35" i="1"/>
  <c r="U35" i="1"/>
  <c r="J35" i="1"/>
  <c r="AD35" i="1"/>
  <c r="I35" i="1"/>
  <c r="AE35" i="1"/>
  <c r="M35" i="1"/>
  <c r="T35" i="1"/>
  <c r="AI35" i="1"/>
  <c r="AN35" i="1"/>
  <c r="AA35" i="1"/>
  <c r="N35" i="1"/>
  <c r="AM35" i="1"/>
  <c r="AB35" i="1"/>
  <c r="P35" i="1"/>
  <c r="AK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Ariza Donado, Natalia</author>
  </authors>
  <commentList>
    <comment ref="I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Usar una tasa de cambio proyectada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El total deberá ser el monto del primer tramo del CLIPP
</t>
        </r>
      </text>
    </comment>
  </commentList>
</comments>
</file>

<file path=xl/sharedStrings.xml><?xml version="1.0" encoding="utf-8"?>
<sst xmlns="http://schemas.openxmlformats.org/spreadsheetml/2006/main" count="103" uniqueCount="72">
  <si>
    <t>TOTAL GENERAL</t>
  </si>
  <si>
    <t>Proceso de licitación y adjudicación</t>
  </si>
  <si>
    <t>2.3.1</t>
  </si>
  <si>
    <t>Auditoría Financiera</t>
  </si>
  <si>
    <t>2.3</t>
  </si>
  <si>
    <t>2.2.1</t>
  </si>
  <si>
    <t>2.2</t>
  </si>
  <si>
    <t>Ejecución de PMO</t>
  </si>
  <si>
    <t>2.1.2</t>
  </si>
  <si>
    <t>2.1.1</t>
  </si>
  <si>
    <t>2.1</t>
  </si>
  <si>
    <t>Estaciones y urbanismo</t>
  </si>
  <si>
    <t>Construcción y montaje viaducto</t>
  </si>
  <si>
    <t>Patio Taller</t>
  </si>
  <si>
    <t>Obras civiles</t>
  </si>
  <si>
    <t>Diseños</t>
  </si>
  <si>
    <t>Adquisición de predios</t>
  </si>
  <si>
    <t>1.2.4</t>
  </si>
  <si>
    <t>Avalúos comerciales</t>
  </si>
  <si>
    <t>1.2.3</t>
  </si>
  <si>
    <t>Acompañamiento social</t>
  </si>
  <si>
    <t>1.2.2</t>
  </si>
  <si>
    <t>Estudios de títulos, registros topográficos, linderos</t>
  </si>
  <si>
    <t>1.2.1</t>
  </si>
  <si>
    <t>Gestión Predial</t>
  </si>
  <si>
    <t>1.2</t>
  </si>
  <si>
    <t>Ejecución de traslados</t>
  </si>
  <si>
    <t>1.1.3</t>
  </si>
  <si>
    <t>Diseños de traslados</t>
  </si>
  <si>
    <t>1.1.2</t>
  </si>
  <si>
    <t>Identificación de interferencias</t>
  </si>
  <si>
    <t>1.1.1</t>
  </si>
  <si>
    <t>Traslado de Redes</t>
  </si>
  <si>
    <t>1.1</t>
  </si>
  <si>
    <t>Componente 1. Obra Civil</t>
  </si>
  <si>
    <t>BEI</t>
  </si>
  <si>
    <t>BM</t>
  </si>
  <si>
    <t>BID</t>
  </si>
  <si>
    <t>Fin</t>
  </si>
  <si>
    <t>Inicio</t>
  </si>
  <si>
    <t>Días</t>
  </si>
  <si>
    <t>Fuente de Financiamiento (US$)</t>
  </si>
  <si>
    <t>%</t>
  </si>
  <si>
    <t>Costo Total
US$</t>
  </si>
  <si>
    <t>Duración</t>
  </si>
  <si>
    <t>Cantidad días</t>
  </si>
  <si>
    <t>Plazo Ejecución (meses)</t>
  </si>
  <si>
    <t>Línea de trabajo</t>
  </si>
  <si>
    <t>Nº</t>
  </si>
  <si>
    <t>Plan de Ejecución del Programa (PEP) - Primera Línea del Metro de Bogota - CO-L1234</t>
  </si>
  <si>
    <t>Ejecución interventoría</t>
  </si>
  <si>
    <t>Asistencias técnicas</t>
  </si>
  <si>
    <t>1.3</t>
  </si>
  <si>
    <t>1.3.1</t>
  </si>
  <si>
    <t>1.3.2</t>
  </si>
  <si>
    <t>1.3.3</t>
  </si>
  <si>
    <t>Inversiones concesionario (Obra Civil)</t>
  </si>
  <si>
    <t>Construcción (Contrato de Concesión)</t>
  </si>
  <si>
    <t>Inversiones concesionario (Material Rodante y Sistemas Metroferroviarios)</t>
  </si>
  <si>
    <t>Proceso de selección y adjudicación</t>
  </si>
  <si>
    <t>1.3.2.1</t>
  </si>
  <si>
    <t>1.3.2.2</t>
  </si>
  <si>
    <t>1.3.2.3</t>
  </si>
  <si>
    <t>1.3.2.4</t>
  </si>
  <si>
    <t>1.3.2.5</t>
  </si>
  <si>
    <t>PMO</t>
  </si>
  <si>
    <t>Interventoría</t>
  </si>
  <si>
    <t>2.2.2</t>
  </si>
  <si>
    <t>2.4</t>
  </si>
  <si>
    <t>2.4.1</t>
  </si>
  <si>
    <t>Componente 2. Asistencia técnica</t>
  </si>
  <si>
    <t>Recursos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</si>
</sst>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$-409]d\-mmm\-yy;@"/>
    <numFmt numFmtId="166" formatCode="0.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8497B0"/>
        <bgColor rgb="FF8FAADC"/>
      </patternFill>
    </fill>
    <fill>
      <patternFill patternType="solid">
        <fgColor rgb="FFFFFFFF"/>
        <bgColor rgb="FFF2F2F2"/>
      </patternFill>
    </fill>
    <fill>
      <patternFill patternType="solid">
        <fgColor rgb="FFD6DCE5"/>
        <bgColor rgb="FFD9D9D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9" fontId="1" fillId="0" borderId="0" applyBorder="0" applyProtection="0"/>
  </cellStyleXfs>
  <cellXfs count="71">
    <xf numFmtId="0" fontId="0" fillId="0" borderId="0" xfId="0"/>
    <xf numFmtId="1" fontId="0" fillId="0" borderId="0" xfId="0" applyNumberFormat="1"/>
    <xf numFmtId="9" fontId="1" fillId="0" borderId="0" xfId="2"/>
    <xf numFmtId="1" fontId="0" fillId="0" borderId="0" xfId="0" applyNumberFormat="1" applyAlignment="1">
      <alignment horizontal="right"/>
    </xf>
    <xf numFmtId="1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1" fillId="0" borderId="0" xfId="2" applyFill="1" applyBorder="1"/>
    <xf numFmtId="1" fontId="0" fillId="0" borderId="0" xfId="0" applyNumberFormat="1" applyFill="1" applyBorder="1" applyAlignment="1">
      <alignment horizontal="right"/>
    </xf>
    <xf numFmtId="3" fontId="4" fillId="0" borderId="0" xfId="1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3" fontId="4" fillId="3" borderId="4" xfId="1" applyNumberFormat="1" applyFont="1" applyFill="1" applyBorder="1" applyAlignment="1" applyProtection="1">
      <alignment horizontal="right" vertical="center" wrapText="1"/>
    </xf>
    <xf numFmtId="10" fontId="6" fillId="3" borderId="4" xfId="1" applyNumberFormat="1" applyFont="1" applyFill="1" applyBorder="1" applyAlignment="1" applyProtection="1">
      <alignment horizontal="right" vertical="center"/>
    </xf>
    <xf numFmtId="165" fontId="4" fillId="3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left" vertical="center" wrapText="1"/>
    </xf>
    <xf numFmtId="166" fontId="5" fillId="4" borderId="5" xfId="0" applyNumberFormat="1" applyFont="1" applyFill="1" applyBorder="1" applyAlignment="1">
      <alignment horizontal="left" vertical="center" wrapText="1"/>
    </xf>
    <xf numFmtId="10" fontId="4" fillId="3" borderId="4" xfId="1" applyNumberFormat="1" applyFont="1" applyFill="1" applyBorder="1" applyAlignment="1" applyProtection="1">
      <alignment horizontal="right" vertical="center"/>
    </xf>
    <xf numFmtId="1" fontId="5" fillId="4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10" fontId="5" fillId="2" borderId="6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horizontal="left" vertical="center"/>
    </xf>
    <xf numFmtId="3" fontId="4" fillId="3" borderId="8" xfId="1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3" borderId="9" xfId="0" applyNumberFormat="1" applyFont="1" applyFill="1" applyBorder="1" applyAlignment="1">
      <alignment horizontal="lef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1" fontId="5" fillId="4" borderId="8" xfId="0" applyNumberFormat="1" applyFont="1" applyFill="1" applyBorder="1" applyAlignment="1">
      <alignment horizontal="left" vertical="center" wrapText="1"/>
    </xf>
    <xf numFmtId="166" fontId="5" fillId="4" borderId="9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 applyProtection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1" fillId="0" borderId="0" xfId="2" applyNumberFormat="1"/>
    <xf numFmtId="3" fontId="1" fillId="0" borderId="0" xfId="2" applyNumberFormat="1"/>
    <xf numFmtId="10" fontId="0" fillId="0" borderId="0" xfId="0" applyNumberFormat="1"/>
    <xf numFmtId="166" fontId="5" fillId="2" borderId="6" xfId="0" applyNumberFormat="1" applyFont="1" applyFill="1" applyBorder="1" applyAlignment="1">
      <alignment horizontal="right" vertical="center" wrapText="1"/>
    </xf>
    <xf numFmtId="166" fontId="5" fillId="4" borderId="4" xfId="0" applyNumberFormat="1" applyFont="1" applyFill="1" applyBorder="1" applyAlignment="1">
      <alignment horizontal="right" vertical="center" wrapText="1"/>
    </xf>
    <xf numFmtId="166" fontId="4" fillId="3" borderId="4" xfId="1" applyNumberFormat="1" applyFont="1" applyFill="1" applyBorder="1" applyAlignment="1" applyProtection="1">
      <alignment horizontal="right" vertical="center" wrapText="1"/>
    </xf>
    <xf numFmtId="166" fontId="5" fillId="4" borderId="8" xfId="0" applyNumberFormat="1" applyFont="1" applyFill="1" applyBorder="1" applyAlignment="1">
      <alignment horizontal="right" vertical="center" wrapText="1"/>
    </xf>
    <xf numFmtId="166" fontId="4" fillId="3" borderId="8" xfId="1" applyNumberFormat="1" applyFont="1" applyFill="1" applyBorder="1" applyAlignment="1" applyProtection="1">
      <alignment horizontal="right" vertical="center" wrapText="1"/>
    </xf>
    <xf numFmtId="166" fontId="5" fillId="2" borderId="6" xfId="0" applyNumberFormat="1" applyFont="1" applyFill="1" applyBorder="1" applyAlignment="1">
      <alignment horizontal="right" vertical="center"/>
    </xf>
    <xf numFmtId="166" fontId="1" fillId="0" borderId="4" xfId="1" applyNumberFormat="1" applyBorder="1" applyProtection="1"/>
    <xf numFmtId="166" fontId="5" fillId="2" borderId="1" xfId="0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ncruzga1\Desktop\IDU\PROYECCIONES\METRO%202017\Proyecci&#243;n%20Metro,%20Agost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Tabla_Proyección"/>
      <sheetName val="Tabla_Calculos"/>
      <sheetName val="Tabla_DTDP"/>
      <sheetName val="Tabla_UAECD"/>
      <sheetName val="Tabla_Proyección porticos-compl"/>
    </sheetNames>
    <sheetDataSet>
      <sheetData sheetId="0" refreshError="1"/>
      <sheetData sheetId="1">
        <row r="2">
          <cell r="C2" t="str">
            <v>PÚBLICO</v>
          </cell>
        </row>
        <row r="3">
          <cell r="C3" t="str">
            <v>PRIVADO</v>
          </cell>
        </row>
        <row r="4">
          <cell r="C4" t="str">
            <v>PRIVADO (DEST. PÚB.)</v>
          </cell>
        </row>
        <row r="5">
          <cell r="C5" t="str">
            <v>EN OBSERVACIÓN</v>
          </cell>
        </row>
      </sheetData>
      <sheetData sheetId="2">
        <row r="30">
          <cell r="B30" t="str">
            <v>002101002001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56"/>
  <sheetViews>
    <sheetView tabSelected="1" zoomScale="85" zoomScaleNormal="85" zoomScaleSheetLayoutView="90" zoomScalePageLayoutView="7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Q21" sqref="Q21"/>
    </sheetView>
  </sheetViews>
  <sheetFormatPr defaultColWidth="9.109375" defaultRowHeight="14.4" x14ac:dyDescent="0.3"/>
  <cols>
    <col min="1" max="1" width="9.109375" style="1"/>
    <col min="2" max="2" width="47.109375" style="1" customWidth="1"/>
    <col min="3" max="3" width="13.5546875" style="1" customWidth="1"/>
    <col min="4" max="4" width="12.44140625" style="1" customWidth="1"/>
    <col min="5" max="6" width="10.5546875" style="1" bestFit="1" customWidth="1"/>
    <col min="7" max="7" width="16.109375" style="3" customWidth="1"/>
    <col min="8" max="8" width="9.109375" style="2"/>
    <col min="9" max="9" width="7.33203125" style="1" customWidth="1"/>
    <col min="10" max="10" width="11" style="1" bestFit="1" customWidth="1"/>
    <col min="11" max="12" width="7.33203125" style="1" customWidth="1"/>
    <col min="13" max="40" width="12" style="1" customWidth="1"/>
    <col min="41" max="1023" width="9.109375" style="1"/>
  </cols>
  <sheetData>
    <row r="1" spans="1:40" ht="15" thickBot="1" x14ac:dyDescent="0.3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/>
      <c r="Z1"/>
      <c r="AA1"/>
    </row>
    <row r="2" spans="1:40" ht="3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/>
      <c r="Z2"/>
      <c r="AA2"/>
    </row>
    <row r="3" spans="1:40" ht="26.25" customHeight="1" thickBot="1" x14ac:dyDescent="0.35">
      <c r="A3" s="52" t="s">
        <v>48</v>
      </c>
      <c r="B3" s="53" t="s">
        <v>47</v>
      </c>
      <c r="C3" s="53" t="s">
        <v>46</v>
      </c>
      <c r="D3" s="53" t="s">
        <v>45</v>
      </c>
      <c r="E3" s="54" t="s">
        <v>44</v>
      </c>
      <c r="F3" s="54"/>
      <c r="G3" s="53" t="s">
        <v>43</v>
      </c>
      <c r="H3" s="56" t="s">
        <v>42</v>
      </c>
      <c r="I3" s="57" t="s">
        <v>41</v>
      </c>
      <c r="J3" s="58"/>
      <c r="K3" s="58"/>
      <c r="L3" s="59"/>
      <c r="M3" s="57">
        <v>2018</v>
      </c>
      <c r="N3" s="58"/>
      <c r="O3" s="58"/>
      <c r="P3" s="59"/>
      <c r="Q3" s="57">
        <v>2019</v>
      </c>
      <c r="R3" s="58"/>
      <c r="S3" s="58"/>
      <c r="T3" s="59"/>
      <c r="U3" s="57">
        <v>2020</v>
      </c>
      <c r="V3" s="58"/>
      <c r="W3" s="58"/>
      <c r="X3" s="59"/>
      <c r="Y3" s="57">
        <v>2021</v>
      </c>
      <c r="Z3" s="58"/>
      <c r="AA3" s="58"/>
      <c r="AB3" s="59"/>
      <c r="AC3" s="57">
        <v>2022</v>
      </c>
      <c r="AD3" s="58"/>
      <c r="AE3" s="58"/>
      <c r="AF3" s="59"/>
      <c r="AG3" s="57">
        <v>2023</v>
      </c>
      <c r="AH3" s="58"/>
      <c r="AI3" s="58"/>
      <c r="AJ3" s="59"/>
      <c r="AK3" s="57">
        <v>2024</v>
      </c>
      <c r="AL3" s="58"/>
      <c r="AM3" s="58"/>
      <c r="AN3" s="59"/>
    </row>
    <row r="4" spans="1:40" ht="29.4" thickBot="1" x14ac:dyDescent="0.35">
      <c r="A4" s="52"/>
      <c r="B4" s="53"/>
      <c r="C4" s="53"/>
      <c r="D4" s="53" t="s">
        <v>40</v>
      </c>
      <c r="E4" s="45" t="s">
        <v>39</v>
      </c>
      <c r="F4" s="45" t="s">
        <v>38</v>
      </c>
      <c r="G4" s="55"/>
      <c r="H4" s="56"/>
      <c r="I4" s="45" t="s">
        <v>37</v>
      </c>
      <c r="J4" s="45" t="s">
        <v>71</v>
      </c>
      <c r="K4" s="46" t="s">
        <v>36</v>
      </c>
      <c r="L4" s="46" t="s">
        <v>35</v>
      </c>
      <c r="M4" s="45" t="s">
        <v>37</v>
      </c>
      <c r="N4" s="45" t="s">
        <v>71</v>
      </c>
      <c r="O4" s="44" t="s">
        <v>36</v>
      </c>
      <c r="P4" s="43" t="s">
        <v>35</v>
      </c>
      <c r="Q4" s="45" t="s">
        <v>37</v>
      </c>
      <c r="R4" s="45" t="s">
        <v>71</v>
      </c>
      <c r="S4" s="44" t="s">
        <v>36</v>
      </c>
      <c r="T4" s="43" t="s">
        <v>35</v>
      </c>
      <c r="U4" s="45" t="s">
        <v>37</v>
      </c>
      <c r="V4" s="45" t="s">
        <v>71</v>
      </c>
      <c r="W4" s="44" t="s">
        <v>36</v>
      </c>
      <c r="X4" s="43" t="s">
        <v>35</v>
      </c>
      <c r="Y4" s="45" t="s">
        <v>37</v>
      </c>
      <c r="Z4" s="45" t="s">
        <v>71</v>
      </c>
      <c r="AA4" s="47" t="s">
        <v>36</v>
      </c>
      <c r="AB4" s="43" t="s">
        <v>35</v>
      </c>
      <c r="AC4" s="45" t="s">
        <v>37</v>
      </c>
      <c r="AD4" s="45" t="s">
        <v>71</v>
      </c>
      <c r="AE4" s="47" t="s">
        <v>36</v>
      </c>
      <c r="AF4" s="43" t="s">
        <v>35</v>
      </c>
      <c r="AG4" s="45" t="s">
        <v>37</v>
      </c>
      <c r="AH4" s="45" t="s">
        <v>71</v>
      </c>
      <c r="AI4" s="47" t="s">
        <v>36</v>
      </c>
      <c r="AJ4" s="43" t="s">
        <v>35</v>
      </c>
      <c r="AK4" s="45" t="s">
        <v>37</v>
      </c>
      <c r="AL4" s="45" t="s">
        <v>71</v>
      </c>
      <c r="AM4" s="47" t="s">
        <v>36</v>
      </c>
      <c r="AN4" s="43" t="s">
        <v>35</v>
      </c>
    </row>
    <row r="5" spans="1:40" x14ac:dyDescent="0.3">
      <c r="A5" s="34">
        <v>1</v>
      </c>
      <c r="B5" s="33" t="s">
        <v>34</v>
      </c>
      <c r="C5" s="32"/>
      <c r="D5" s="33"/>
      <c r="E5" s="33"/>
      <c r="F5" s="33"/>
      <c r="G5" s="42">
        <f>+G6+G10+G15+G24+G27</f>
        <v>4347.2879326989814</v>
      </c>
      <c r="H5" s="31">
        <f>+G5/$G$35</f>
        <v>0.99542049887522754</v>
      </c>
      <c r="I5" s="63">
        <f t="shared" ref="I5:AN5" si="0">+I6+I10+I15+I24+I27</f>
        <v>590</v>
      </c>
      <c r="J5" s="63">
        <f t="shared" si="0"/>
        <v>2687.2879326989819</v>
      </c>
      <c r="K5" s="63">
        <f t="shared" si="0"/>
        <v>590</v>
      </c>
      <c r="L5" s="63">
        <f t="shared" si="0"/>
        <v>480</v>
      </c>
      <c r="M5" s="63">
        <f t="shared" si="0"/>
        <v>0</v>
      </c>
      <c r="N5" s="63">
        <f t="shared" si="0"/>
        <v>335.46639916265286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241.43184908754415</v>
      </c>
      <c r="S5" s="63">
        <f t="shared" si="0"/>
        <v>0</v>
      </c>
      <c r="T5" s="63">
        <f t="shared" si="0"/>
        <v>0</v>
      </c>
      <c r="U5" s="63">
        <f t="shared" si="0"/>
        <v>67</v>
      </c>
      <c r="V5" s="63">
        <f t="shared" si="0"/>
        <v>91.556671798903807</v>
      </c>
      <c r="W5" s="63">
        <f t="shared" si="0"/>
        <v>67</v>
      </c>
      <c r="X5" s="63">
        <f t="shared" si="0"/>
        <v>56</v>
      </c>
      <c r="Y5" s="63">
        <f t="shared" si="0"/>
        <v>169.40006929344614</v>
      </c>
      <c r="Z5" s="63">
        <f t="shared" si="0"/>
        <v>268.37424862589501</v>
      </c>
      <c r="AA5" s="63">
        <f t="shared" si="0"/>
        <v>169.40006929344614</v>
      </c>
      <c r="AB5" s="63">
        <f t="shared" si="0"/>
        <v>136.9200554347569</v>
      </c>
      <c r="AC5" s="63">
        <f t="shared" si="0"/>
        <v>213.05842074657451</v>
      </c>
      <c r="AD5" s="63">
        <f t="shared" si="0"/>
        <v>588.02761622510695</v>
      </c>
      <c r="AE5" s="63">
        <f t="shared" si="0"/>
        <v>213.05842074657451</v>
      </c>
      <c r="AF5" s="63">
        <f t="shared" si="0"/>
        <v>171.84673659725962</v>
      </c>
      <c r="AG5" s="63">
        <f t="shared" si="0"/>
        <v>128.84995142130083</v>
      </c>
      <c r="AH5" s="63">
        <f t="shared" si="0"/>
        <v>755.47154819003129</v>
      </c>
      <c r="AI5" s="63">
        <f t="shared" si="0"/>
        <v>128.84995142130083</v>
      </c>
      <c r="AJ5" s="63">
        <f t="shared" si="0"/>
        <v>104.47996113704068</v>
      </c>
      <c r="AK5" s="63">
        <f t="shared" si="0"/>
        <v>11.691558538678546</v>
      </c>
      <c r="AL5" s="63">
        <f t="shared" si="0"/>
        <v>406.95959960884772</v>
      </c>
      <c r="AM5" s="63">
        <f t="shared" si="0"/>
        <v>11.691558538678546</v>
      </c>
      <c r="AN5" s="63">
        <f t="shared" si="0"/>
        <v>10.753246830942835</v>
      </c>
    </row>
    <row r="6" spans="1:40" x14ac:dyDescent="0.3">
      <c r="A6" s="27" t="s">
        <v>33</v>
      </c>
      <c r="B6" s="26" t="s">
        <v>32</v>
      </c>
      <c r="C6" s="25"/>
      <c r="D6" s="25"/>
      <c r="E6" s="24"/>
      <c r="F6" s="24"/>
      <c r="G6" s="22">
        <f>G9</f>
        <v>97.078529640698306</v>
      </c>
      <c r="H6" s="23">
        <f>+G6/$G$5</f>
        <v>2.2330825826028924E-2</v>
      </c>
      <c r="I6" s="64">
        <f t="shared" ref="I6:X6" si="1">I9</f>
        <v>0</v>
      </c>
      <c r="J6" s="64">
        <f t="shared" si="1"/>
        <v>97.078529640698306</v>
      </c>
      <c r="K6" s="64">
        <f t="shared" si="1"/>
        <v>0</v>
      </c>
      <c r="L6" s="64">
        <f t="shared" si="1"/>
        <v>0</v>
      </c>
      <c r="M6" s="64">
        <f t="shared" si="1"/>
        <v>0</v>
      </c>
      <c r="N6" s="64">
        <f t="shared" si="1"/>
        <v>78.947616039017745</v>
      </c>
      <c r="O6" s="64">
        <f t="shared" si="1"/>
        <v>0</v>
      </c>
      <c r="P6" s="64">
        <f t="shared" si="1"/>
        <v>0</v>
      </c>
      <c r="Q6" s="64">
        <f t="shared" si="1"/>
        <v>0</v>
      </c>
      <c r="R6" s="64">
        <f t="shared" si="1"/>
        <v>18.130913601680565</v>
      </c>
      <c r="S6" s="64">
        <f t="shared" si="1"/>
        <v>0</v>
      </c>
      <c r="T6" s="64">
        <f t="shared" si="1"/>
        <v>0</v>
      </c>
      <c r="U6" s="64">
        <f t="shared" si="1"/>
        <v>0</v>
      </c>
      <c r="V6" s="64">
        <f t="shared" si="1"/>
        <v>0</v>
      </c>
      <c r="W6" s="64">
        <f t="shared" si="1"/>
        <v>0</v>
      </c>
      <c r="X6" s="64">
        <f t="shared" si="1"/>
        <v>0</v>
      </c>
      <c r="Y6" s="64">
        <f t="shared" ref="Y6:AB6" si="2">Y9</f>
        <v>0</v>
      </c>
      <c r="Z6" s="64">
        <f t="shared" si="2"/>
        <v>0</v>
      </c>
      <c r="AA6" s="64">
        <f t="shared" si="2"/>
        <v>0</v>
      </c>
      <c r="AB6" s="64">
        <f t="shared" si="2"/>
        <v>0</v>
      </c>
      <c r="AC6" s="64">
        <f t="shared" ref="AC6:AN6" si="3">AC9</f>
        <v>0</v>
      </c>
      <c r="AD6" s="64">
        <f t="shared" si="3"/>
        <v>0</v>
      </c>
      <c r="AE6" s="64">
        <f t="shared" si="3"/>
        <v>0</v>
      </c>
      <c r="AF6" s="64">
        <f t="shared" si="3"/>
        <v>0</v>
      </c>
      <c r="AG6" s="64">
        <f t="shared" si="3"/>
        <v>0</v>
      </c>
      <c r="AH6" s="64">
        <f t="shared" si="3"/>
        <v>0</v>
      </c>
      <c r="AI6" s="64">
        <f t="shared" si="3"/>
        <v>0</v>
      </c>
      <c r="AJ6" s="64">
        <f t="shared" si="3"/>
        <v>0</v>
      </c>
      <c r="AK6" s="64">
        <f t="shared" si="3"/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</row>
    <row r="7" spans="1:40" x14ac:dyDescent="0.3">
      <c r="A7" s="21" t="s">
        <v>31</v>
      </c>
      <c r="B7" s="41" t="s">
        <v>30</v>
      </c>
      <c r="C7" s="19">
        <v>15</v>
      </c>
      <c r="D7" s="19">
        <f>+C7*30</f>
        <v>450</v>
      </c>
      <c r="E7" s="18">
        <v>42737</v>
      </c>
      <c r="F7" s="18">
        <f>+E7+D7</f>
        <v>43187</v>
      </c>
      <c r="G7" s="16"/>
      <c r="H7" s="16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40" x14ac:dyDescent="0.3">
      <c r="A8" s="21" t="s">
        <v>29</v>
      </c>
      <c r="B8" s="41" t="s">
        <v>28</v>
      </c>
      <c r="C8" s="19">
        <v>24</v>
      </c>
      <c r="D8" s="19">
        <f>+C8*30</f>
        <v>720</v>
      </c>
      <c r="E8" s="18">
        <v>42795</v>
      </c>
      <c r="F8" s="18">
        <f>+E8+D8</f>
        <v>43515</v>
      </c>
      <c r="G8" s="16"/>
      <c r="H8" s="16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x14ac:dyDescent="0.3">
      <c r="A9" s="21" t="s">
        <v>27</v>
      </c>
      <c r="B9" s="41" t="s">
        <v>26</v>
      </c>
      <c r="C9" s="19">
        <v>17</v>
      </c>
      <c r="D9" s="19">
        <f>+C9*30</f>
        <v>510</v>
      </c>
      <c r="E9" s="18">
        <v>43284</v>
      </c>
      <c r="F9" s="18">
        <f>+E9+D9</f>
        <v>43794</v>
      </c>
      <c r="G9" s="16">
        <f>SUM(I9:L9)</f>
        <v>97.078529640698306</v>
      </c>
      <c r="H9" s="16"/>
      <c r="I9" s="65">
        <f>+M9+Q9+U9+Y9+AC9+AG9+AK9</f>
        <v>0</v>
      </c>
      <c r="J9" s="65">
        <f>+N9+R9+V9+Z9+AD9+AH9+AL9</f>
        <v>97.078529640698306</v>
      </c>
      <c r="K9" s="65">
        <f>+O9+S9+W9+AA9+AE9+AI9+AM9</f>
        <v>0</v>
      </c>
      <c r="L9" s="65">
        <f>+P9+T9+X9+AB9+AF9+AJ9+AN9</f>
        <v>0</v>
      </c>
      <c r="M9" s="65"/>
      <c r="N9" s="65">
        <v>78.947616039017745</v>
      </c>
      <c r="O9" s="65"/>
      <c r="P9" s="65"/>
      <c r="Q9" s="65"/>
      <c r="R9" s="65">
        <v>18.130913601680565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x14ac:dyDescent="0.3">
      <c r="A10" s="27" t="s">
        <v>25</v>
      </c>
      <c r="B10" s="26" t="s">
        <v>24</v>
      </c>
      <c r="C10" s="25"/>
      <c r="D10" s="25"/>
      <c r="E10" s="24"/>
      <c r="F10" s="24"/>
      <c r="G10" s="22">
        <f>G14</f>
        <v>475.27752446926968</v>
      </c>
      <c r="H10" s="23">
        <f>+G10/$G$5</f>
        <v>0.10932736267464049</v>
      </c>
      <c r="I10" s="64">
        <f t="shared" ref="I10:N10" si="4">I14</f>
        <v>0</v>
      </c>
      <c r="J10" s="64">
        <f t="shared" si="4"/>
        <v>475.27752446926968</v>
      </c>
      <c r="K10" s="64">
        <f t="shared" si="4"/>
        <v>0</v>
      </c>
      <c r="L10" s="64">
        <f t="shared" si="4"/>
        <v>0</v>
      </c>
      <c r="M10" s="64">
        <f t="shared" si="4"/>
        <v>0</v>
      </c>
      <c r="N10" s="64">
        <f t="shared" si="4"/>
        <v>256.28134681288924</v>
      </c>
      <c r="O10" s="64"/>
      <c r="P10" s="64">
        <f t="shared" ref="P10:V10" si="5">P14</f>
        <v>0</v>
      </c>
      <c r="Q10" s="64">
        <f t="shared" si="5"/>
        <v>0</v>
      </c>
      <c r="R10" s="64">
        <f t="shared" si="5"/>
        <v>218.99617765638047</v>
      </c>
      <c r="S10" s="64">
        <f t="shared" si="5"/>
        <v>0</v>
      </c>
      <c r="T10" s="64">
        <f t="shared" si="5"/>
        <v>0</v>
      </c>
      <c r="U10" s="64">
        <f t="shared" si="5"/>
        <v>0</v>
      </c>
      <c r="V10" s="64">
        <f t="shared" si="5"/>
        <v>0</v>
      </c>
      <c r="W10" s="64"/>
      <c r="X10" s="64">
        <f>X14</f>
        <v>0</v>
      </c>
      <c r="Y10" s="64">
        <f t="shared" ref="Y10:Z10" si="6">Y14</f>
        <v>0</v>
      </c>
      <c r="Z10" s="64">
        <f t="shared" si="6"/>
        <v>0</v>
      </c>
      <c r="AA10" s="64"/>
      <c r="AB10" s="64">
        <f>AB14</f>
        <v>0</v>
      </c>
      <c r="AC10" s="64">
        <f t="shared" ref="AC10:AD10" si="7">AC14</f>
        <v>0</v>
      </c>
      <c r="AD10" s="64">
        <f t="shared" si="7"/>
        <v>0</v>
      </c>
      <c r="AE10" s="64"/>
      <c r="AF10" s="64">
        <f t="shared" ref="AF10:AH10" si="8">AF14</f>
        <v>0</v>
      </c>
      <c r="AG10" s="64">
        <f t="shared" si="8"/>
        <v>0</v>
      </c>
      <c r="AH10" s="64">
        <f t="shared" si="8"/>
        <v>0</v>
      </c>
      <c r="AI10" s="64"/>
      <c r="AJ10" s="64">
        <f t="shared" ref="AJ10:AL10" si="9">AJ14</f>
        <v>0</v>
      </c>
      <c r="AK10" s="64">
        <f t="shared" si="9"/>
        <v>0</v>
      </c>
      <c r="AL10" s="64">
        <f t="shared" si="9"/>
        <v>0</v>
      </c>
      <c r="AM10" s="64"/>
      <c r="AN10" s="64">
        <f>AN14</f>
        <v>0</v>
      </c>
    </row>
    <row r="11" spans="1:40" x14ac:dyDescent="0.3">
      <c r="A11" s="21" t="s">
        <v>23</v>
      </c>
      <c r="B11" s="41" t="s">
        <v>22</v>
      </c>
      <c r="C11" s="19">
        <v>9</v>
      </c>
      <c r="D11" s="19">
        <f>+C11*30</f>
        <v>270</v>
      </c>
      <c r="E11" s="18">
        <v>43205</v>
      </c>
      <c r="F11" s="18">
        <f>+E11+D11</f>
        <v>43475</v>
      </c>
      <c r="G11" s="16"/>
      <c r="H11" s="16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x14ac:dyDescent="0.3">
      <c r="A12" s="21" t="s">
        <v>21</v>
      </c>
      <c r="B12" s="41" t="s">
        <v>20</v>
      </c>
      <c r="C12" s="19">
        <v>21</v>
      </c>
      <c r="D12" s="19">
        <v>630</v>
      </c>
      <c r="E12" s="18">
        <v>43192</v>
      </c>
      <c r="F12" s="18">
        <v>43822</v>
      </c>
      <c r="G12" s="16"/>
      <c r="H12" s="1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spans="1:40" x14ac:dyDescent="0.3">
      <c r="A13" s="21" t="s">
        <v>19</v>
      </c>
      <c r="B13" s="41" t="s">
        <v>18</v>
      </c>
      <c r="C13" s="19">
        <v>7.5</v>
      </c>
      <c r="D13" s="19">
        <f>+C13*30</f>
        <v>225</v>
      </c>
      <c r="E13" s="18">
        <v>43252</v>
      </c>
      <c r="F13" s="18">
        <f>+E13+D13</f>
        <v>43477</v>
      </c>
      <c r="G13" s="16"/>
      <c r="H13" s="16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</row>
    <row r="14" spans="1:40" x14ac:dyDescent="0.3">
      <c r="A14" s="21" t="s">
        <v>17</v>
      </c>
      <c r="B14" s="41" t="s">
        <v>16</v>
      </c>
      <c r="C14" s="19">
        <v>19.5</v>
      </c>
      <c r="D14" s="19">
        <f>+C14*30</f>
        <v>585</v>
      </c>
      <c r="E14" s="18">
        <v>43238</v>
      </c>
      <c r="F14" s="18">
        <f>+E14+D14</f>
        <v>43823</v>
      </c>
      <c r="G14" s="16">
        <f>SUM(I14:L14)</f>
        <v>475.27752446926968</v>
      </c>
      <c r="H14" s="16"/>
      <c r="I14" s="65">
        <f>+M14+Q14+U14+Y14+AC14+AG14+AK14</f>
        <v>0</v>
      </c>
      <c r="J14" s="65">
        <f>+N14+R14+V14+Z14+AD14+AH14+AL14</f>
        <v>475.27752446926968</v>
      </c>
      <c r="K14" s="65">
        <f>+O14+S14+W14+AA14+AE14+AI14+AM14</f>
        <v>0</v>
      </c>
      <c r="L14" s="65">
        <f>+P14+T14+X14+AB14+AF14+AJ14+AN14</f>
        <v>0</v>
      </c>
      <c r="M14" s="65"/>
      <c r="N14" s="65">
        <v>256.28134681288924</v>
      </c>
      <c r="O14" s="65"/>
      <c r="P14" s="65"/>
      <c r="Q14" s="65"/>
      <c r="R14" s="65">
        <v>218.99617765638047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</row>
    <row r="15" spans="1:40" x14ac:dyDescent="0.3">
      <c r="A15" s="40" t="s">
        <v>52</v>
      </c>
      <c r="B15" s="39" t="s">
        <v>57</v>
      </c>
      <c r="C15" s="25"/>
      <c r="D15" s="25"/>
      <c r="E15" s="24"/>
      <c r="F15" s="24"/>
      <c r="G15" s="38">
        <f>SUM(G16:G23)</f>
        <v>3666.6441631497391</v>
      </c>
      <c r="H15" s="23">
        <f>+G15/$G$5</f>
        <v>0.84343255379298754</v>
      </c>
      <c r="I15" s="66">
        <f t="shared" ref="I15:AN15" si="10">SUM(I16:I23)</f>
        <v>563.73908122066723</v>
      </c>
      <c r="J15" s="66">
        <f t="shared" si="10"/>
        <v>2080.074735731871</v>
      </c>
      <c r="K15" s="66">
        <f t="shared" si="10"/>
        <v>563.73908122066723</v>
      </c>
      <c r="L15" s="66">
        <f t="shared" si="10"/>
        <v>459.09126497653375</v>
      </c>
      <c r="M15" s="66">
        <f t="shared" si="10"/>
        <v>0</v>
      </c>
      <c r="N15" s="66">
        <f t="shared" si="10"/>
        <v>0</v>
      </c>
      <c r="O15" s="66">
        <f t="shared" si="10"/>
        <v>0</v>
      </c>
      <c r="P15" s="66">
        <f t="shared" si="10"/>
        <v>0</v>
      </c>
      <c r="Q15" s="66">
        <f t="shared" si="10"/>
        <v>0</v>
      </c>
      <c r="R15" s="66">
        <f t="shared" si="10"/>
        <v>0</v>
      </c>
      <c r="S15" s="66">
        <f t="shared" si="10"/>
        <v>0</v>
      </c>
      <c r="T15" s="66">
        <f t="shared" si="10"/>
        <v>0</v>
      </c>
      <c r="U15" s="66">
        <f t="shared" si="10"/>
        <v>65</v>
      </c>
      <c r="V15" s="66">
        <f t="shared" si="10"/>
        <v>85.615534043148955</v>
      </c>
      <c r="W15" s="66">
        <f t="shared" si="10"/>
        <v>65</v>
      </c>
      <c r="X15" s="66">
        <f t="shared" si="10"/>
        <v>54.5</v>
      </c>
      <c r="Y15" s="66">
        <f t="shared" si="10"/>
        <v>164.23199513443174</v>
      </c>
      <c r="Z15" s="66">
        <f t="shared" si="10"/>
        <v>262.28079588560524</v>
      </c>
      <c r="AA15" s="66">
        <f t="shared" si="10"/>
        <v>164.23199513443174</v>
      </c>
      <c r="AB15" s="66">
        <f t="shared" si="10"/>
        <v>132.78559610754539</v>
      </c>
      <c r="AC15" s="66">
        <f t="shared" si="10"/>
        <v>204.79583151985724</v>
      </c>
      <c r="AD15" s="66">
        <f t="shared" si="10"/>
        <v>581.93416348481719</v>
      </c>
      <c r="AE15" s="66">
        <f t="shared" si="10"/>
        <v>204.79583151985724</v>
      </c>
      <c r="AF15" s="66">
        <f t="shared" si="10"/>
        <v>165.23666521588581</v>
      </c>
      <c r="AG15" s="66">
        <f t="shared" si="10"/>
        <v>121.06593209756565</v>
      </c>
      <c r="AH15" s="66">
        <f t="shared" si="10"/>
        <v>749.37809544974152</v>
      </c>
      <c r="AI15" s="66">
        <f t="shared" si="10"/>
        <v>121.06593209756565</v>
      </c>
      <c r="AJ15" s="66">
        <f t="shared" si="10"/>
        <v>98.252745678052534</v>
      </c>
      <c r="AK15" s="66">
        <f t="shared" si="10"/>
        <v>8.6453224688125943</v>
      </c>
      <c r="AL15" s="66">
        <f t="shared" si="10"/>
        <v>400.86614686855796</v>
      </c>
      <c r="AM15" s="66">
        <f t="shared" si="10"/>
        <v>8.6453224688125943</v>
      </c>
      <c r="AN15" s="66">
        <f t="shared" si="10"/>
        <v>8.3162579750500747</v>
      </c>
    </row>
    <row r="16" spans="1:40" ht="23.25" customHeight="1" x14ac:dyDescent="0.3">
      <c r="A16" s="37" t="s">
        <v>53</v>
      </c>
      <c r="B16" s="36" t="s">
        <v>59</v>
      </c>
      <c r="C16" s="19">
        <v>16</v>
      </c>
      <c r="D16" s="19">
        <f t="shared" ref="D16:D22" si="11">+C16*30</f>
        <v>480</v>
      </c>
      <c r="E16" s="18">
        <v>43102</v>
      </c>
      <c r="F16" s="18">
        <f t="shared" ref="F16:F22" si="12">+E16+D16</f>
        <v>43582</v>
      </c>
      <c r="G16" s="35"/>
      <c r="H16" s="35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 spans="1:40" x14ac:dyDescent="0.3">
      <c r="A17" s="37" t="s">
        <v>54</v>
      </c>
      <c r="B17" s="36" t="s">
        <v>56</v>
      </c>
      <c r="C17" s="19">
        <v>75.55</v>
      </c>
      <c r="D17" s="19">
        <f t="shared" ref="D17" si="13">+C17*30</f>
        <v>2266.5</v>
      </c>
      <c r="E17" s="18">
        <v>43617</v>
      </c>
      <c r="F17" s="18">
        <f t="shared" ref="F17" si="14">+E17+D17</f>
        <v>45883.5</v>
      </c>
      <c r="G17" s="16">
        <f>SUM(I17:L17)</f>
        <v>2510.670295031211</v>
      </c>
      <c r="H17" s="35"/>
      <c r="I17" s="65">
        <f>+M17+Q17+U17+Y17+AC17+AG17+AK17</f>
        <v>563.73908122066723</v>
      </c>
      <c r="J17" s="65">
        <f>+N17+R17+V17+Z17+AD17+AH17+AL17</f>
        <v>924.10086761334287</v>
      </c>
      <c r="K17" s="65">
        <f>+O17+S17+W17+AA17+AE17+AI17+AM17</f>
        <v>563.73908122066723</v>
      </c>
      <c r="L17" s="65">
        <f>+P17+T17+X17+AB17+AF17+AJ17+AN17</f>
        <v>459.09126497653375</v>
      </c>
      <c r="M17" s="67"/>
      <c r="N17" s="67"/>
      <c r="O17" s="67"/>
      <c r="P17" s="67"/>
      <c r="Q17" s="67"/>
      <c r="R17" s="67"/>
      <c r="S17" s="67"/>
      <c r="T17" s="67"/>
      <c r="U17" s="67">
        <v>65</v>
      </c>
      <c r="V17" s="67">
        <v>85.615534043148955</v>
      </c>
      <c r="W17" s="67">
        <v>65</v>
      </c>
      <c r="X17" s="67">
        <v>54.5</v>
      </c>
      <c r="Y17" s="67">
        <v>164.23199513443174</v>
      </c>
      <c r="Z17" s="67">
        <v>262.28079588560524</v>
      </c>
      <c r="AA17" s="67">
        <v>164.23199513443174</v>
      </c>
      <c r="AB17" s="67">
        <v>132.78559610754539</v>
      </c>
      <c r="AC17" s="67">
        <v>204.79583151985724</v>
      </c>
      <c r="AD17" s="67">
        <v>333.26606760112475</v>
      </c>
      <c r="AE17" s="67">
        <v>204.79583151985724</v>
      </c>
      <c r="AF17" s="67">
        <v>165.23666521588581</v>
      </c>
      <c r="AG17" s="67">
        <v>121.06593209756565</v>
      </c>
      <c r="AH17" s="67">
        <v>211.72169756418447</v>
      </c>
      <c r="AI17" s="67">
        <v>121.06593209756565</v>
      </c>
      <c r="AJ17" s="67">
        <v>98.252745678052534</v>
      </c>
      <c r="AK17" s="67">
        <v>8.6453224688125943</v>
      </c>
      <c r="AL17" s="67">
        <v>31.216772519279363</v>
      </c>
      <c r="AM17" s="67">
        <v>8.6453224688125943</v>
      </c>
      <c r="AN17" s="67">
        <v>8.3162579750500747</v>
      </c>
    </row>
    <row r="18" spans="1:40" ht="23.25" customHeight="1" x14ac:dyDescent="0.3">
      <c r="A18" s="37" t="s">
        <v>60</v>
      </c>
      <c r="B18" s="36" t="s">
        <v>15</v>
      </c>
      <c r="C18" s="19">
        <v>19.100000000000001</v>
      </c>
      <c r="D18" s="19">
        <f t="shared" si="11"/>
        <v>573</v>
      </c>
      <c r="E18" s="18">
        <v>43620</v>
      </c>
      <c r="F18" s="18">
        <f t="shared" si="12"/>
        <v>44193</v>
      </c>
      <c r="G18" s="35"/>
      <c r="H18" s="35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1:40" ht="23.25" customHeight="1" x14ac:dyDescent="0.3">
      <c r="A19" s="37" t="s">
        <v>61</v>
      </c>
      <c r="B19" s="36" t="s">
        <v>14</v>
      </c>
      <c r="C19" s="19">
        <f>4.8*12</f>
        <v>57.599999999999994</v>
      </c>
      <c r="D19" s="19">
        <f t="shared" si="11"/>
        <v>1727.9999999999998</v>
      </c>
      <c r="E19" s="18">
        <v>43591</v>
      </c>
      <c r="F19" s="18">
        <f t="shared" si="12"/>
        <v>45319</v>
      </c>
      <c r="G19" s="35"/>
      <c r="H19" s="35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</row>
    <row r="20" spans="1:40" ht="23.25" customHeight="1" x14ac:dyDescent="0.3">
      <c r="A20" s="37" t="s">
        <v>62</v>
      </c>
      <c r="B20" s="36" t="s">
        <v>13</v>
      </c>
      <c r="C20" s="19">
        <v>56.66</v>
      </c>
      <c r="D20" s="19">
        <f t="shared" si="11"/>
        <v>1699.8</v>
      </c>
      <c r="E20" s="18">
        <v>43620</v>
      </c>
      <c r="F20" s="18">
        <f t="shared" si="12"/>
        <v>45319.8</v>
      </c>
      <c r="G20" s="35"/>
      <c r="H20" s="35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spans="1:40" ht="23.25" customHeight="1" x14ac:dyDescent="0.3">
      <c r="A21" s="37" t="s">
        <v>63</v>
      </c>
      <c r="B21" s="36" t="s">
        <v>12</v>
      </c>
      <c r="C21" s="19">
        <v>53</v>
      </c>
      <c r="D21" s="19">
        <f t="shared" si="11"/>
        <v>1590</v>
      </c>
      <c r="E21" s="18">
        <v>43591</v>
      </c>
      <c r="F21" s="18">
        <f t="shared" si="12"/>
        <v>45181</v>
      </c>
      <c r="G21" s="35"/>
      <c r="H21" s="35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</row>
    <row r="22" spans="1:40" ht="23.25" customHeight="1" x14ac:dyDescent="0.3">
      <c r="A22" s="37" t="s">
        <v>64</v>
      </c>
      <c r="B22" s="36" t="s">
        <v>11</v>
      </c>
      <c r="C22" s="19">
        <v>41.5</v>
      </c>
      <c r="D22" s="19">
        <f t="shared" si="11"/>
        <v>1245</v>
      </c>
      <c r="E22" s="18">
        <v>43436</v>
      </c>
      <c r="F22" s="18">
        <f t="shared" si="12"/>
        <v>44681</v>
      </c>
      <c r="G22" s="35"/>
      <c r="H22" s="35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</row>
    <row r="23" spans="1:40" ht="28.8" x14ac:dyDescent="0.3">
      <c r="A23" s="37" t="s">
        <v>55</v>
      </c>
      <c r="B23" s="36" t="s">
        <v>58</v>
      </c>
      <c r="C23" s="48">
        <v>39</v>
      </c>
      <c r="D23" s="48">
        <v>1170</v>
      </c>
      <c r="E23" s="49">
        <v>44713</v>
      </c>
      <c r="F23" s="49">
        <v>45883</v>
      </c>
      <c r="G23" s="16">
        <f>SUM(I23:L23)</f>
        <v>1155.9738681185281</v>
      </c>
      <c r="H23" s="35"/>
      <c r="I23" s="65">
        <f>+M23+Q23+U23+Y23+AC23+AG23+AK23</f>
        <v>0</v>
      </c>
      <c r="J23" s="65">
        <f>+N23+R23+V23+Z23+AD23+AH23+AL23</f>
        <v>1155.9738681185281</v>
      </c>
      <c r="K23" s="65">
        <f>+O23+S23+W23+AA23+AE23+AI23+AM23</f>
        <v>0</v>
      </c>
      <c r="L23" s="65">
        <f>+P23+T23+X23+AB23+AF23+AJ23+AN23</f>
        <v>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>
        <v>248.66809588369244</v>
      </c>
      <c r="AE23" s="67"/>
      <c r="AF23" s="67"/>
      <c r="AG23" s="67"/>
      <c r="AH23" s="67">
        <v>537.656397885557</v>
      </c>
      <c r="AI23" s="67"/>
      <c r="AJ23" s="67"/>
      <c r="AK23" s="67"/>
      <c r="AL23" s="67">
        <v>369.64937434927862</v>
      </c>
      <c r="AM23" s="67"/>
      <c r="AN23" s="67"/>
    </row>
    <row r="24" spans="1:40" x14ac:dyDescent="0.3">
      <c r="A24" s="29" t="s">
        <v>10</v>
      </c>
      <c r="B24" s="26" t="s">
        <v>65</v>
      </c>
      <c r="C24" s="25"/>
      <c r="D24" s="25"/>
      <c r="E24" s="24"/>
      <c r="F24" s="24"/>
      <c r="G24" s="22">
        <f>SUM(G25:G26)</f>
        <v>34.857142857142854</v>
      </c>
      <c r="H24" s="23">
        <f>+G24/$G$5</f>
        <v>8.0181353056828827E-3</v>
      </c>
      <c r="I24" s="64">
        <f t="shared" ref="I24:AN24" si="15">SUM(I25:I26)</f>
        <v>0</v>
      </c>
      <c r="J24" s="64">
        <f t="shared" si="15"/>
        <v>34.857142857142854</v>
      </c>
      <c r="K24" s="64">
        <f t="shared" si="15"/>
        <v>0</v>
      </c>
      <c r="L24" s="64">
        <f t="shared" si="15"/>
        <v>0</v>
      </c>
      <c r="M24" s="64">
        <f t="shared" si="15"/>
        <v>0</v>
      </c>
      <c r="N24" s="64">
        <f t="shared" si="15"/>
        <v>0.23743631074585841</v>
      </c>
      <c r="O24" s="64">
        <f t="shared" si="15"/>
        <v>0</v>
      </c>
      <c r="P24" s="64">
        <f t="shared" si="15"/>
        <v>0</v>
      </c>
      <c r="Q24" s="64">
        <f t="shared" si="15"/>
        <v>0</v>
      </c>
      <c r="R24" s="64">
        <f t="shared" si="15"/>
        <v>4.3047578294831306</v>
      </c>
      <c r="S24" s="64">
        <f t="shared" si="15"/>
        <v>0</v>
      </c>
      <c r="T24" s="64">
        <f t="shared" si="15"/>
        <v>0</v>
      </c>
      <c r="U24" s="64">
        <f t="shared" si="15"/>
        <v>0</v>
      </c>
      <c r="V24" s="64">
        <f t="shared" si="15"/>
        <v>5.9411377557548564</v>
      </c>
      <c r="W24" s="64">
        <f t="shared" si="15"/>
        <v>0</v>
      </c>
      <c r="X24" s="64">
        <f t="shared" si="15"/>
        <v>0</v>
      </c>
      <c r="Y24" s="64">
        <f t="shared" si="15"/>
        <v>0</v>
      </c>
      <c r="Z24" s="64">
        <f t="shared" si="15"/>
        <v>6.0934527402897523</v>
      </c>
      <c r="AA24" s="64">
        <f t="shared" si="15"/>
        <v>0</v>
      </c>
      <c r="AB24" s="64">
        <f t="shared" si="15"/>
        <v>0</v>
      </c>
      <c r="AC24" s="64">
        <f t="shared" si="15"/>
        <v>0</v>
      </c>
      <c r="AD24" s="64">
        <f t="shared" si="15"/>
        <v>6.0934527402897531</v>
      </c>
      <c r="AE24" s="64">
        <f t="shared" si="15"/>
        <v>0</v>
      </c>
      <c r="AF24" s="64">
        <f t="shared" si="15"/>
        <v>0</v>
      </c>
      <c r="AG24" s="64">
        <f t="shared" si="15"/>
        <v>0</v>
      </c>
      <c r="AH24" s="64">
        <f t="shared" si="15"/>
        <v>6.0934527402897523</v>
      </c>
      <c r="AI24" s="64">
        <f t="shared" si="15"/>
        <v>0</v>
      </c>
      <c r="AJ24" s="64">
        <f t="shared" si="15"/>
        <v>0</v>
      </c>
      <c r="AK24" s="64">
        <f t="shared" si="15"/>
        <v>0</v>
      </c>
      <c r="AL24" s="64">
        <f t="shared" si="15"/>
        <v>6.0934527402897531</v>
      </c>
      <c r="AM24" s="64">
        <f t="shared" si="15"/>
        <v>0</v>
      </c>
      <c r="AN24" s="64">
        <f t="shared" si="15"/>
        <v>0</v>
      </c>
    </row>
    <row r="25" spans="1:40" x14ac:dyDescent="0.3">
      <c r="A25" s="21" t="s">
        <v>9</v>
      </c>
      <c r="B25" s="20" t="s">
        <v>1</v>
      </c>
      <c r="C25" s="19">
        <v>5</v>
      </c>
      <c r="D25" s="19">
        <f>+C25*30</f>
        <v>150</v>
      </c>
      <c r="E25" s="18">
        <v>43199</v>
      </c>
      <c r="F25" s="18">
        <f>+E25+D25</f>
        <v>43349</v>
      </c>
      <c r="G25" s="16"/>
      <c r="H25" s="28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</row>
    <row r="26" spans="1:40" x14ac:dyDescent="0.3">
      <c r="A26" s="21" t="s">
        <v>8</v>
      </c>
      <c r="B26" s="20" t="s">
        <v>7</v>
      </c>
      <c r="C26" s="19">
        <v>93</v>
      </c>
      <c r="D26" s="19">
        <f>+C26*30</f>
        <v>2790</v>
      </c>
      <c r="E26" s="18">
        <v>43349</v>
      </c>
      <c r="F26" s="18">
        <f>+E26+D26</f>
        <v>46139</v>
      </c>
      <c r="G26" s="16">
        <f>SUM(I26:L26)</f>
        <v>34.857142857142854</v>
      </c>
      <c r="H26" s="28"/>
      <c r="I26" s="65">
        <f>+M26+Q26+U26+Y26+AC26+AG26+AK26</f>
        <v>0</v>
      </c>
      <c r="J26" s="65">
        <f>+N26+R26+V26+Z26+AD26+AH26+AL26</f>
        <v>34.857142857142854</v>
      </c>
      <c r="K26" s="65">
        <f>+O26+S26+W26+AA26+AE26+AI26+AM26</f>
        <v>0</v>
      </c>
      <c r="L26" s="65">
        <f>+P26+T26+X26+AB26+AF26+AJ26+AN26</f>
        <v>0</v>
      </c>
      <c r="M26" s="65"/>
      <c r="N26" s="65">
        <v>0.23743631074585841</v>
      </c>
      <c r="O26" s="65"/>
      <c r="P26" s="65"/>
      <c r="Q26" s="65"/>
      <c r="R26" s="65">
        <v>4.3047578294831306</v>
      </c>
      <c r="S26" s="65"/>
      <c r="T26" s="65"/>
      <c r="U26" s="65"/>
      <c r="V26" s="65">
        <v>5.9411377557548564</v>
      </c>
      <c r="W26" s="65"/>
      <c r="X26" s="65"/>
      <c r="Y26" s="65"/>
      <c r="Z26" s="65">
        <v>6.0934527402897523</v>
      </c>
      <c r="AA26" s="65"/>
      <c r="AB26" s="65"/>
      <c r="AC26" s="65"/>
      <c r="AD26" s="65">
        <v>6.0934527402897531</v>
      </c>
      <c r="AE26" s="65"/>
      <c r="AF26" s="65"/>
      <c r="AG26" s="65"/>
      <c r="AH26" s="65">
        <v>6.0934527402897523</v>
      </c>
      <c r="AI26" s="65"/>
      <c r="AJ26" s="65"/>
      <c r="AK26" s="65"/>
      <c r="AL26" s="65">
        <v>6.0934527402897531</v>
      </c>
      <c r="AM26" s="65"/>
      <c r="AN26" s="65"/>
    </row>
    <row r="27" spans="1:40" x14ac:dyDescent="0.3">
      <c r="A27" s="29" t="s">
        <v>6</v>
      </c>
      <c r="B27" s="26" t="s">
        <v>66</v>
      </c>
      <c r="C27" s="25"/>
      <c r="D27" s="25"/>
      <c r="E27" s="24"/>
      <c r="F27" s="24"/>
      <c r="G27" s="22">
        <f>SUM(G28:G29)</f>
        <v>73.430572582131802</v>
      </c>
      <c r="H27" s="23">
        <f>+G27/$G$5</f>
        <v>1.689112240066026E-2</v>
      </c>
      <c r="I27" s="64">
        <f t="shared" ref="I27:AN27" si="16">SUM(I28:I29)</f>
        <v>26.260918779332787</v>
      </c>
      <c r="J27" s="64">
        <f t="shared" si="16"/>
        <v>0</v>
      </c>
      <c r="K27" s="64">
        <f t="shared" si="16"/>
        <v>26.260918779332787</v>
      </c>
      <c r="L27" s="64">
        <f t="shared" si="16"/>
        <v>20.908735023466228</v>
      </c>
      <c r="M27" s="64">
        <f t="shared" si="16"/>
        <v>0</v>
      </c>
      <c r="N27" s="64">
        <f t="shared" si="16"/>
        <v>0</v>
      </c>
      <c r="O27" s="64">
        <f t="shared" si="16"/>
        <v>0</v>
      </c>
      <c r="P27" s="64">
        <f t="shared" si="16"/>
        <v>0</v>
      </c>
      <c r="Q27" s="64">
        <f t="shared" si="16"/>
        <v>0</v>
      </c>
      <c r="R27" s="64">
        <f t="shared" si="16"/>
        <v>0</v>
      </c>
      <c r="S27" s="64">
        <f t="shared" si="16"/>
        <v>0</v>
      </c>
      <c r="T27" s="64">
        <f t="shared" si="16"/>
        <v>0</v>
      </c>
      <c r="U27" s="64">
        <f t="shared" si="16"/>
        <v>2</v>
      </c>
      <c r="V27" s="64">
        <f t="shared" si="16"/>
        <v>0</v>
      </c>
      <c r="W27" s="64">
        <f t="shared" si="16"/>
        <v>2</v>
      </c>
      <c r="X27" s="64">
        <f t="shared" si="16"/>
        <v>1.5</v>
      </c>
      <c r="Y27" s="64">
        <f t="shared" si="16"/>
        <v>5.1680741590143864</v>
      </c>
      <c r="Z27" s="64">
        <f t="shared" si="16"/>
        <v>0</v>
      </c>
      <c r="AA27" s="64">
        <f t="shared" si="16"/>
        <v>5.1680741590143864</v>
      </c>
      <c r="AB27" s="64">
        <f t="shared" si="16"/>
        <v>4.1344593272115091</v>
      </c>
      <c r="AC27" s="64">
        <f t="shared" si="16"/>
        <v>8.2625892267172691</v>
      </c>
      <c r="AD27" s="64">
        <f t="shared" si="16"/>
        <v>0</v>
      </c>
      <c r="AE27" s="64">
        <f t="shared" si="16"/>
        <v>8.2625892267172691</v>
      </c>
      <c r="AF27" s="64">
        <f t="shared" si="16"/>
        <v>6.6100713813738148</v>
      </c>
      <c r="AG27" s="64">
        <f t="shared" si="16"/>
        <v>7.7840193237351816</v>
      </c>
      <c r="AH27" s="64">
        <f t="shared" si="16"/>
        <v>0</v>
      </c>
      <c r="AI27" s="64">
        <f t="shared" si="16"/>
        <v>7.7840193237351816</v>
      </c>
      <c r="AJ27" s="64">
        <f t="shared" si="16"/>
        <v>6.2272154589881445</v>
      </c>
      <c r="AK27" s="64">
        <f t="shared" si="16"/>
        <v>3.0462360698659521</v>
      </c>
      <c r="AL27" s="64">
        <f t="shared" si="16"/>
        <v>0</v>
      </c>
      <c r="AM27" s="64">
        <f t="shared" si="16"/>
        <v>3.0462360698659521</v>
      </c>
      <c r="AN27" s="64">
        <f t="shared" si="16"/>
        <v>2.4369888558927615</v>
      </c>
    </row>
    <row r="28" spans="1:40" x14ac:dyDescent="0.3">
      <c r="A28" s="21" t="s">
        <v>5</v>
      </c>
      <c r="B28" s="20" t="s">
        <v>1</v>
      </c>
      <c r="C28" s="19">
        <f>+D28/30</f>
        <v>7.0333333333333332</v>
      </c>
      <c r="D28" s="19">
        <f>+F28-E28</f>
        <v>211</v>
      </c>
      <c r="E28" s="18">
        <v>43435</v>
      </c>
      <c r="F28" s="18">
        <v>43646</v>
      </c>
      <c r="G28" s="16"/>
      <c r="H28" s="2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</row>
    <row r="29" spans="1:40" ht="15" thickBot="1" x14ac:dyDescent="0.35">
      <c r="A29" s="21" t="s">
        <v>67</v>
      </c>
      <c r="B29" s="20" t="s">
        <v>50</v>
      </c>
      <c r="C29" s="19">
        <f>+D29/30</f>
        <v>79.13333333333334</v>
      </c>
      <c r="D29" s="19">
        <f>+F29-E29</f>
        <v>2374</v>
      </c>
      <c r="E29" s="18">
        <v>43647</v>
      </c>
      <c r="F29" s="18">
        <v>46021</v>
      </c>
      <c r="G29" s="16">
        <f>SUM(I29:L29)</f>
        <v>73.430572582131802</v>
      </c>
      <c r="H29" s="28"/>
      <c r="I29" s="65">
        <f>+M29+Q29+U29+Y29+AC29+AG29+AK29</f>
        <v>26.260918779332787</v>
      </c>
      <c r="J29" s="65">
        <f>+N29+R29+V29+Z29+AD29+AH29+AL29</f>
        <v>0</v>
      </c>
      <c r="K29" s="65">
        <f>+O29+S29+W29+AA29+AE29+AI29+AM29</f>
        <v>26.260918779332787</v>
      </c>
      <c r="L29" s="65">
        <f>+P29+T29+X29+AB29+AF29+AJ29+AN29</f>
        <v>20.908735023466228</v>
      </c>
      <c r="M29" s="65"/>
      <c r="N29" s="65"/>
      <c r="O29" s="65"/>
      <c r="P29" s="65"/>
      <c r="Q29" s="65"/>
      <c r="R29" s="65"/>
      <c r="S29" s="65"/>
      <c r="T29" s="65"/>
      <c r="U29" s="65">
        <v>2</v>
      </c>
      <c r="V29" s="65"/>
      <c r="W29" s="65">
        <v>2</v>
      </c>
      <c r="X29" s="65">
        <v>1.5</v>
      </c>
      <c r="Y29" s="65">
        <v>5.1680741590143864</v>
      </c>
      <c r="Z29" s="65"/>
      <c r="AA29" s="65">
        <v>5.1680741590143864</v>
      </c>
      <c r="AB29" s="65">
        <v>4.1344593272115091</v>
      </c>
      <c r="AC29" s="65">
        <v>8.2625892267172691</v>
      </c>
      <c r="AD29" s="65"/>
      <c r="AE29" s="65">
        <v>8.2625892267172691</v>
      </c>
      <c r="AF29" s="65">
        <v>6.6100713813738148</v>
      </c>
      <c r="AG29" s="65">
        <v>7.7840193237351816</v>
      </c>
      <c r="AH29" s="65"/>
      <c r="AI29" s="65">
        <v>7.7840193237351816</v>
      </c>
      <c r="AJ29" s="65">
        <v>6.2272154589881445</v>
      </c>
      <c r="AK29" s="65">
        <v>3.0462360698659521</v>
      </c>
      <c r="AL29" s="65"/>
      <c r="AM29" s="65">
        <v>3.0462360698659521</v>
      </c>
      <c r="AN29" s="65">
        <v>2.4369888558927615</v>
      </c>
    </row>
    <row r="30" spans="1:40" x14ac:dyDescent="0.3">
      <c r="A30" s="34">
        <v>2</v>
      </c>
      <c r="B30" s="33" t="s">
        <v>70</v>
      </c>
      <c r="C30" s="32"/>
      <c r="D30" s="32"/>
      <c r="E30" s="32"/>
      <c r="F30" s="32"/>
      <c r="G30" s="30">
        <f>G31+G33</f>
        <v>20</v>
      </c>
      <c r="H30" s="31">
        <f>+G30/$G$35</f>
        <v>4.5795011247724195E-3</v>
      </c>
      <c r="I30" s="68">
        <f t="shared" ref="I30:AN30" si="17">I31+I33</f>
        <v>10</v>
      </c>
      <c r="J30" s="68">
        <f t="shared" si="17"/>
        <v>0</v>
      </c>
      <c r="K30" s="68">
        <f t="shared" si="17"/>
        <v>10</v>
      </c>
      <c r="L30" s="68">
        <f t="shared" si="17"/>
        <v>0</v>
      </c>
      <c r="M30" s="68">
        <f t="shared" si="17"/>
        <v>0</v>
      </c>
      <c r="N30" s="68">
        <f t="shared" si="17"/>
        <v>0</v>
      </c>
      <c r="O30" s="68">
        <f t="shared" si="17"/>
        <v>0</v>
      </c>
      <c r="P30" s="68">
        <f t="shared" si="17"/>
        <v>0</v>
      </c>
      <c r="Q30" s="68">
        <f t="shared" si="17"/>
        <v>1.5</v>
      </c>
      <c r="R30" s="68">
        <f t="shared" si="17"/>
        <v>0</v>
      </c>
      <c r="S30" s="68">
        <f t="shared" si="17"/>
        <v>1.5</v>
      </c>
      <c r="T30" s="68">
        <f t="shared" si="17"/>
        <v>0</v>
      </c>
      <c r="U30" s="68">
        <f t="shared" si="17"/>
        <v>1.5</v>
      </c>
      <c r="V30" s="68">
        <f t="shared" si="17"/>
        <v>0</v>
      </c>
      <c r="W30" s="68">
        <f t="shared" si="17"/>
        <v>1.5</v>
      </c>
      <c r="X30" s="68">
        <f t="shared" si="17"/>
        <v>0</v>
      </c>
      <c r="Y30" s="68">
        <f t="shared" si="17"/>
        <v>1.75</v>
      </c>
      <c r="Z30" s="68">
        <f t="shared" si="17"/>
        <v>0</v>
      </c>
      <c r="AA30" s="68">
        <f t="shared" si="17"/>
        <v>1.75</v>
      </c>
      <c r="AB30" s="68">
        <f t="shared" si="17"/>
        <v>0</v>
      </c>
      <c r="AC30" s="68">
        <f t="shared" si="17"/>
        <v>1.75</v>
      </c>
      <c r="AD30" s="68">
        <f t="shared" si="17"/>
        <v>0</v>
      </c>
      <c r="AE30" s="68">
        <f t="shared" si="17"/>
        <v>1.75</v>
      </c>
      <c r="AF30" s="68">
        <f t="shared" si="17"/>
        <v>0</v>
      </c>
      <c r="AG30" s="68">
        <f t="shared" si="17"/>
        <v>1.75</v>
      </c>
      <c r="AH30" s="68">
        <f t="shared" si="17"/>
        <v>0</v>
      </c>
      <c r="AI30" s="68">
        <f t="shared" si="17"/>
        <v>1.75</v>
      </c>
      <c r="AJ30" s="68">
        <f t="shared" si="17"/>
        <v>0</v>
      </c>
      <c r="AK30" s="68">
        <f t="shared" si="17"/>
        <v>1.75</v>
      </c>
      <c r="AL30" s="68">
        <f t="shared" si="17"/>
        <v>0</v>
      </c>
      <c r="AM30" s="68">
        <f t="shared" si="17"/>
        <v>1.75</v>
      </c>
      <c r="AN30" s="68">
        <f t="shared" si="17"/>
        <v>0</v>
      </c>
    </row>
    <row r="31" spans="1:40" x14ac:dyDescent="0.3">
      <c r="A31" s="27" t="s">
        <v>4</v>
      </c>
      <c r="B31" s="26" t="s">
        <v>51</v>
      </c>
      <c r="C31" s="25"/>
      <c r="D31" s="25"/>
      <c r="E31" s="24"/>
      <c r="F31" s="24"/>
      <c r="G31" s="22">
        <f>+G32</f>
        <v>20</v>
      </c>
      <c r="H31" s="23">
        <f>+G31/G24</f>
        <v>0.57377049180327877</v>
      </c>
      <c r="I31" s="64">
        <f t="shared" ref="I31:AB31" si="18">+I32</f>
        <v>10</v>
      </c>
      <c r="J31" s="64">
        <f t="shared" si="18"/>
        <v>0</v>
      </c>
      <c r="K31" s="64">
        <f t="shared" si="18"/>
        <v>10</v>
      </c>
      <c r="L31" s="64">
        <f t="shared" si="18"/>
        <v>0</v>
      </c>
      <c r="M31" s="64">
        <f t="shared" si="18"/>
        <v>0</v>
      </c>
      <c r="N31" s="64">
        <f t="shared" si="18"/>
        <v>0</v>
      </c>
      <c r="O31" s="64">
        <f t="shared" si="18"/>
        <v>0</v>
      </c>
      <c r="P31" s="64">
        <f t="shared" si="18"/>
        <v>0</v>
      </c>
      <c r="Q31" s="64">
        <f t="shared" si="18"/>
        <v>1.5</v>
      </c>
      <c r="R31" s="64">
        <f t="shared" si="18"/>
        <v>0</v>
      </c>
      <c r="S31" s="64">
        <f t="shared" si="18"/>
        <v>1.5</v>
      </c>
      <c r="T31" s="64">
        <f t="shared" si="18"/>
        <v>0</v>
      </c>
      <c r="U31" s="64">
        <f t="shared" si="18"/>
        <v>1.5</v>
      </c>
      <c r="V31" s="64">
        <f t="shared" si="18"/>
        <v>0</v>
      </c>
      <c r="W31" s="64">
        <f t="shared" si="18"/>
        <v>1.5</v>
      </c>
      <c r="X31" s="64">
        <f t="shared" si="18"/>
        <v>0</v>
      </c>
      <c r="Y31" s="64">
        <f t="shared" si="18"/>
        <v>1.75</v>
      </c>
      <c r="Z31" s="64">
        <f t="shared" si="18"/>
        <v>0</v>
      </c>
      <c r="AA31" s="64">
        <f t="shared" si="18"/>
        <v>1.75</v>
      </c>
      <c r="AB31" s="64">
        <f t="shared" si="18"/>
        <v>0</v>
      </c>
      <c r="AC31" s="64">
        <f t="shared" ref="AC31:AE31" si="19">+AC32</f>
        <v>1.75</v>
      </c>
      <c r="AD31" s="64">
        <f t="shared" si="19"/>
        <v>0</v>
      </c>
      <c r="AE31" s="64">
        <f t="shared" si="19"/>
        <v>1.75</v>
      </c>
      <c r="AF31" s="64">
        <f t="shared" ref="AF31:AI31" si="20">+AF32</f>
        <v>0</v>
      </c>
      <c r="AG31" s="64">
        <f t="shared" si="20"/>
        <v>1.75</v>
      </c>
      <c r="AH31" s="64">
        <f t="shared" si="20"/>
        <v>0</v>
      </c>
      <c r="AI31" s="64">
        <f t="shared" si="20"/>
        <v>1.75</v>
      </c>
      <c r="AJ31" s="64">
        <f t="shared" ref="AJ31" si="21">+AJ32</f>
        <v>0</v>
      </c>
      <c r="AK31" s="64">
        <f>+AK32</f>
        <v>1.75</v>
      </c>
      <c r="AL31" s="64">
        <f>+AL32</f>
        <v>0</v>
      </c>
      <c r="AM31" s="64">
        <f>+AM32</f>
        <v>1.75</v>
      </c>
      <c r="AN31" s="64">
        <f>+AN32</f>
        <v>0</v>
      </c>
    </row>
    <row r="32" spans="1:40" x14ac:dyDescent="0.3">
      <c r="A32" s="21" t="s">
        <v>2</v>
      </c>
      <c r="B32" s="20" t="s">
        <v>51</v>
      </c>
      <c r="C32" s="19"/>
      <c r="D32" s="19">
        <f>+C32*30</f>
        <v>0</v>
      </c>
      <c r="E32" s="18"/>
      <c r="F32" s="18"/>
      <c r="G32" s="16">
        <f t="shared" ref="G32" si="22">SUM(I32:L32)</f>
        <v>20</v>
      </c>
      <c r="H32" s="17"/>
      <c r="I32" s="65">
        <f>+M32+Q32+U32+Y32+AC32+AG32+AK32</f>
        <v>10</v>
      </c>
      <c r="J32" s="65">
        <f>+N32+R32+V32+Z32+AD32+AH32+AL32</f>
        <v>0</v>
      </c>
      <c r="K32" s="65">
        <f>+O32+S32+W32+AA32+AE32+AI32+AM32</f>
        <v>10</v>
      </c>
      <c r="L32" s="65">
        <f>+P32+T32+X32+AB32+AF32+AJ32+AN32</f>
        <v>0</v>
      </c>
      <c r="M32" s="65"/>
      <c r="N32" s="65"/>
      <c r="O32" s="65"/>
      <c r="P32" s="65"/>
      <c r="Q32" s="69">
        <v>1.5</v>
      </c>
      <c r="R32" s="69"/>
      <c r="S32" s="69">
        <v>1.5</v>
      </c>
      <c r="T32" s="69"/>
      <c r="U32" s="69">
        <v>1.5</v>
      </c>
      <c r="V32" s="69"/>
      <c r="W32" s="69">
        <v>1.5</v>
      </c>
      <c r="X32" s="65"/>
      <c r="Y32" s="65">
        <v>1.75</v>
      </c>
      <c r="Z32" s="65"/>
      <c r="AA32" s="65">
        <v>1.75</v>
      </c>
      <c r="AB32" s="65"/>
      <c r="AC32" s="65">
        <v>1.75</v>
      </c>
      <c r="AD32" s="65"/>
      <c r="AE32" s="65">
        <v>1.75</v>
      </c>
      <c r="AF32" s="65"/>
      <c r="AG32" s="65">
        <v>1.75</v>
      </c>
      <c r="AH32" s="65"/>
      <c r="AI32" s="65">
        <v>1.75</v>
      </c>
      <c r="AJ32" s="65"/>
      <c r="AK32" s="65">
        <v>1.75</v>
      </c>
      <c r="AL32" s="65"/>
      <c r="AM32" s="65">
        <v>1.75</v>
      </c>
      <c r="AN32" s="65"/>
    </row>
    <row r="33" spans="1:40" x14ac:dyDescent="0.3">
      <c r="A33" s="27" t="s">
        <v>68</v>
      </c>
      <c r="B33" s="26" t="s">
        <v>3</v>
      </c>
      <c r="C33" s="25"/>
      <c r="D33" s="25"/>
      <c r="E33" s="24"/>
      <c r="F33" s="24"/>
      <c r="G33" s="22">
        <f>+G34</f>
        <v>0</v>
      </c>
      <c r="H33" s="23">
        <f>+G33/G32</f>
        <v>0</v>
      </c>
      <c r="I33" s="64">
        <f t="shared" ref="I33:AB33" si="23">+I34</f>
        <v>0</v>
      </c>
      <c r="J33" s="64">
        <f t="shared" si="23"/>
        <v>0</v>
      </c>
      <c r="K33" s="64">
        <f t="shared" si="23"/>
        <v>0</v>
      </c>
      <c r="L33" s="64">
        <f t="shared" si="23"/>
        <v>0</v>
      </c>
      <c r="M33" s="64">
        <f t="shared" si="23"/>
        <v>0</v>
      </c>
      <c r="N33" s="64">
        <f t="shared" si="23"/>
        <v>0</v>
      </c>
      <c r="O33" s="64">
        <f t="shared" si="23"/>
        <v>0</v>
      </c>
      <c r="P33" s="64">
        <f t="shared" si="23"/>
        <v>0</v>
      </c>
      <c r="Q33" s="64">
        <f t="shared" si="23"/>
        <v>0</v>
      </c>
      <c r="R33" s="64">
        <f t="shared" si="23"/>
        <v>0</v>
      </c>
      <c r="S33" s="64">
        <f t="shared" si="23"/>
        <v>0</v>
      </c>
      <c r="T33" s="64">
        <f t="shared" si="23"/>
        <v>0</v>
      </c>
      <c r="U33" s="64">
        <f t="shared" si="23"/>
        <v>0</v>
      </c>
      <c r="V33" s="64">
        <f t="shared" si="23"/>
        <v>0</v>
      </c>
      <c r="W33" s="64">
        <f t="shared" si="23"/>
        <v>0</v>
      </c>
      <c r="X33" s="64">
        <f t="shared" si="23"/>
        <v>0</v>
      </c>
      <c r="Y33" s="64">
        <f t="shared" si="23"/>
        <v>0</v>
      </c>
      <c r="Z33" s="64">
        <f t="shared" si="23"/>
        <v>0</v>
      </c>
      <c r="AA33" s="64">
        <f t="shared" si="23"/>
        <v>0</v>
      </c>
      <c r="AB33" s="64">
        <f t="shared" si="23"/>
        <v>0</v>
      </c>
      <c r="AC33" s="64">
        <f t="shared" ref="AC33:AE33" si="24">+AC34</f>
        <v>0</v>
      </c>
      <c r="AD33" s="64">
        <f t="shared" si="24"/>
        <v>0</v>
      </c>
      <c r="AE33" s="64">
        <f t="shared" si="24"/>
        <v>0</v>
      </c>
      <c r="AF33" s="64">
        <f t="shared" ref="AF33:AI33" si="25">+AF34</f>
        <v>0</v>
      </c>
      <c r="AG33" s="64">
        <f t="shared" si="25"/>
        <v>0</v>
      </c>
      <c r="AH33" s="64">
        <f t="shared" si="25"/>
        <v>0</v>
      </c>
      <c r="AI33" s="64">
        <f t="shared" si="25"/>
        <v>0</v>
      </c>
      <c r="AJ33" s="64">
        <f t="shared" ref="AJ33" si="26">+AJ34</f>
        <v>0</v>
      </c>
      <c r="AK33" s="64">
        <f>+AK34</f>
        <v>0</v>
      </c>
      <c r="AL33" s="64">
        <f>+AL34</f>
        <v>0</v>
      </c>
      <c r="AM33" s="64">
        <f>+AM34</f>
        <v>0</v>
      </c>
      <c r="AN33" s="64">
        <f>+AN34</f>
        <v>0</v>
      </c>
    </row>
    <row r="34" spans="1:40" ht="15" thickBot="1" x14ac:dyDescent="0.35">
      <c r="A34" s="21" t="s">
        <v>69</v>
      </c>
      <c r="B34" s="20" t="s">
        <v>1</v>
      </c>
      <c r="C34" s="19"/>
      <c r="D34" s="19">
        <f>+C34*30</f>
        <v>0</v>
      </c>
      <c r="E34" s="18"/>
      <c r="F34" s="18"/>
      <c r="G34" s="16"/>
      <c r="H34" s="17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</row>
    <row r="35" spans="1:40" ht="15" thickBot="1" x14ac:dyDescent="0.35">
      <c r="A35" s="15"/>
      <c r="B35" s="14" t="s">
        <v>0</v>
      </c>
      <c r="C35" s="13"/>
      <c r="D35" s="12"/>
      <c r="E35" s="12"/>
      <c r="F35" s="12"/>
      <c r="G35" s="10">
        <f t="shared" ref="G35:AN35" si="27">+G30+G5</f>
        <v>4367.2879326989814</v>
      </c>
      <c r="H35" s="11">
        <f t="shared" si="27"/>
        <v>1</v>
      </c>
      <c r="I35" s="70">
        <f t="shared" si="27"/>
        <v>600</v>
      </c>
      <c r="J35" s="70">
        <f t="shared" si="27"/>
        <v>2687.2879326989819</v>
      </c>
      <c r="K35" s="70">
        <f t="shared" si="27"/>
        <v>600</v>
      </c>
      <c r="L35" s="70">
        <f t="shared" si="27"/>
        <v>480</v>
      </c>
      <c r="M35" s="70">
        <f t="shared" si="27"/>
        <v>0</v>
      </c>
      <c r="N35" s="70">
        <f t="shared" si="27"/>
        <v>335.46639916265286</v>
      </c>
      <c r="O35" s="70">
        <f t="shared" si="27"/>
        <v>0</v>
      </c>
      <c r="P35" s="70">
        <f t="shared" si="27"/>
        <v>0</v>
      </c>
      <c r="Q35" s="70">
        <f t="shared" si="27"/>
        <v>1.5</v>
      </c>
      <c r="R35" s="70">
        <f t="shared" si="27"/>
        <v>241.43184908754415</v>
      </c>
      <c r="S35" s="70">
        <f t="shared" si="27"/>
        <v>1.5</v>
      </c>
      <c r="T35" s="70">
        <f t="shared" si="27"/>
        <v>0</v>
      </c>
      <c r="U35" s="70">
        <f t="shared" si="27"/>
        <v>68.5</v>
      </c>
      <c r="V35" s="70">
        <f t="shared" si="27"/>
        <v>91.556671798903807</v>
      </c>
      <c r="W35" s="70">
        <f t="shared" si="27"/>
        <v>68.5</v>
      </c>
      <c r="X35" s="70">
        <f>+X30+X5</f>
        <v>56</v>
      </c>
      <c r="Y35" s="70">
        <f t="shared" si="27"/>
        <v>171.15006929344614</v>
      </c>
      <c r="Z35" s="70">
        <f t="shared" si="27"/>
        <v>268.37424862589501</v>
      </c>
      <c r="AA35" s="70">
        <f t="shared" si="27"/>
        <v>171.15006929344614</v>
      </c>
      <c r="AB35" s="70">
        <f t="shared" si="27"/>
        <v>136.9200554347569</v>
      </c>
      <c r="AC35" s="70">
        <f t="shared" si="27"/>
        <v>214.80842074657451</v>
      </c>
      <c r="AD35" s="70">
        <f t="shared" si="27"/>
        <v>588.02761622510695</v>
      </c>
      <c r="AE35" s="70">
        <f t="shared" si="27"/>
        <v>214.80842074657451</v>
      </c>
      <c r="AF35" s="70">
        <f t="shared" si="27"/>
        <v>171.84673659725962</v>
      </c>
      <c r="AG35" s="70">
        <f t="shared" si="27"/>
        <v>130.59995142130083</v>
      </c>
      <c r="AH35" s="70">
        <f t="shared" si="27"/>
        <v>755.47154819003129</v>
      </c>
      <c r="AI35" s="70">
        <f t="shared" si="27"/>
        <v>130.59995142130083</v>
      </c>
      <c r="AJ35" s="70">
        <f t="shared" si="27"/>
        <v>104.47996113704068</v>
      </c>
      <c r="AK35" s="70">
        <f t="shared" si="27"/>
        <v>13.441558538678546</v>
      </c>
      <c r="AL35" s="70">
        <f t="shared" si="27"/>
        <v>406.95959960884772</v>
      </c>
      <c r="AM35" s="70">
        <f t="shared" si="27"/>
        <v>13.441558538678546</v>
      </c>
      <c r="AN35" s="70">
        <f t="shared" si="27"/>
        <v>10.753246830942835</v>
      </c>
    </row>
    <row r="36" spans="1:40" x14ac:dyDescent="0.3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Z36" s="4"/>
      <c r="AA36" s="4"/>
      <c r="AB36" s="4"/>
    </row>
    <row r="37" spans="1:40" x14ac:dyDescent="0.3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Z37" s="4"/>
      <c r="AA37" s="4"/>
      <c r="AB37" s="4"/>
    </row>
    <row r="38" spans="1:40" x14ac:dyDescent="0.3">
      <c r="G38" s="9"/>
      <c r="H38" s="7"/>
      <c r="I38" s="7"/>
      <c r="J38" s="7"/>
      <c r="K38" s="2"/>
      <c r="L38" s="2"/>
      <c r="M38" s="60">
        <f>+M35+Q35+U35</f>
        <v>70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Z38" s="5"/>
      <c r="AA38" s="5"/>
      <c r="AB38" s="4"/>
    </row>
    <row r="39" spans="1:40" x14ac:dyDescent="0.3">
      <c r="G39" s="9"/>
      <c r="H39" s="7"/>
      <c r="I39" s="7"/>
      <c r="J39" s="7"/>
      <c r="K39" s="2"/>
      <c r="L39" s="2"/>
      <c r="M39" s="6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Z39" s="6"/>
      <c r="AA39" s="6"/>
      <c r="AB39" s="4"/>
    </row>
    <row r="40" spans="1:40" x14ac:dyDescent="0.3">
      <c r="G40" s="9"/>
      <c r="H40" s="7"/>
      <c r="I40" s="7"/>
      <c r="J40" s="7"/>
      <c r="K40" s="2"/>
      <c r="L40" s="2"/>
      <c r="M40" s="6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Z40" s="6"/>
      <c r="AA40" s="6"/>
      <c r="AB40" s="4"/>
    </row>
    <row r="41" spans="1:40" x14ac:dyDescent="0.3">
      <c r="G41" s="8"/>
      <c r="H41" s="7"/>
      <c r="I41" s="4"/>
      <c r="J41" s="4"/>
      <c r="M41" s="61">
        <f>+M35</f>
        <v>0</v>
      </c>
      <c r="N41" s="1">
        <f>+O35+P35</f>
        <v>0</v>
      </c>
      <c r="O41" s="1">
        <f>+N35</f>
        <v>335.46639916265286</v>
      </c>
      <c r="P41" s="1">
        <f t="shared" ref="P41:P43" si="28">+SUM(M41:O41)</f>
        <v>335.46639916265286</v>
      </c>
      <c r="Q41" s="62">
        <f>+P41/$P$44</f>
        <v>0.38806696726718665</v>
      </c>
      <c r="Z41" s="6"/>
      <c r="AA41" s="6"/>
      <c r="AB41" s="4"/>
    </row>
    <row r="42" spans="1:40" x14ac:dyDescent="0.3">
      <c r="G42" s="8"/>
      <c r="H42" s="7"/>
      <c r="I42" s="4"/>
      <c r="J42" s="4"/>
      <c r="M42" s="61">
        <f>+Q35</f>
        <v>1.5</v>
      </c>
      <c r="N42" s="1">
        <f>+S35+T35</f>
        <v>1.5</v>
      </c>
      <c r="O42" s="1">
        <f>+R35</f>
        <v>241.43184908754415</v>
      </c>
      <c r="P42" s="1">
        <f t="shared" si="28"/>
        <v>244.43184908754415</v>
      </c>
      <c r="Q42" s="62">
        <f t="shared" ref="Q42:Q43" si="29">+P42/$P$44</f>
        <v>0.28275835259710302</v>
      </c>
      <c r="Z42" s="6"/>
      <c r="AA42" s="6"/>
      <c r="AB42" s="4"/>
    </row>
    <row r="43" spans="1:40" x14ac:dyDescent="0.3">
      <c r="M43" s="61">
        <f>+U35</f>
        <v>68.5</v>
      </c>
      <c r="N43" s="1">
        <f>+W35+X35</f>
        <v>124.5</v>
      </c>
      <c r="O43" s="1">
        <f>+V35</f>
        <v>91.556671798903807</v>
      </c>
      <c r="P43" s="1">
        <f t="shared" si="28"/>
        <v>284.55667179890384</v>
      </c>
      <c r="Q43" s="62">
        <f t="shared" si="29"/>
        <v>0.32917468013571038</v>
      </c>
      <c r="Z43" s="6"/>
      <c r="AA43" s="6"/>
      <c r="AB43" s="4"/>
    </row>
    <row r="44" spans="1:40" x14ac:dyDescent="0.3">
      <c r="M44" s="61">
        <f>SUM(M41:M43)</f>
        <v>70</v>
      </c>
      <c r="N44" s="61">
        <f t="shared" ref="N44:O44" si="30">SUM(N41:N43)</f>
        <v>126</v>
      </c>
      <c r="O44" s="61">
        <f t="shared" si="30"/>
        <v>668.45492004910079</v>
      </c>
      <c r="P44" s="1">
        <f>+SUM(M44:O44)</f>
        <v>864.45492004910079</v>
      </c>
      <c r="Z44" s="6"/>
      <c r="AA44" s="6"/>
      <c r="AB44" s="4"/>
    </row>
    <row r="45" spans="1:40" x14ac:dyDescent="0.3">
      <c r="Z45" s="6"/>
      <c r="AA45" s="6"/>
      <c r="AB45" s="4"/>
    </row>
    <row r="46" spans="1:40" x14ac:dyDescent="0.3">
      <c r="Z46" s="6"/>
      <c r="AA46" s="6"/>
      <c r="AB46" s="4"/>
    </row>
    <row r="47" spans="1:40" x14ac:dyDescent="0.3">
      <c r="Z47" s="6"/>
      <c r="AA47" s="6"/>
      <c r="AB47" s="4"/>
    </row>
    <row r="48" spans="1:40" x14ac:dyDescent="0.3">
      <c r="Z48" s="6"/>
      <c r="AA48" s="6"/>
      <c r="AB48" s="4"/>
    </row>
    <row r="49" spans="26:28" x14ac:dyDescent="0.3">
      <c r="Z49" s="5"/>
      <c r="AA49" s="5"/>
      <c r="AB49" s="4"/>
    </row>
    <row r="50" spans="26:28" x14ac:dyDescent="0.3">
      <c r="Z50" s="4"/>
      <c r="AA50" s="4"/>
      <c r="AB50" s="4"/>
    </row>
    <row r="51" spans="26:28" x14ac:dyDescent="0.3">
      <c r="Z51" s="4"/>
      <c r="AA51" s="4"/>
      <c r="AB51" s="4"/>
    </row>
    <row r="52" spans="26:28" x14ac:dyDescent="0.3">
      <c r="Z52" s="4"/>
      <c r="AA52" s="4"/>
      <c r="AB52" s="4"/>
    </row>
    <row r="53" spans="26:28" x14ac:dyDescent="0.3">
      <c r="Z53" s="4"/>
      <c r="AA53" s="4"/>
      <c r="AB53" s="4"/>
    </row>
    <row r="54" spans="26:28" x14ac:dyDescent="0.3">
      <c r="Z54" s="4"/>
      <c r="AA54" s="4"/>
      <c r="AB54" s="4"/>
    </row>
    <row r="55" spans="26:28" x14ac:dyDescent="0.3">
      <c r="Z55" s="4"/>
      <c r="AA55" s="4"/>
      <c r="AB55" s="4"/>
    </row>
    <row r="56" spans="26:28" x14ac:dyDescent="0.3">
      <c r="Z56" s="4"/>
      <c r="AA56" s="4"/>
      <c r="AB56" s="4"/>
    </row>
  </sheetData>
  <mergeCells count="17">
    <mergeCell ref="Y3:AB3"/>
    <mergeCell ref="AC3:AF3"/>
    <mergeCell ref="AG3:AJ3"/>
    <mergeCell ref="AK3:AN3"/>
    <mergeCell ref="U3:X3"/>
    <mergeCell ref="A1:X1"/>
    <mergeCell ref="A2:X2"/>
    <mergeCell ref="A3:A4"/>
    <mergeCell ref="B3:B4"/>
    <mergeCell ref="C3:C4"/>
    <mergeCell ref="D3:D4"/>
    <mergeCell ref="E3:F3"/>
    <mergeCell ref="G3:G4"/>
    <mergeCell ref="H3:H4"/>
    <mergeCell ref="I3:L3"/>
    <mergeCell ref="M3:P3"/>
    <mergeCell ref="Q3:T3"/>
  </mergeCells>
  <pageMargins left="0.7" right="0.7" top="0.75" bottom="0.75" header="0.51180555555555496" footer="0.51180555555555496"/>
  <pageSetup scale="51" firstPageNumber="0" orientation="landscape" r:id="rId1"/>
  <headerFooter>
    <oddHeader xml:space="preserve">&amp;RPlan de Ejecución Plurianual (PEP) – RG - L1116
Página 1 de 1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D5BE399AB51F68478DF2B98B76F16F46" ma:contentTypeVersion="209" ma:contentTypeDescription="The base project type from which other project content types inherit their information." ma:contentTypeScope="" ma:versionID="3e56839fc54de54d292b32c52ec9a72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3d43f572da53c70be0d577ed05019c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CO-L1234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64A6ABEE1C97E40AE375EBA34DFCC25" ma:contentTypeVersion="419" ma:contentTypeDescription="A content type to manage public (operations) IDB documents" ma:contentTypeScope="" ma:versionID="d3ff7fda19ca3f5f77236b628ef035d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74185ce9f029abacc7fcaf7be47b3a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CO-L1234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R0002207934</Record_x0020_Number>
    <Key_x0020_Document xmlns="cdc7663a-08f0-4737-9e8c-148ce897a09c">false</Key_x0020_Document>
    <Division_x0020_or_x0020_Unit xmlns="cdc7663a-08f0-4737-9e8c-148ce897a09c">INE/TSP</Division_x0020_or_x0020_Unit>
    <IDBDocs_x0020_Number xmlns="cdc7663a-08f0-4737-9e8c-148ce897a09c" xsi:nil="true"/>
    <Document_x0020_Author xmlns="cdc7663a-08f0-4737-9e8c-148ce897a09c">Alonso Martin,Tania</Document_x0020_Author>
    <_dlc_DocId xmlns="cdc7663a-08f0-4737-9e8c-148ce897a09c">EZSHARE-980467396-16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Colombia</TermName>
          <TermId xmlns="http://schemas.microsoft.com/office/infopath/2007/PartnerControls">c7d386d6-75f3-4fc0-bde8-e021ccd68f5c</TermId>
        </TermInfo>
      </Terms>
    </ic46d7e087fd4a108fb86518ca413cc6>
    <TaxCatchAll xmlns="cdc7663a-08f0-4737-9e8c-148ce897a09c">
      <Value>136</Value>
      <Value>27</Value>
      <Value>31</Value>
      <Value>1</Value>
      <Value>28</Value>
    </TaxCatchAll>
    <Fiscal_x0020_Year_x0020_IDB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CO-L1234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>4572/OC-CO;</Approval_x0020_Number>
    <Business_x0020_Area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TRANSPORT (BUS /TRAIN /CABLE). INFRASTRUCTURE AND EQUIPMENT</TermName>
          <TermId xmlns="http://schemas.microsoft.com/office/infopath/2007/PartnerControls">17625d3d-875f-4c7c-b120-0c71f606e520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https://idbg.sharepoint.com/teams/EZ-CO-LON/CO-L1234/_layouts/15/DocIdRedir.aspx?ID=EZSHARE-980467396-16</Url>
      <Description>EZSHARE-980467396-16</Description>
    </_dlc_DocIdUrl>
    <Phase xmlns="cdc7663a-08f0-4737-9e8c-148ce897a09c" xsi:nil="true"/>
    <Other_x0020_Autho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8F37CFC9-557B-42AE-B870-828594BE0483}"/>
</file>

<file path=customXml/itemProps2.xml><?xml version="1.0" encoding="utf-8"?>
<ds:datastoreItem xmlns:ds="http://schemas.openxmlformats.org/officeDocument/2006/customXml" ds:itemID="{2F358B32-B871-4DBE-8CCE-BBA5DAC162CD}"/>
</file>

<file path=customXml/itemProps3.xml><?xml version="1.0" encoding="utf-8"?>
<ds:datastoreItem xmlns:ds="http://schemas.openxmlformats.org/officeDocument/2006/customXml" ds:itemID="{6395C198-8A71-4649-B91F-E0B85A8B69E8}"/>
</file>

<file path=customXml/itemProps4.xml><?xml version="1.0" encoding="utf-8"?>
<ds:datastoreItem xmlns:ds="http://schemas.openxmlformats.org/officeDocument/2006/customXml" ds:itemID="{A91C3AD8-D390-4C94-B36A-D91950B2DF4A}"/>
</file>

<file path=customXml/itemProps5.xml><?xml version="1.0" encoding="utf-8"?>
<ds:datastoreItem xmlns:ds="http://schemas.openxmlformats.org/officeDocument/2006/customXml" ds:itemID="{B502463B-FFE8-4D11-92F4-F2CA78653F50}"/>
</file>

<file path=customXml/itemProps6.xml><?xml version="1.0" encoding="utf-8"?>
<ds:datastoreItem xmlns:ds="http://schemas.openxmlformats.org/officeDocument/2006/customXml" ds:itemID="{3A997158-07A5-40DB-BB22-264A453A3FFD}"/>
</file>

<file path=customXml/itemProps7.xml><?xml version="1.0" encoding="utf-8"?>
<ds:datastoreItem xmlns:ds="http://schemas.openxmlformats.org/officeDocument/2006/customXml" ds:itemID="{48E8FE0E-CAC2-41D1-9DBF-6792A20C065E}"/>
</file>

<file path=customXml/itemProps8.xml><?xml version="1.0" encoding="utf-8"?>
<ds:datastoreItem xmlns:ds="http://schemas.openxmlformats.org/officeDocument/2006/customXml" ds:itemID="{7FDCCCAE-BBD1-4238-8CAA-B50B5F10C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PEP - POA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keywords/>
  <cp:lastModifiedBy>Sanz, Natalia Carla</cp:lastModifiedBy>
  <dcterms:created xsi:type="dcterms:W3CDTF">2018-03-13T19:16:54Z</dcterms:created>
  <dcterms:modified xsi:type="dcterms:W3CDTF">2018-07-05T21:03:33Z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RecordStorageActiveId">
    <vt:lpwstr>00235c10-366d-46de-8f46-4026a6c9251a</vt:lpwstr>
  </property>
  <property fmtid="{D5CDD505-2E9C-101B-9397-08002B2CF9AE}" pid="6" name="Series Operations IDB">
    <vt:lpwstr/>
  </property>
  <property fmtid="{D5CDD505-2E9C-101B-9397-08002B2CF9AE}" pid="7" name="Sub-Sector">
    <vt:lpwstr>136;#PUBLIC TRANSPORT (BUS /TRAIN /CABLE). INFRASTRUCTURE AND EQUIPMENT|17625d3d-875f-4c7c-b120-0c71f606e520</vt:lpwstr>
  </property>
  <property fmtid="{D5CDD505-2E9C-101B-9397-08002B2CF9AE}" pid="8" name="Country">
    <vt:lpwstr>27;#Colombia|c7d386d6-75f3-4fc0-bde8-e021ccd68f5c</vt:lpwstr>
  </property>
  <property fmtid="{D5CDD505-2E9C-101B-9397-08002B2CF9AE}" pid="9" name="Fund IDB">
    <vt:lpwstr>31;#ORC|c028a4b2-ad8b-4cf4-9cac-a2ae6a778e23</vt:lpwstr>
  </property>
  <property fmtid="{D5CDD505-2E9C-101B-9397-08002B2CF9AE}" pid="10" name="_dlc_DocIdItemGuid">
    <vt:lpwstr>5a3bdc47-e1be-4791-ba11-5bcc20b4b4a2</vt:lpwstr>
  </property>
  <property fmtid="{D5CDD505-2E9C-101B-9397-08002B2CF9AE}" pid="11" name="Sector IDB">
    <vt:lpwstr>28;#TRANSPORT|5a25d1a8-4baf-41a8-9e3b-e167accda6ea</vt:lpwstr>
  </property>
  <property fmtid="{D5CDD505-2E9C-101B-9397-08002B2CF9AE}" pid="12" name="Function Operations IDB">
    <vt:lpwstr>1;#Project Preparation, Planning and Design|29ca0c72-1fc4-435f-a09c-28585cb5eac9</vt:lpwstr>
  </property>
  <property fmtid="{D5CDD505-2E9C-101B-9397-08002B2CF9AE}" pid="13" name="Disclosure Activity">
    <vt:lpwstr>Loan Proposal</vt:lpwstr>
  </property>
  <property fmtid="{D5CDD505-2E9C-101B-9397-08002B2CF9AE}" pid="14" name="ContentTypeId">
    <vt:lpwstr>0x0101001A458A224826124E8B45B1D613300CFC00E64A6ABEE1C97E40AE375EBA34DFCC25</vt:lpwstr>
  </property>
</Properties>
</file>