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cat\Desktop\LOANS\2019\PE-L1230 Arnaldo Posadas\"/>
    </mc:Choice>
  </mc:AlternateContent>
  <xr:revisionPtr revIDLastSave="0" documentId="8_{6F85F9CB-FD3F-41E8-AAB6-6EF3E64800A7}" xr6:coauthVersionLast="43" xr6:coauthVersionMax="43" xr10:uidLastSave="{00000000-0000-0000-0000-000000000000}"/>
  <bookViews>
    <workbookView xWindow="1020" yWindow="30" windowWidth="24705" windowHeight="11820" xr2:uid="{979D9023-D17E-4747-918E-BFDFD0536B0F}"/>
  </bookViews>
  <sheets>
    <sheet name="Portada" sheetId="4" r:id="rId1"/>
    <sheet name="Costos" sheetId="2" r:id="rId2"/>
    <sheet name="Beneficios" sheetId="1" r:id="rId3"/>
    <sheet name="Calculos" sheetId="3" r:id="rId4"/>
    <sheet name="Resume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G62" i="3"/>
  <c r="F62" i="3"/>
  <c r="E62" i="3"/>
  <c r="D62" i="3"/>
  <c r="C62" i="3"/>
  <c r="B62" i="3"/>
  <c r="G41" i="3"/>
  <c r="F41" i="3"/>
  <c r="E41" i="3"/>
  <c r="D41" i="3"/>
  <c r="C41" i="3"/>
  <c r="B41" i="3"/>
  <c r="G21" i="3"/>
  <c r="F21" i="3"/>
  <c r="E21" i="3"/>
  <c r="D21" i="3"/>
  <c r="C21" i="3"/>
  <c r="B21" i="3"/>
  <c r="B6" i="3"/>
  <c r="B42" i="3" l="1"/>
  <c r="B22" i="3"/>
  <c r="B63" i="3"/>
  <c r="C29" i="2" l="1"/>
  <c r="F28" i="2"/>
  <c r="E28" i="2"/>
  <c r="G27" i="2"/>
  <c r="I26" i="2"/>
  <c r="H26" i="2"/>
  <c r="G26" i="2"/>
  <c r="F26" i="2"/>
  <c r="E26" i="2"/>
  <c r="D26" i="2"/>
  <c r="H25" i="2"/>
  <c r="G25" i="2"/>
  <c r="F25" i="2"/>
  <c r="E25" i="2"/>
  <c r="D25" i="2"/>
  <c r="E24" i="2"/>
  <c r="F24" i="2" s="1"/>
  <c r="G24" i="2" s="1"/>
  <c r="H24" i="2" s="1"/>
  <c r="H28" i="2"/>
  <c r="F27" i="2"/>
  <c r="C76" i="1"/>
  <c r="D18" i="1"/>
  <c r="C18" i="1"/>
  <c r="D72" i="1" s="1"/>
  <c r="D16" i="1"/>
  <c r="C16" i="1"/>
  <c r="D46" i="1" s="1"/>
  <c r="C50" i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26" i="1"/>
  <c r="C27" i="1" s="1"/>
  <c r="E25" i="1"/>
  <c r="F25" i="1" s="1"/>
  <c r="D25" i="1"/>
  <c r="D76" i="1" l="1"/>
  <c r="D75" i="1"/>
  <c r="F29" i="2"/>
  <c r="D27" i="2"/>
  <c r="H27" i="2"/>
  <c r="H29" i="2" s="1"/>
  <c r="I25" i="2"/>
  <c r="E27" i="2"/>
  <c r="E29" i="2" s="1"/>
  <c r="G28" i="2"/>
  <c r="G29" i="2" s="1"/>
  <c r="D28" i="2"/>
  <c r="D74" i="1"/>
  <c r="C77" i="1"/>
  <c r="D71" i="1"/>
  <c r="D73" i="1"/>
  <c r="D61" i="1"/>
  <c r="D60" i="1"/>
  <c r="D53" i="1"/>
  <c r="D52" i="1"/>
  <c r="D65" i="1"/>
  <c r="D57" i="1"/>
  <c r="D49" i="1"/>
  <c r="D64" i="1"/>
  <c r="D56" i="1"/>
  <c r="D48" i="1"/>
  <c r="D45" i="1"/>
  <c r="D63" i="1"/>
  <c r="D59" i="1"/>
  <c r="D55" i="1"/>
  <c r="D51" i="1"/>
  <c r="D47" i="1"/>
  <c r="D66" i="1"/>
  <c r="D62" i="1"/>
  <c r="D58" i="1"/>
  <c r="D54" i="1"/>
  <c r="D50" i="1"/>
  <c r="E26" i="1"/>
  <c r="F26" i="1" s="1"/>
  <c r="D26" i="1"/>
  <c r="C28" i="1"/>
  <c r="E27" i="1"/>
  <c r="F27" i="1" s="1"/>
  <c r="D27" i="1"/>
  <c r="C101" i="1" l="1"/>
  <c r="J101" i="1"/>
  <c r="I13" i="3" s="1"/>
  <c r="E101" i="1"/>
  <c r="D13" i="3" s="1"/>
  <c r="N101" i="1"/>
  <c r="M13" i="3" s="1"/>
  <c r="G101" i="1"/>
  <c r="F13" i="3" s="1"/>
  <c r="I101" i="1"/>
  <c r="H13" i="3" s="1"/>
  <c r="L101" i="1"/>
  <c r="K13" i="3" s="1"/>
  <c r="R101" i="1"/>
  <c r="Q13" i="3" s="1"/>
  <c r="K101" i="1"/>
  <c r="J13" i="3" s="1"/>
  <c r="H101" i="1"/>
  <c r="G13" i="3" s="1"/>
  <c r="Q101" i="1"/>
  <c r="P13" i="3" s="1"/>
  <c r="M101" i="1"/>
  <c r="L13" i="3" s="1"/>
  <c r="F101" i="1"/>
  <c r="E13" i="3" s="1"/>
  <c r="O101" i="1"/>
  <c r="N13" i="3" s="1"/>
  <c r="P101" i="1"/>
  <c r="O13" i="3" s="1"/>
  <c r="D101" i="1"/>
  <c r="C13" i="3" s="1"/>
  <c r="P108" i="1"/>
  <c r="O33" i="3" s="1"/>
  <c r="P115" i="1"/>
  <c r="O54" i="3" s="1"/>
  <c r="D108" i="1"/>
  <c r="C33" i="3" s="1"/>
  <c r="D115" i="1"/>
  <c r="C54" i="3" s="1"/>
  <c r="R115" i="1"/>
  <c r="Q54" i="3" s="1"/>
  <c r="J115" i="1"/>
  <c r="I54" i="3" s="1"/>
  <c r="J108" i="1"/>
  <c r="I33" i="3" s="1"/>
  <c r="C115" i="1"/>
  <c r="B54" i="3" s="1"/>
  <c r="C108" i="1"/>
  <c r="B33" i="3" s="1"/>
  <c r="B13" i="3"/>
  <c r="E115" i="1"/>
  <c r="D54" i="3" s="1"/>
  <c r="E108" i="1"/>
  <c r="D33" i="3" s="1"/>
  <c r="F115" i="1"/>
  <c r="E54" i="3" s="1"/>
  <c r="F108" i="1"/>
  <c r="E33" i="3" s="1"/>
  <c r="O115" i="1"/>
  <c r="N54" i="3" s="1"/>
  <c r="O108" i="1"/>
  <c r="C100" i="1"/>
  <c r="B12" i="3" s="1"/>
  <c r="C107" i="1"/>
  <c r="B32" i="3" s="1"/>
  <c r="C114" i="1"/>
  <c r="B53" i="3" s="1"/>
  <c r="N108" i="1"/>
  <c r="N115" i="1"/>
  <c r="M54" i="3" s="1"/>
  <c r="G115" i="1"/>
  <c r="F54" i="3" s="1"/>
  <c r="G108" i="1"/>
  <c r="F33" i="3" s="1"/>
  <c r="I115" i="1"/>
  <c r="H54" i="3" s="1"/>
  <c r="I108" i="1"/>
  <c r="H33" i="3" s="1"/>
  <c r="L115" i="1"/>
  <c r="K54" i="3" s="1"/>
  <c r="L108" i="1"/>
  <c r="K33" i="3" s="1"/>
  <c r="R108" i="1"/>
  <c r="Q33" i="3" s="1"/>
  <c r="K115" i="1"/>
  <c r="J54" i="3" s="1"/>
  <c r="K108" i="1"/>
  <c r="J33" i="3" s="1"/>
  <c r="H108" i="1"/>
  <c r="G33" i="3" s="1"/>
  <c r="H115" i="1"/>
  <c r="G54" i="3" s="1"/>
  <c r="Q108" i="1"/>
  <c r="P33" i="3" s="1"/>
  <c r="Q115" i="1"/>
  <c r="P54" i="3" s="1"/>
  <c r="M115" i="1"/>
  <c r="L54" i="3" s="1"/>
  <c r="M108" i="1"/>
  <c r="L33" i="3" s="1"/>
  <c r="I28" i="2"/>
  <c r="D29" i="2"/>
  <c r="I27" i="2"/>
  <c r="I29" i="2" s="1"/>
  <c r="C78" i="1"/>
  <c r="D77" i="1"/>
  <c r="E28" i="1"/>
  <c r="F28" i="1" s="1"/>
  <c r="D28" i="1"/>
  <c r="C29" i="1"/>
  <c r="B56" i="3" l="1"/>
  <c r="B15" i="3"/>
  <c r="B20" i="3" s="1"/>
  <c r="E100" i="1"/>
  <c r="D12" i="3" s="1"/>
  <c r="E107" i="1"/>
  <c r="D32" i="3" s="1"/>
  <c r="E114" i="1"/>
  <c r="D53" i="3" s="1"/>
  <c r="M33" i="3"/>
  <c r="N33" i="3"/>
  <c r="C12" i="3"/>
  <c r="D107" i="1"/>
  <c r="C32" i="3" s="1"/>
  <c r="D100" i="1"/>
  <c r="D114" i="1"/>
  <c r="C53" i="3" s="1"/>
  <c r="C102" i="1"/>
  <c r="B14" i="3" s="1"/>
  <c r="C116" i="1"/>
  <c r="C109" i="1"/>
  <c r="B34" i="3" s="1"/>
  <c r="B35" i="3" s="1"/>
  <c r="B61" i="3"/>
  <c r="B57" i="3"/>
  <c r="B64" i="3" s="1"/>
  <c r="D78" i="1"/>
  <c r="C79" i="1"/>
  <c r="E29" i="1"/>
  <c r="F29" i="1" s="1"/>
  <c r="C30" i="1"/>
  <c r="D29" i="1"/>
  <c r="B16" i="3" l="1"/>
  <c r="B23" i="3" s="1"/>
  <c r="C117" i="1"/>
  <c r="B55" i="3"/>
  <c r="B36" i="3"/>
  <c r="B43" i="3" s="1"/>
  <c r="B40" i="3"/>
  <c r="D102" i="1"/>
  <c r="C14" i="3" s="1"/>
  <c r="C15" i="3" s="1"/>
  <c r="C16" i="3" s="1"/>
  <c r="C23" i="3" s="1"/>
  <c r="D116" i="1"/>
  <c r="D109" i="1"/>
  <c r="C34" i="3" s="1"/>
  <c r="C35" i="3" s="1"/>
  <c r="F100" i="1"/>
  <c r="E12" i="3" s="1"/>
  <c r="F114" i="1"/>
  <c r="F107" i="1"/>
  <c r="E32" i="3" s="1"/>
  <c r="C20" i="3"/>
  <c r="D79" i="1"/>
  <c r="C80" i="1"/>
  <c r="C31" i="1"/>
  <c r="E30" i="1"/>
  <c r="F30" i="1" s="1"/>
  <c r="D30" i="1"/>
  <c r="C103" i="1"/>
  <c r="D117" i="1" l="1"/>
  <c r="C55" i="3"/>
  <c r="C56" i="3" s="1"/>
  <c r="D103" i="1"/>
  <c r="C36" i="3"/>
  <c r="C43" i="3" s="1"/>
  <c r="C40" i="3"/>
  <c r="E102" i="1"/>
  <c r="D14" i="3" s="1"/>
  <c r="D15" i="3" s="1"/>
  <c r="D20" i="3" s="1"/>
  <c r="E116" i="1"/>
  <c r="E109" i="1"/>
  <c r="D34" i="3" s="1"/>
  <c r="D35" i="3" s="1"/>
  <c r="G100" i="1"/>
  <c r="F12" i="3" s="1"/>
  <c r="G114" i="1"/>
  <c r="G107" i="1"/>
  <c r="F32" i="3" s="1"/>
  <c r="E53" i="3"/>
  <c r="D80" i="1"/>
  <c r="C81" i="1"/>
  <c r="C32" i="1"/>
  <c r="E31" i="1"/>
  <c r="F31" i="1" s="1"/>
  <c r="D31" i="1"/>
  <c r="E117" i="1" l="1"/>
  <c r="D55" i="3"/>
  <c r="D56" i="3" s="1"/>
  <c r="C57" i="3"/>
  <c r="C64" i="3" s="1"/>
  <c r="C61" i="3"/>
  <c r="D16" i="3"/>
  <c r="D23" i="3" s="1"/>
  <c r="E103" i="1"/>
  <c r="F53" i="3"/>
  <c r="F102" i="1"/>
  <c r="E14" i="3" s="1"/>
  <c r="E15" i="3" s="1"/>
  <c r="E16" i="3" s="1"/>
  <c r="E23" i="3" s="1"/>
  <c r="F116" i="1"/>
  <c r="F109" i="1"/>
  <c r="E34" i="3" s="1"/>
  <c r="E35" i="3" s="1"/>
  <c r="H100" i="1"/>
  <c r="G12" i="3" s="1"/>
  <c r="H114" i="1"/>
  <c r="H107" i="1"/>
  <c r="G32" i="3" s="1"/>
  <c r="D40" i="3"/>
  <c r="D36" i="3"/>
  <c r="D43" i="3" s="1"/>
  <c r="D81" i="1"/>
  <c r="C82" i="1"/>
  <c r="C33" i="1"/>
  <c r="E32" i="1"/>
  <c r="F32" i="1" s="1"/>
  <c r="D32" i="1"/>
  <c r="D57" i="3" l="1"/>
  <c r="D64" i="3" s="1"/>
  <c r="D61" i="3"/>
  <c r="F117" i="1"/>
  <c r="E55" i="3"/>
  <c r="E56" i="3" s="1"/>
  <c r="E20" i="3"/>
  <c r="G102" i="1"/>
  <c r="F14" i="3" s="1"/>
  <c r="F15" i="3" s="1"/>
  <c r="F20" i="3" s="1"/>
  <c r="G109" i="1"/>
  <c r="F34" i="3" s="1"/>
  <c r="F35" i="3" s="1"/>
  <c r="G116" i="1"/>
  <c r="I100" i="1"/>
  <c r="H12" i="3" s="1"/>
  <c r="I107" i="1"/>
  <c r="H32" i="3" s="1"/>
  <c r="I114" i="1"/>
  <c r="G53" i="3"/>
  <c r="E40" i="3"/>
  <c r="E36" i="3"/>
  <c r="E43" i="3" s="1"/>
  <c r="D82" i="1"/>
  <c r="C83" i="1"/>
  <c r="F103" i="1"/>
  <c r="C34" i="1"/>
  <c r="E33" i="1"/>
  <c r="F33" i="1" s="1"/>
  <c r="D33" i="1"/>
  <c r="G117" i="1" l="1"/>
  <c r="F55" i="3"/>
  <c r="F56" i="3" s="1"/>
  <c r="E61" i="3"/>
  <c r="E57" i="3"/>
  <c r="E64" i="3" s="1"/>
  <c r="F16" i="3"/>
  <c r="F23" i="3" s="1"/>
  <c r="J114" i="1"/>
  <c r="J107" i="1"/>
  <c r="I32" i="3" s="1"/>
  <c r="H102" i="1"/>
  <c r="G14" i="3" s="1"/>
  <c r="G15" i="3" s="1"/>
  <c r="G20" i="3" s="1"/>
  <c r="H116" i="1"/>
  <c r="H109" i="1"/>
  <c r="G34" i="3" s="1"/>
  <c r="G35" i="3" s="1"/>
  <c r="H53" i="3"/>
  <c r="F40" i="3"/>
  <c r="F36" i="3"/>
  <c r="F43" i="3" s="1"/>
  <c r="J100" i="1"/>
  <c r="I12" i="3" s="1"/>
  <c r="D83" i="1"/>
  <c r="C84" i="1"/>
  <c r="C35" i="1"/>
  <c r="E34" i="1"/>
  <c r="F34" i="1" s="1"/>
  <c r="D34" i="1"/>
  <c r="G103" i="1"/>
  <c r="H103" i="1"/>
  <c r="H117" i="1" l="1"/>
  <c r="G55" i="3"/>
  <c r="G56" i="3" s="1"/>
  <c r="F57" i="3"/>
  <c r="F64" i="3" s="1"/>
  <c r="F61" i="3"/>
  <c r="G16" i="3"/>
  <c r="G23" i="3" s="1"/>
  <c r="I102" i="1"/>
  <c r="H14" i="3" s="1"/>
  <c r="H15" i="3" s="1"/>
  <c r="H20" i="3" s="1"/>
  <c r="I109" i="1"/>
  <c r="H34" i="3" s="1"/>
  <c r="H35" i="3" s="1"/>
  <c r="I116" i="1"/>
  <c r="I53" i="3"/>
  <c r="G40" i="3"/>
  <c r="G36" i="3"/>
  <c r="G43" i="3" s="1"/>
  <c r="K114" i="1"/>
  <c r="K107" i="1"/>
  <c r="J32" i="3" s="1"/>
  <c r="K100" i="1"/>
  <c r="J12" i="3" s="1"/>
  <c r="D84" i="1"/>
  <c r="C85" i="1"/>
  <c r="C36" i="1"/>
  <c r="E35" i="1"/>
  <c r="F35" i="1" s="1"/>
  <c r="D35" i="1"/>
  <c r="G61" i="3" l="1"/>
  <c r="G57" i="3"/>
  <c r="G64" i="3" s="1"/>
  <c r="I117" i="1"/>
  <c r="H55" i="3"/>
  <c r="H56" i="3" s="1"/>
  <c r="H16" i="3"/>
  <c r="H23" i="3" s="1"/>
  <c r="J53" i="3"/>
  <c r="J109" i="1"/>
  <c r="I34" i="3" s="1"/>
  <c r="I35" i="3" s="1"/>
  <c r="J116" i="1"/>
  <c r="H40" i="3"/>
  <c r="H36" i="3"/>
  <c r="H43" i="3" s="1"/>
  <c r="L114" i="1"/>
  <c r="L107" i="1"/>
  <c r="J102" i="1"/>
  <c r="I14" i="3" s="1"/>
  <c r="I15" i="3" s="1"/>
  <c r="I16" i="3" s="1"/>
  <c r="I23" i="3" s="1"/>
  <c r="C110" i="1"/>
  <c r="L100" i="1"/>
  <c r="K12" i="3" s="1"/>
  <c r="D85" i="1"/>
  <c r="C86" i="1"/>
  <c r="I103" i="1"/>
  <c r="C37" i="1"/>
  <c r="D36" i="1"/>
  <c r="E36" i="1"/>
  <c r="F36" i="1" s="1"/>
  <c r="J117" i="1" l="1"/>
  <c r="I55" i="3"/>
  <c r="I56" i="3" s="1"/>
  <c r="H57" i="3"/>
  <c r="H64" i="3" s="1"/>
  <c r="H61" i="3"/>
  <c r="I20" i="3"/>
  <c r="J103" i="1"/>
  <c r="M107" i="1"/>
  <c r="M114" i="1"/>
  <c r="K32" i="3"/>
  <c r="K109" i="1"/>
  <c r="J34" i="3" s="1"/>
  <c r="J35" i="3" s="1"/>
  <c r="K116" i="1"/>
  <c r="K53" i="3"/>
  <c r="I36" i="3"/>
  <c r="I43" i="3" s="1"/>
  <c r="I40" i="3"/>
  <c r="K102" i="1"/>
  <c r="J14" i="3" s="1"/>
  <c r="J15" i="3" s="1"/>
  <c r="J20" i="3" s="1"/>
  <c r="D110" i="1"/>
  <c r="M100" i="1"/>
  <c r="L12" i="3" s="1"/>
  <c r="D86" i="1"/>
  <c r="C87" i="1"/>
  <c r="C38" i="1"/>
  <c r="E37" i="1"/>
  <c r="F37" i="1" s="1"/>
  <c r="D37" i="1"/>
  <c r="K103" i="1"/>
  <c r="J16" i="3" l="1"/>
  <c r="J23" i="3" s="1"/>
  <c r="K117" i="1"/>
  <c r="J55" i="3"/>
  <c r="J56" i="3" s="1"/>
  <c r="I57" i="3"/>
  <c r="I64" i="3" s="1"/>
  <c r="I61" i="3"/>
  <c r="L116" i="1"/>
  <c r="L109" i="1"/>
  <c r="L53" i="3"/>
  <c r="N114" i="1"/>
  <c r="N107" i="1"/>
  <c r="J40" i="3"/>
  <c r="J36" i="3"/>
  <c r="J43" i="3" s="1"/>
  <c r="L32" i="3"/>
  <c r="L102" i="1"/>
  <c r="K14" i="3" s="1"/>
  <c r="K15" i="3" s="1"/>
  <c r="K16" i="3" s="1"/>
  <c r="K23" i="3" s="1"/>
  <c r="B25" i="3" s="1"/>
  <c r="E110" i="1"/>
  <c r="N100" i="1"/>
  <c r="M12" i="3" s="1"/>
  <c r="D87" i="1"/>
  <c r="C88" i="1"/>
  <c r="C39" i="1"/>
  <c r="E38" i="1"/>
  <c r="F38" i="1" s="1"/>
  <c r="D38" i="1"/>
  <c r="L117" i="1" l="1"/>
  <c r="K55" i="3"/>
  <c r="K56" i="3" s="1"/>
  <c r="J57" i="3"/>
  <c r="J64" i="3" s="1"/>
  <c r="J61" i="3"/>
  <c r="O107" i="1"/>
  <c r="O114" i="1"/>
  <c r="M53" i="3"/>
  <c r="M116" i="1"/>
  <c r="M109" i="1"/>
  <c r="M32" i="3"/>
  <c r="K34" i="3"/>
  <c r="K35" i="3" s="1"/>
  <c r="L110" i="1"/>
  <c r="K20" i="3"/>
  <c r="M102" i="1"/>
  <c r="L14" i="3" s="1"/>
  <c r="L15" i="3" s="1"/>
  <c r="L16" i="3" s="1"/>
  <c r="L23" i="3" s="1"/>
  <c r="F110" i="1"/>
  <c r="O100" i="1"/>
  <c r="N12" i="3" s="1"/>
  <c r="D88" i="1"/>
  <c r="C89" i="1"/>
  <c r="L103" i="1"/>
  <c r="C40" i="1"/>
  <c r="E39" i="1"/>
  <c r="F39" i="1" s="1"/>
  <c r="D39" i="1"/>
  <c r="M117" i="1" l="1"/>
  <c r="L55" i="3"/>
  <c r="L56" i="3" s="1"/>
  <c r="K57" i="3"/>
  <c r="K64" i="3" s="1"/>
  <c r="B66" i="3" s="1"/>
  <c r="K61" i="3"/>
  <c r="M103" i="1"/>
  <c r="K36" i="3"/>
  <c r="K43" i="3" s="1"/>
  <c r="B45" i="3" s="1"/>
  <c r="K40" i="3"/>
  <c r="P114" i="1"/>
  <c r="P107" i="1"/>
  <c r="N116" i="1"/>
  <c r="N109" i="1"/>
  <c r="N53" i="3"/>
  <c r="L34" i="3"/>
  <c r="L35" i="3" s="1"/>
  <c r="M110" i="1"/>
  <c r="N32" i="3"/>
  <c r="L20" i="3"/>
  <c r="P100" i="1"/>
  <c r="O12" i="3" s="1"/>
  <c r="N102" i="1"/>
  <c r="M14" i="3" s="1"/>
  <c r="M15" i="3" s="1"/>
  <c r="M16" i="3" s="1"/>
  <c r="M23" i="3" s="1"/>
  <c r="G110" i="1"/>
  <c r="D89" i="1"/>
  <c r="C90" i="1"/>
  <c r="E40" i="1"/>
  <c r="F40" i="1" s="1"/>
  <c r="D40" i="1"/>
  <c r="N117" i="1" l="1"/>
  <c r="M55" i="3"/>
  <c r="M56" i="3" s="1"/>
  <c r="L57" i="3"/>
  <c r="L64" i="3" s="1"/>
  <c r="L61" i="3"/>
  <c r="N103" i="1"/>
  <c r="O32" i="3"/>
  <c r="Q107" i="1"/>
  <c r="Q114" i="1"/>
  <c r="O109" i="1"/>
  <c r="O116" i="1"/>
  <c r="L40" i="3"/>
  <c r="L36" i="3"/>
  <c r="L43" i="3" s="1"/>
  <c r="R114" i="1"/>
  <c r="R107" i="1"/>
  <c r="O53" i="3"/>
  <c r="M34" i="3"/>
  <c r="M35" i="3" s="1"/>
  <c r="N110" i="1"/>
  <c r="M20" i="3"/>
  <c r="O102" i="1"/>
  <c r="N14" i="3" s="1"/>
  <c r="N15" i="3" s="1"/>
  <c r="H110" i="1"/>
  <c r="R100" i="1"/>
  <c r="Q12" i="3" s="1"/>
  <c r="Q100" i="1"/>
  <c r="P12" i="3" s="1"/>
  <c r="N20" i="3"/>
  <c r="N16" i="3"/>
  <c r="N23" i="3" s="1"/>
  <c r="D90" i="1"/>
  <c r="C91" i="1"/>
  <c r="O117" i="1" l="1"/>
  <c r="N55" i="3"/>
  <c r="N56" i="3" s="1"/>
  <c r="M61" i="3"/>
  <c r="M57" i="3"/>
  <c r="M64" i="3" s="1"/>
  <c r="M40" i="3"/>
  <c r="M36" i="3"/>
  <c r="M43" i="3" s="1"/>
  <c r="P53" i="3"/>
  <c r="P32" i="3"/>
  <c r="Q32" i="3"/>
  <c r="P109" i="1"/>
  <c r="P116" i="1"/>
  <c r="Q53" i="3"/>
  <c r="N34" i="3"/>
  <c r="N35" i="3" s="1"/>
  <c r="O110" i="1"/>
  <c r="P102" i="1"/>
  <c r="O14" i="3" s="1"/>
  <c r="O15" i="3" s="1"/>
  <c r="O20" i="3" s="1"/>
  <c r="I110" i="1"/>
  <c r="D91" i="1"/>
  <c r="C92" i="1"/>
  <c r="D92" i="1" s="1"/>
  <c r="O103" i="1"/>
  <c r="O16" i="3" l="1"/>
  <c r="O23" i="3" s="1"/>
  <c r="N61" i="3"/>
  <c r="N57" i="3"/>
  <c r="N64" i="3" s="1"/>
  <c r="P117" i="1"/>
  <c r="O55" i="3"/>
  <c r="O56" i="3" s="1"/>
  <c r="N40" i="3"/>
  <c r="N36" i="3"/>
  <c r="N43" i="3" s="1"/>
  <c r="O34" i="3"/>
  <c r="O35" i="3" s="1"/>
  <c r="P110" i="1"/>
  <c r="R116" i="1"/>
  <c r="R109" i="1"/>
  <c r="Q116" i="1"/>
  <c r="Q109" i="1"/>
  <c r="R102" i="1"/>
  <c r="Q14" i="3" s="1"/>
  <c r="Q15" i="3" s="1"/>
  <c r="Q20" i="3" s="1"/>
  <c r="K110" i="1"/>
  <c r="Q102" i="1"/>
  <c r="P14" i="3" s="1"/>
  <c r="P15" i="3" s="1"/>
  <c r="P16" i="3" s="1"/>
  <c r="P23" i="3" s="1"/>
  <c r="J110" i="1"/>
  <c r="P103" i="1"/>
  <c r="Q117" i="1" l="1"/>
  <c r="P55" i="3"/>
  <c r="P56" i="3" s="1"/>
  <c r="O57" i="3"/>
  <c r="O64" i="3" s="1"/>
  <c r="O61" i="3"/>
  <c r="R117" i="1"/>
  <c r="Q55" i="3"/>
  <c r="Q56" i="3" s="1"/>
  <c r="P20" i="3"/>
  <c r="B24" i="3" s="1"/>
  <c r="B3" i="5" s="1"/>
  <c r="Q16" i="3"/>
  <c r="Q23" i="3" s="1"/>
  <c r="P34" i="3"/>
  <c r="P35" i="3" s="1"/>
  <c r="Q110" i="1"/>
  <c r="B17" i="3"/>
  <c r="B26" i="3" s="1"/>
  <c r="B4" i="5" s="1"/>
  <c r="Q34" i="3"/>
  <c r="Q35" i="3" s="1"/>
  <c r="R110" i="1"/>
  <c r="O40" i="3"/>
  <c r="O36" i="3"/>
  <c r="O43" i="3" s="1"/>
  <c r="B27" i="3"/>
  <c r="B5" i="5" s="1"/>
  <c r="Q103" i="1"/>
  <c r="Q61" i="3" l="1"/>
  <c r="Q57" i="3"/>
  <c r="Q64" i="3" s="1"/>
  <c r="P57" i="3"/>
  <c r="P64" i="3" s="1"/>
  <c r="B58" i="3"/>
  <c r="B67" i="3" s="1"/>
  <c r="D4" i="5" s="1"/>
  <c r="P61" i="3"/>
  <c r="B68" i="3" s="1"/>
  <c r="D5" i="5" s="1"/>
  <c r="P40" i="3"/>
  <c r="P36" i="3"/>
  <c r="P43" i="3" s="1"/>
  <c r="Q40" i="3"/>
  <c r="Q36" i="3"/>
  <c r="Q43" i="3" s="1"/>
  <c r="B37" i="3"/>
  <c r="B46" i="3" s="1"/>
  <c r="C4" i="5" s="1"/>
  <c r="R103" i="1"/>
  <c r="B65" i="3" l="1"/>
  <c r="D3" i="5" s="1"/>
  <c r="B44" i="3"/>
  <c r="C3" i="5" s="1"/>
  <c r="B47" i="3"/>
  <c r="C5" i="5" s="1"/>
</calcChain>
</file>

<file path=xl/sharedStrings.xml><?xml version="1.0" encoding="utf-8"?>
<sst xmlns="http://schemas.openxmlformats.org/spreadsheetml/2006/main" count="161" uniqueCount="100">
  <si>
    <t>Supuestos</t>
  </si>
  <si>
    <t>Tasa de descuento</t>
  </si>
  <si>
    <t>Año</t>
  </si>
  <si>
    <t>Δpost-intervención</t>
  </si>
  <si>
    <t>Tabla 2: Valor monetario de los beneficios</t>
  </si>
  <si>
    <t>Concepto</t>
  </si>
  <si>
    <t>Total de beneficios</t>
  </si>
  <si>
    <t>Fuente</t>
  </si>
  <si>
    <t>Beneficios Estimados</t>
  </si>
  <si>
    <t>Tipo de cambio a promedio 2013-.2017 (Soles/Dólar)</t>
  </si>
  <si>
    <t>Tasa de crecimiento de notificaciones</t>
  </si>
  <si>
    <t>Número de Notificaciones nacional</t>
  </si>
  <si>
    <t>Costo Notificacion Sin Proyecto</t>
  </si>
  <si>
    <t>Costo Notificacion Con proyecto</t>
  </si>
  <si>
    <t>Sin proyecto</t>
  </si>
  <si>
    <t>Con proyecto</t>
  </si>
  <si>
    <t>Diferencia</t>
  </si>
  <si>
    <t>PE L1230 Programa de interoperabilidad</t>
  </si>
  <si>
    <t>Salario mínimo por hora para trabajadores en ocupación no calificada (Decreto supremo 2018)</t>
  </si>
  <si>
    <t>Ministerio público 2019</t>
  </si>
  <si>
    <t>Bloomberg (19/21/2019)</t>
  </si>
  <si>
    <t>Decreto supremo  Nº 004-2018-TR</t>
  </si>
  <si>
    <t>Costo de la notificacion en el que incurre el MP (Soles)</t>
  </si>
  <si>
    <t>Costo de transaccion para el ciudadano que necesita conocer el estado de su caso</t>
  </si>
  <si>
    <t>Tiempo en oficinas del ministerio publico ciudadano para saber el estado de su caso (Horas)</t>
  </si>
  <si>
    <t>Tiempo de desplazamiento ciudadano (Horas)</t>
  </si>
  <si>
    <t>Valor Salario minimo por hora  (Soles)</t>
  </si>
  <si>
    <t>Valor Honorarios Abogado Hora (Soles)</t>
  </si>
  <si>
    <t>Costo de transporte Peru ida y regreso (Soles)</t>
  </si>
  <si>
    <t>Honorarios abogado en tramitar documentacion, evidencia y defensa ante el MP</t>
  </si>
  <si>
    <t>Ahorro en notificaciones del Ministerio público a las partes</t>
  </si>
  <si>
    <t>Ahorro en costos de transaccion de los ciudadanos que pueden consultar el estado de su caso en línea</t>
  </si>
  <si>
    <t>Número de Casos procesados por el Ministerio público</t>
  </si>
  <si>
    <t>Costo transaccion Ciudadano</t>
  </si>
  <si>
    <t>Costo honorario abogado en documentacion</t>
  </si>
  <si>
    <t>Colegio abogados de Lima</t>
  </si>
  <si>
    <t>Tiempo en oficinas del Ministerio publico adjuntando documentacion y material probatorio (Horas)</t>
  </si>
  <si>
    <t>Calculos propios</t>
  </si>
  <si>
    <t>Datos de Costos</t>
  </si>
  <si>
    <t>Año de inicio del proyecto</t>
  </si>
  <si>
    <t>Se utiliza el presupuesto redistribuido que se presenta en la Evaluación de medio término</t>
  </si>
  <si>
    <t>Gastos administrativos (monitoreo, auditoría, imprevistos)</t>
  </si>
  <si>
    <t>Año 1</t>
  </si>
  <si>
    <t>Año 2</t>
  </si>
  <si>
    <t>Año 3</t>
  </si>
  <si>
    <t>Año 4</t>
  </si>
  <si>
    <t>Año 5</t>
  </si>
  <si>
    <t>Costos a considerar</t>
  </si>
  <si>
    <t>Todos</t>
  </si>
  <si>
    <t>Componente</t>
  </si>
  <si>
    <t>Inversión Total</t>
  </si>
  <si>
    <t>Fortalecimiento capacidad institucional</t>
  </si>
  <si>
    <t>Acciones de preveición de la violencia</t>
  </si>
  <si>
    <t>Acciones para rehabilitción y reinserción</t>
  </si>
  <si>
    <t>Coordinación y administración del programa</t>
  </si>
  <si>
    <t>Costo Total</t>
  </si>
  <si>
    <t>PE-L1230</t>
  </si>
  <si>
    <t>BENEFITS</t>
  </si>
  <si>
    <t>Total (USD)</t>
  </si>
  <si>
    <t>NPV  benefits</t>
  </si>
  <si>
    <t>Subtotal NPV benefiits</t>
  </si>
  <si>
    <t>COSTS</t>
  </si>
  <si>
    <t>investment cost (BID loan)</t>
  </si>
  <si>
    <t>cash flow</t>
  </si>
  <si>
    <t>NPV costs</t>
  </si>
  <si>
    <t>Subtotal NPV costs</t>
  </si>
  <si>
    <t>NPV benefits-NPV costs</t>
  </si>
  <si>
    <t>NPV</t>
  </si>
  <si>
    <t>NVP</t>
  </si>
  <si>
    <t>BCR</t>
  </si>
  <si>
    <t>IRR</t>
  </si>
  <si>
    <t>Analisis economico PE-1230</t>
  </si>
  <si>
    <t>Ahorro en honorarios de los abogados que pueden subir la documentación de forma digital</t>
  </si>
  <si>
    <t>Escenario base</t>
  </si>
  <si>
    <t>Escenario conservador</t>
  </si>
  <si>
    <t>Escenario optimista</t>
  </si>
  <si>
    <t>Inversión BID y contrapartida</t>
  </si>
  <si>
    <t>Análisis de Costo-Beneficio Ex-Post</t>
  </si>
  <si>
    <t>1. CBA</t>
  </si>
  <si>
    <t>2. Costos</t>
  </si>
  <si>
    <t>Componente I: Aumento de la eficiencia del SAJP</t>
  </si>
  <si>
    <t xml:space="preserve">Componente II Aumento de la calidad de la investigación criminal </t>
  </si>
  <si>
    <t>Componente III Mejoramiento del acceso a los servicios de administración de justicia penal</t>
  </si>
  <si>
    <t>Se utiliza el flujo de desembolsos establecido en el POD</t>
  </si>
  <si>
    <t>Tabla 1: Escenario base</t>
  </si>
  <si>
    <t>Porcentaje implementacion (Base)</t>
  </si>
  <si>
    <t>Porcentaje implementacion (Conservador)</t>
  </si>
  <si>
    <t>Porcentaje implementación (Optimista)</t>
  </si>
  <si>
    <t>Porcentaje de adopción (Base)</t>
  </si>
  <si>
    <t>Porcentaje de adopción (Conservador)</t>
  </si>
  <si>
    <t>Porcentaje de adopción (Optimista)</t>
  </si>
  <si>
    <t>3. Beneficios</t>
  </si>
  <si>
    <t>Valor presente Neto</t>
  </si>
  <si>
    <t>Conservador</t>
  </si>
  <si>
    <t>Optimista</t>
  </si>
  <si>
    <t>Base</t>
  </si>
  <si>
    <t>Razón costo beneficio</t>
  </si>
  <si>
    <t>Tasa Interna de Retorno</t>
  </si>
  <si>
    <t>Este archivo contiene un análisis costo-beneficio  Ex-ante del Programa PE L1230</t>
  </si>
  <si>
    <t>4. Resumen CBA Ex-ante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</si>
</sst>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%"/>
    <numFmt numFmtId="166" formatCode="_(* #,##0_);_(* \(#,##0\);_(* &quot;-&quot;??_);_(@_)"/>
    <numFmt numFmtId="167" formatCode="&quot;$&quot;#,##0.0"/>
    <numFmt numFmtId="168" formatCode="_(&quot;$&quot;* #,##0_);_(&quot;$&quot;* \(#,##0\);_(&quot;$&quot;* &quot;-&quot;??_);_(@_)"/>
    <numFmt numFmtId="169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9FDF8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9" fontId="0" fillId="0" borderId="0" xfId="3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3" applyNumberFormat="1" applyFont="1" applyAlignment="1">
      <alignment horizontal="center"/>
    </xf>
    <xf numFmtId="3" fontId="0" fillId="0" borderId="0" xfId="0" applyNumberFormat="1"/>
    <xf numFmtId="9" fontId="0" fillId="0" borderId="0" xfId="3" applyFont="1"/>
    <xf numFmtId="166" fontId="0" fillId="0" borderId="0" xfId="1" applyNumberFormat="1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167" fontId="0" fillId="0" borderId="0" xfId="2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167" fontId="2" fillId="0" borderId="1" xfId="2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/>
    <xf numFmtId="44" fontId="0" fillId="0" borderId="0" xfId="2" applyFont="1" applyAlignment="1">
      <alignment horizontal="center"/>
    </xf>
    <xf numFmtId="168" fontId="0" fillId="0" borderId="0" xfId="2" applyNumberFormat="1" applyFont="1" applyAlignment="1">
      <alignment horizontal="center"/>
    </xf>
    <xf numFmtId="164" fontId="0" fillId="0" borderId="0" xfId="2" applyNumberFormat="1" applyFont="1" applyAlignment="1">
      <alignment horizontal="left"/>
    </xf>
    <xf numFmtId="165" fontId="0" fillId="0" borderId="0" xfId="3" applyNumberFormat="1" applyFont="1" applyAlignment="1">
      <alignment horizontal="left"/>
    </xf>
    <xf numFmtId="1" fontId="0" fillId="0" borderId="0" xfId="3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9" fontId="0" fillId="0" borderId="0" xfId="2" applyNumberFormat="1" applyFont="1" applyAlignment="1">
      <alignment horizontal="center"/>
    </xf>
    <xf numFmtId="0" fontId="4" fillId="0" borderId="0" xfId="0" applyFont="1"/>
    <xf numFmtId="0" fontId="7" fillId="0" borderId="1" xfId="0" applyFont="1" applyBorder="1"/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3"/>
    </xf>
    <xf numFmtId="167" fontId="0" fillId="0" borderId="0" xfId="2" applyNumberFormat="1" applyFont="1" applyAlignment="1">
      <alignment horizontal="center" vertical="center"/>
    </xf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7"/>
    </xf>
    <xf numFmtId="0" fontId="9" fillId="2" borderId="0" xfId="0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0" fontId="7" fillId="0" borderId="3" xfId="0" applyFont="1" applyBorder="1"/>
    <xf numFmtId="168" fontId="7" fillId="0" borderId="3" xfId="0" applyNumberFormat="1" applyFont="1" applyBorder="1" applyAlignment="1">
      <alignment horizontal="right"/>
    </xf>
    <xf numFmtId="3" fontId="10" fillId="0" borderId="0" xfId="0" applyNumberFormat="1" applyFont="1"/>
    <xf numFmtId="43" fontId="0" fillId="0" borderId="0" xfId="1" applyFont="1"/>
    <xf numFmtId="0" fontId="2" fillId="4" borderId="0" xfId="0" applyFont="1" applyFill="1"/>
    <xf numFmtId="43" fontId="0" fillId="4" borderId="0" xfId="1" applyFont="1" applyFill="1"/>
    <xf numFmtId="0" fontId="0" fillId="4" borderId="0" xfId="0" applyFill="1"/>
    <xf numFmtId="0" fontId="2" fillId="0" borderId="0" xfId="0" applyFont="1"/>
    <xf numFmtId="0" fontId="0" fillId="5" borderId="4" xfId="0" applyFill="1" applyBorder="1" applyAlignment="1">
      <alignment horizontal="center"/>
    </xf>
    <xf numFmtId="0" fontId="0" fillId="5" borderId="4" xfId="1" applyNumberFormat="1" applyFont="1" applyFill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166" fontId="0" fillId="0" borderId="4" xfId="1" applyNumberFormat="1" applyFont="1" applyBorder="1"/>
    <xf numFmtId="8" fontId="0" fillId="0" borderId="4" xfId="1" applyNumberFormat="1" applyFont="1" applyBorder="1"/>
    <xf numFmtId="43" fontId="0" fillId="5" borderId="4" xfId="1" applyFont="1" applyFill="1" applyBorder="1"/>
    <xf numFmtId="0" fontId="0" fillId="5" borderId="0" xfId="0" applyFill="1"/>
    <xf numFmtId="37" fontId="0" fillId="0" borderId="0" xfId="0" applyNumberFormat="1" applyAlignment="1">
      <alignment horizontal="right"/>
    </xf>
    <xf numFmtId="44" fontId="0" fillId="0" borderId="4" xfId="2" applyFont="1" applyBorder="1"/>
    <xf numFmtId="8" fontId="0" fillId="0" borderId="4" xfId="2" applyNumberFormat="1" applyFont="1" applyBorder="1"/>
    <xf numFmtId="0" fontId="0" fillId="5" borderId="4" xfId="0" applyFill="1" applyBorder="1"/>
    <xf numFmtId="0" fontId="2" fillId="6" borderId="4" xfId="0" applyFont="1" applyFill="1" applyBorder="1"/>
    <xf numFmtId="8" fontId="2" fillId="6" borderId="4" xfId="1" applyNumberFormat="1" applyFont="1" applyFill="1" applyBorder="1"/>
    <xf numFmtId="43" fontId="2" fillId="6" borderId="4" xfId="1" applyFont="1" applyFill="1" applyBorder="1"/>
    <xf numFmtId="9" fontId="2" fillId="6" borderId="4" xfId="1" applyNumberFormat="1" applyFont="1" applyFill="1" applyBorder="1"/>
    <xf numFmtId="0" fontId="2" fillId="7" borderId="0" xfId="0" applyFont="1" applyFill="1"/>
    <xf numFmtId="43" fontId="0" fillId="7" borderId="0" xfId="1" applyFont="1" applyFill="1"/>
    <xf numFmtId="0" fontId="0" fillId="7" borderId="0" xfId="0" applyFill="1"/>
    <xf numFmtId="0" fontId="0" fillId="7" borderId="4" xfId="0" applyFill="1" applyBorder="1" applyAlignment="1">
      <alignment horizontal="center"/>
    </xf>
    <xf numFmtId="0" fontId="0" fillId="7" borderId="4" xfId="1" applyNumberFormat="1" applyFont="1" applyFill="1" applyBorder="1" applyAlignment="1">
      <alignment horizontal="center"/>
    </xf>
    <xf numFmtId="43" fontId="0" fillId="7" borderId="4" xfId="1" applyFont="1" applyFill="1" applyBorder="1"/>
    <xf numFmtId="0" fontId="0" fillId="7" borderId="4" xfId="0" applyFill="1" applyBorder="1"/>
    <xf numFmtId="0" fontId="2" fillId="8" borderId="4" xfId="0" applyFont="1" applyFill="1" applyBorder="1"/>
    <xf numFmtId="8" fontId="2" fillId="8" borderId="4" xfId="1" applyNumberFormat="1" applyFont="1" applyFill="1" applyBorder="1"/>
    <xf numFmtId="43" fontId="2" fillId="8" borderId="4" xfId="1" applyFont="1" applyFill="1" applyBorder="1"/>
    <xf numFmtId="9" fontId="2" fillId="8" borderId="4" xfId="1" applyNumberFormat="1" applyFont="1" applyFill="1" applyBorder="1"/>
    <xf numFmtId="0" fontId="2" fillId="9" borderId="0" xfId="0" applyFont="1" applyFill="1"/>
    <xf numFmtId="43" fontId="0" fillId="9" borderId="0" xfId="1" applyFont="1" applyFill="1"/>
    <xf numFmtId="0" fontId="0" fillId="9" borderId="0" xfId="0" applyFill="1"/>
    <xf numFmtId="0" fontId="0" fillId="9" borderId="4" xfId="0" applyFill="1" applyBorder="1" applyAlignment="1">
      <alignment horizontal="center"/>
    </xf>
    <xf numFmtId="0" fontId="0" fillId="9" borderId="4" xfId="1" applyNumberFormat="1" applyFont="1" applyFill="1" applyBorder="1" applyAlignment="1">
      <alignment horizontal="center"/>
    </xf>
    <xf numFmtId="43" fontId="0" fillId="9" borderId="4" xfId="1" applyFont="1" applyFill="1" applyBorder="1"/>
    <xf numFmtId="0" fontId="0" fillId="9" borderId="4" xfId="0" applyFill="1" applyBorder="1"/>
    <xf numFmtId="0" fontId="2" fillId="10" borderId="4" xfId="0" applyFont="1" applyFill="1" applyBorder="1"/>
    <xf numFmtId="8" fontId="2" fillId="10" borderId="4" xfId="1" applyNumberFormat="1" applyFont="1" applyFill="1" applyBorder="1"/>
    <xf numFmtId="43" fontId="2" fillId="10" borderId="4" xfId="1" applyFont="1" applyFill="1" applyBorder="1"/>
    <xf numFmtId="9" fontId="2" fillId="10" borderId="4" xfId="1" applyNumberFormat="1" applyFont="1" applyFill="1" applyBorder="1"/>
    <xf numFmtId="168" fontId="0" fillId="0" borderId="4" xfId="2" applyNumberFormat="1" applyFont="1" applyBorder="1" applyAlignment="1">
      <alignment horizontal="right"/>
    </xf>
    <xf numFmtId="43" fontId="0" fillId="0" borderId="4" xfId="1" applyFont="1" applyBorder="1" applyAlignment="1">
      <alignment wrapText="1"/>
    </xf>
    <xf numFmtId="0" fontId="5" fillId="0" borderId="0" xfId="0" applyFont="1"/>
    <xf numFmtId="0" fontId="10" fillId="0" borderId="0" xfId="0" applyFont="1"/>
    <xf numFmtId="0" fontId="11" fillId="0" borderId="0" xfId="4"/>
    <xf numFmtId="168" fontId="0" fillId="0" borderId="1" xfId="2" applyNumberFormat="1" applyFont="1" applyBorder="1" applyAlignment="1">
      <alignment horizontal="center"/>
    </xf>
    <xf numFmtId="9" fontId="0" fillId="0" borderId="1" xfId="3" applyFont="1" applyBorder="1" applyAlignment="1">
      <alignment horizontal="center"/>
    </xf>
    <xf numFmtId="8" fontId="2" fillId="6" borderId="5" xfId="1" applyNumberFormat="1" applyFont="1" applyFill="1" applyBorder="1"/>
    <xf numFmtId="44" fontId="0" fillId="4" borderId="4" xfId="2" applyFont="1" applyFill="1" applyBorder="1" applyAlignment="1">
      <alignment horizontal="left"/>
    </xf>
    <xf numFmtId="44" fontId="0" fillId="11" borderId="4" xfId="2" applyFont="1" applyFill="1" applyBorder="1" applyAlignment="1">
      <alignment horizontal="left"/>
    </xf>
    <xf numFmtId="8" fontId="1" fillId="10" borderId="4" xfId="1" applyNumberFormat="1" applyFont="1" applyFill="1" applyBorder="1" applyAlignment="1">
      <alignment horizontal="left"/>
    </xf>
    <xf numFmtId="9" fontId="0" fillId="4" borderId="4" xfId="3" applyFont="1" applyFill="1" applyBorder="1" applyAlignment="1">
      <alignment horizontal="left"/>
    </xf>
    <xf numFmtId="9" fontId="0" fillId="11" borderId="4" xfId="3" applyFont="1" applyFill="1" applyBorder="1" applyAlignment="1">
      <alignment horizontal="left"/>
    </xf>
    <xf numFmtId="2" fontId="0" fillId="4" borderId="4" xfId="0" applyNumberFormat="1" applyFill="1" applyBorder="1" applyAlignment="1">
      <alignment horizontal="left"/>
    </xf>
    <xf numFmtId="2" fontId="0" fillId="11" borderId="4" xfId="0" applyNumberFormat="1" applyFill="1" applyBorder="1" applyAlignment="1">
      <alignment horizontal="left"/>
    </xf>
    <xf numFmtId="2" fontId="1" fillId="10" borderId="4" xfId="1" applyNumberFormat="1" applyFont="1" applyFill="1" applyBorder="1" applyAlignment="1">
      <alignment horizontal="left"/>
    </xf>
    <xf numFmtId="9" fontId="1" fillId="10" borderId="4" xfId="3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E9C4-D10E-494D-B05E-400BBA79EE7A}">
  <dimension ref="A1:F15"/>
  <sheetViews>
    <sheetView tabSelected="1" workbookViewId="0">
      <selection activeCell="E24" sqref="E24"/>
    </sheetView>
  </sheetViews>
  <sheetFormatPr defaultRowHeight="15" x14ac:dyDescent="0.25"/>
  <sheetData>
    <row r="1" spans="1:6" ht="23.25" x14ac:dyDescent="0.35">
      <c r="A1" s="34" t="s">
        <v>77</v>
      </c>
      <c r="B1" s="97"/>
      <c r="C1" s="97"/>
      <c r="D1" s="97"/>
      <c r="E1" s="97"/>
      <c r="F1" s="97"/>
    </row>
    <row r="2" spans="1:6" ht="18.75" x14ac:dyDescent="0.3">
      <c r="A2" s="3" t="s">
        <v>17</v>
      </c>
      <c r="B2" s="5"/>
      <c r="C2" s="5"/>
      <c r="D2" s="5"/>
      <c r="E2" s="5"/>
      <c r="F2" s="5"/>
    </row>
    <row r="3" spans="1:6" x14ac:dyDescent="0.25">
      <c r="A3" s="98"/>
      <c r="B3" s="8"/>
      <c r="C3" s="8"/>
      <c r="D3" s="8"/>
      <c r="E3" s="8"/>
      <c r="F3" s="8"/>
    </row>
    <row r="4" spans="1:6" x14ac:dyDescent="0.25">
      <c r="A4" s="112" t="s">
        <v>98</v>
      </c>
      <c r="B4" s="112"/>
      <c r="C4" s="112"/>
      <c r="D4" s="112"/>
      <c r="E4" s="112"/>
      <c r="F4" s="112"/>
    </row>
    <row r="5" spans="1:6" x14ac:dyDescent="0.25">
      <c r="A5" s="112"/>
      <c r="B5" s="112"/>
      <c r="C5" s="112"/>
      <c r="D5" s="112"/>
      <c r="E5" s="112"/>
      <c r="F5" s="112"/>
    </row>
    <row r="6" spans="1:6" x14ac:dyDescent="0.25">
      <c r="A6" s="112"/>
      <c r="B6" s="112"/>
      <c r="C6" s="112"/>
      <c r="D6" s="112"/>
      <c r="E6" s="112"/>
      <c r="F6" s="112"/>
    </row>
    <row r="7" spans="1:6" x14ac:dyDescent="0.25">
      <c r="A7" s="112"/>
      <c r="B7" s="112"/>
      <c r="C7" s="112"/>
      <c r="D7" s="112"/>
      <c r="E7" s="112"/>
      <c r="F7" s="112"/>
    </row>
    <row r="8" spans="1:6" x14ac:dyDescent="0.25">
      <c r="A8" s="112"/>
      <c r="B8" s="112"/>
      <c r="C8" s="112"/>
      <c r="D8" s="112"/>
      <c r="E8" s="112"/>
      <c r="F8" s="112"/>
    </row>
    <row r="9" spans="1:6" x14ac:dyDescent="0.25">
      <c r="A9" s="112"/>
      <c r="B9" s="112"/>
      <c r="C9" s="112"/>
      <c r="D9" s="112"/>
      <c r="E9" s="112"/>
      <c r="F9" s="112"/>
    </row>
    <row r="12" spans="1:6" x14ac:dyDescent="0.25">
      <c r="A12" s="99" t="s">
        <v>78</v>
      </c>
    </row>
    <row r="13" spans="1:6" x14ac:dyDescent="0.25">
      <c r="A13" s="99" t="s">
        <v>79</v>
      </c>
    </row>
    <row r="14" spans="1:6" x14ac:dyDescent="0.25">
      <c r="A14" s="99" t="s">
        <v>91</v>
      </c>
    </row>
    <row r="15" spans="1:6" x14ac:dyDescent="0.25">
      <c r="A15" s="99" t="s">
        <v>99</v>
      </c>
    </row>
  </sheetData>
  <mergeCells count="1">
    <mergeCell ref="A4:F9"/>
  </mergeCells>
  <hyperlinks>
    <hyperlink ref="A12" location="Calculos!A1" display="1. CBA" xr:uid="{DFB7E63F-BA1D-48E4-A9AF-A24D818AB61B}"/>
    <hyperlink ref="A13" location="Costos!A1" display="2. Costos" xr:uid="{D1A535B3-52F9-4B35-A21A-7BFB123A2A9A}"/>
    <hyperlink ref="A14" location="Beneficios!A1" display="3. Componente 1" xr:uid="{CF87EBD4-B170-43EA-AE02-2881CDD42470}"/>
    <hyperlink ref="A15" location="Resumen!A1" display="5. Resumen CBA Ex-ante" xr:uid="{F57A4479-4102-487B-AB7B-C0C637FFD0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0861-44DD-4C64-AE60-3195B9C26331}">
  <dimension ref="B2:J59"/>
  <sheetViews>
    <sheetView workbookViewId="0">
      <selection activeCell="B14" sqref="B14"/>
    </sheetView>
  </sheetViews>
  <sheetFormatPr defaultRowHeight="15" x14ac:dyDescent="0.25"/>
  <cols>
    <col min="2" max="2" width="78.28515625" customWidth="1"/>
    <col min="3" max="3" width="22.5703125" bestFit="1" customWidth="1"/>
    <col min="4" max="4" width="13.140625" bestFit="1" customWidth="1"/>
    <col min="5" max="8" width="14.28515625" bestFit="1" customWidth="1"/>
    <col min="9" max="9" width="18.7109375" customWidth="1"/>
    <col min="10" max="10" width="9.85546875" bestFit="1" customWidth="1"/>
    <col min="11" max="11" width="13.7109375" bestFit="1" customWidth="1"/>
  </cols>
  <sheetData>
    <row r="2" spans="2:7" ht="23.25" x14ac:dyDescent="0.35">
      <c r="B2" s="34" t="s">
        <v>38</v>
      </c>
      <c r="C2" s="2"/>
      <c r="D2" s="2"/>
      <c r="E2" s="2"/>
      <c r="F2" s="2"/>
      <c r="G2" s="2"/>
    </row>
    <row r="3" spans="2:7" ht="18.75" x14ac:dyDescent="0.3">
      <c r="B3" s="3" t="s">
        <v>56</v>
      </c>
      <c r="C3" s="4"/>
      <c r="D3" s="4"/>
      <c r="E3" s="4"/>
      <c r="F3" s="4"/>
      <c r="G3" s="4"/>
    </row>
    <row r="4" spans="2:7" x14ac:dyDescent="0.25">
      <c r="C4" s="7"/>
      <c r="D4" s="7"/>
      <c r="E4" s="7"/>
      <c r="F4" s="7"/>
      <c r="G4" s="7"/>
    </row>
    <row r="5" spans="2:7" ht="15.75" x14ac:dyDescent="0.25">
      <c r="B5" s="35" t="s">
        <v>0</v>
      </c>
      <c r="C5" s="4"/>
      <c r="D5" s="4"/>
      <c r="E5" s="4"/>
      <c r="F5" s="4"/>
      <c r="G5" s="4"/>
    </row>
    <row r="6" spans="2:7" ht="15.4" customHeight="1" x14ac:dyDescent="0.25">
      <c r="B6" t="s">
        <v>39</v>
      </c>
      <c r="C6" s="6">
        <v>2013</v>
      </c>
      <c r="D6" s="7"/>
      <c r="E6" s="7"/>
      <c r="F6" s="7"/>
      <c r="G6" s="7"/>
    </row>
    <row r="7" spans="2:7" ht="15.4" customHeight="1" x14ac:dyDescent="0.25">
      <c r="B7" t="s">
        <v>40</v>
      </c>
      <c r="C7" s="36"/>
      <c r="D7" s="7"/>
      <c r="E7" s="7"/>
      <c r="F7" s="7"/>
      <c r="G7" s="7"/>
    </row>
    <row r="8" spans="2:7" ht="15.4" customHeight="1" x14ac:dyDescent="0.25">
      <c r="B8" s="37" t="s">
        <v>80</v>
      </c>
      <c r="C8" s="38">
        <v>84500000</v>
      </c>
      <c r="D8" s="7"/>
      <c r="E8" s="7"/>
      <c r="F8" s="7"/>
      <c r="G8" s="7"/>
    </row>
    <row r="9" spans="2:7" ht="15.4" customHeight="1" x14ac:dyDescent="0.25">
      <c r="B9" s="37" t="s">
        <v>81</v>
      </c>
      <c r="C9" s="38">
        <v>77600000</v>
      </c>
      <c r="D9" s="7"/>
      <c r="E9" s="7"/>
      <c r="F9" s="7"/>
      <c r="G9" s="7"/>
    </row>
    <row r="10" spans="2:7" ht="15.4" customHeight="1" x14ac:dyDescent="0.25">
      <c r="B10" s="37" t="s">
        <v>82</v>
      </c>
      <c r="C10" s="38">
        <v>33900000</v>
      </c>
      <c r="D10" s="7"/>
      <c r="E10" s="7"/>
      <c r="F10" s="7"/>
      <c r="G10" s="7"/>
    </row>
    <row r="11" spans="2:7" ht="15.4" customHeight="1" x14ac:dyDescent="0.25">
      <c r="B11" s="37" t="s">
        <v>41</v>
      </c>
      <c r="C11" s="38">
        <f>200000000-SUM(C8:C10)</f>
        <v>4000000</v>
      </c>
      <c r="D11" s="7"/>
      <c r="E11" s="7"/>
      <c r="F11" s="7"/>
      <c r="G11" s="7"/>
    </row>
    <row r="12" spans="2:7" ht="15.4" customHeight="1" x14ac:dyDescent="0.25">
      <c r="B12" s="37"/>
      <c r="C12" s="27"/>
      <c r="D12" s="7"/>
      <c r="E12" s="7"/>
      <c r="F12" s="7"/>
      <c r="G12" s="7"/>
    </row>
    <row r="13" spans="2:7" ht="15.4" customHeight="1" x14ac:dyDescent="0.25">
      <c r="B13" s="10" t="s">
        <v>83</v>
      </c>
      <c r="C13" s="27"/>
      <c r="D13" s="7"/>
      <c r="E13" s="7"/>
      <c r="F13" s="7"/>
      <c r="G13" s="7"/>
    </row>
    <row r="14" spans="2:7" ht="15.4" customHeight="1" x14ac:dyDescent="0.25">
      <c r="B14" s="37" t="s">
        <v>42</v>
      </c>
      <c r="C14" s="12">
        <v>0.04</v>
      </c>
      <c r="D14" s="39">
        <v>0.04</v>
      </c>
      <c r="E14" s="7"/>
      <c r="F14" s="7"/>
      <c r="G14" s="7"/>
    </row>
    <row r="15" spans="2:7" ht="15.4" customHeight="1" x14ac:dyDescent="0.25">
      <c r="B15" s="37" t="s">
        <v>43</v>
      </c>
      <c r="C15" s="12">
        <v>0.25</v>
      </c>
      <c r="D15" s="39">
        <v>0.25</v>
      </c>
      <c r="E15" s="7"/>
      <c r="F15" s="7"/>
      <c r="G15" s="7"/>
    </row>
    <row r="16" spans="2:7" ht="15.4" customHeight="1" x14ac:dyDescent="0.25">
      <c r="B16" s="37" t="s">
        <v>44</v>
      </c>
      <c r="C16" s="12">
        <v>0.41</v>
      </c>
      <c r="D16" s="39">
        <v>0.41</v>
      </c>
      <c r="E16" s="7"/>
      <c r="F16" s="7"/>
      <c r="G16" s="7"/>
    </row>
    <row r="17" spans="2:10" ht="15.4" customHeight="1" x14ac:dyDescent="0.25">
      <c r="B17" s="37" t="s">
        <v>45</v>
      </c>
      <c r="C17" s="12">
        <v>0.18</v>
      </c>
      <c r="D17" s="39">
        <v>0.18</v>
      </c>
      <c r="E17" s="7"/>
      <c r="F17" s="7"/>
      <c r="G17" s="7"/>
    </row>
    <row r="18" spans="2:10" x14ac:dyDescent="0.25">
      <c r="B18" s="37" t="s">
        <v>46</v>
      </c>
      <c r="C18" s="12">
        <v>0.12</v>
      </c>
      <c r="D18" s="39">
        <v>0.12</v>
      </c>
      <c r="E18" s="40"/>
      <c r="F18" s="40"/>
      <c r="G18" s="40"/>
    </row>
    <row r="19" spans="2:10" x14ac:dyDescent="0.25">
      <c r="B19" s="41"/>
      <c r="C19" s="40"/>
      <c r="D19" s="40"/>
      <c r="E19" s="40"/>
      <c r="F19" s="40"/>
      <c r="G19" s="40"/>
    </row>
    <row r="20" spans="2:10" x14ac:dyDescent="0.25">
      <c r="B20" s="10" t="s">
        <v>47</v>
      </c>
      <c r="C20" s="42" t="s">
        <v>48</v>
      </c>
      <c r="D20" s="40"/>
      <c r="E20" s="40"/>
      <c r="F20" s="40"/>
      <c r="G20" s="40"/>
    </row>
    <row r="21" spans="2:10" x14ac:dyDescent="0.25">
      <c r="B21" s="10"/>
      <c r="C21" s="43"/>
      <c r="D21" s="40"/>
      <c r="E21" s="40"/>
      <c r="F21" s="40"/>
      <c r="G21" s="40"/>
    </row>
    <row r="22" spans="2:10" x14ac:dyDescent="0.25">
      <c r="B22" s="37"/>
      <c r="C22" s="44"/>
      <c r="D22" s="40"/>
      <c r="E22" s="40"/>
      <c r="F22" s="40"/>
      <c r="G22" s="40"/>
    </row>
    <row r="23" spans="2:10" x14ac:dyDescent="0.25">
      <c r="B23" s="41"/>
      <c r="C23" s="44"/>
      <c r="D23" s="40"/>
      <c r="E23" s="40"/>
      <c r="F23" s="40"/>
      <c r="G23" s="40"/>
    </row>
    <row r="24" spans="2:10" ht="15.75" thickBot="1" x14ac:dyDescent="0.3">
      <c r="B24" s="45" t="s">
        <v>49</v>
      </c>
      <c r="C24" s="46">
        <v>2019</v>
      </c>
      <c r="D24" s="46">
        <v>2020</v>
      </c>
      <c r="E24" s="46">
        <f t="shared" ref="E24:H24" si="0">D24+1</f>
        <v>2021</v>
      </c>
      <c r="F24" s="46">
        <f t="shared" si="0"/>
        <v>2022</v>
      </c>
      <c r="G24" s="46">
        <f t="shared" si="0"/>
        <v>2023</v>
      </c>
      <c r="H24" s="46">
        <f t="shared" si="0"/>
        <v>2024</v>
      </c>
      <c r="I24" s="46" t="s">
        <v>50</v>
      </c>
    </row>
    <row r="25" spans="2:10" ht="15.4" customHeight="1" thickTop="1" x14ac:dyDescent="0.25">
      <c r="B25" t="s">
        <v>51</v>
      </c>
      <c r="C25" s="47">
        <v>0</v>
      </c>
      <c r="D25" s="47">
        <f>C8*$C$14</f>
        <v>3380000</v>
      </c>
      <c r="E25" s="47">
        <f>C8*$C$15</f>
        <v>21125000</v>
      </c>
      <c r="F25" s="47">
        <f>C8*$C$16</f>
        <v>34645000</v>
      </c>
      <c r="G25" s="47">
        <f>C8*$C$17</f>
        <v>15210000</v>
      </c>
      <c r="H25" s="47">
        <f>C8*$C$18</f>
        <v>10140000</v>
      </c>
      <c r="I25" s="47">
        <f>SUM(D25:H25)</f>
        <v>84500000</v>
      </c>
      <c r="J25" s="48"/>
    </row>
    <row r="26" spans="2:10" ht="15" customHeight="1" x14ac:dyDescent="0.25">
      <c r="B26" t="s">
        <v>52</v>
      </c>
      <c r="C26" s="47">
        <v>0</v>
      </c>
      <c r="D26" s="47">
        <f>C9*$C$14</f>
        <v>3104000</v>
      </c>
      <c r="E26" s="47">
        <f>C9*$C$15</f>
        <v>19400000</v>
      </c>
      <c r="F26" s="47">
        <f>C9*$C$16</f>
        <v>31815999.999999996</v>
      </c>
      <c r="G26" s="47">
        <f>C9*$C$17</f>
        <v>13968000</v>
      </c>
      <c r="H26" s="47">
        <f>C9*$C$18</f>
        <v>9312000</v>
      </c>
      <c r="I26" s="47">
        <f>SUM(D26:H26)</f>
        <v>77600000</v>
      </c>
      <c r="J26" s="48"/>
    </row>
    <row r="27" spans="2:10" x14ac:dyDescent="0.25">
      <c r="B27" t="s">
        <v>53</v>
      </c>
      <c r="C27" s="47">
        <v>0</v>
      </c>
      <c r="D27" s="47">
        <f>C10*$C$14</f>
        <v>1356000</v>
      </c>
      <c r="E27" s="47">
        <f>C10*$C$15</f>
        <v>8475000</v>
      </c>
      <c r="F27" s="47">
        <f>C10*$C$16</f>
        <v>13899000</v>
      </c>
      <c r="G27" s="47">
        <f>C10*$C$17</f>
        <v>6102000</v>
      </c>
      <c r="H27" s="47">
        <f>C10*$C$18</f>
        <v>4068000</v>
      </c>
      <c r="I27" s="47">
        <f>SUM(D27:H27)</f>
        <v>33900000</v>
      </c>
      <c r="J27" s="48"/>
    </row>
    <row r="28" spans="2:10" x14ac:dyDescent="0.25">
      <c r="B28" t="s">
        <v>54</v>
      </c>
      <c r="C28" s="47">
        <v>0</v>
      </c>
      <c r="D28" s="47">
        <f>IF($C$20="Todos",$C$11*$C$14,IF($C$20="Sin gastos administrativos",0,""))</f>
        <v>160000</v>
      </c>
      <c r="E28" s="47">
        <f>IF($C$20="Todos",C11*$C$15,IF($C$20="Sin gastos administrativos",0,""))</f>
        <v>1000000</v>
      </c>
      <c r="F28" s="47">
        <f>IF($C$20="Todos",C11*$C$16,IF($C$20="Sin gastos administrativos",0,""))</f>
        <v>1640000</v>
      </c>
      <c r="G28" s="47">
        <f>IF($C$20="Todos",C11*$C$17,IF($C$20="Sin gastos administrativos",0,""))</f>
        <v>720000</v>
      </c>
      <c r="H28" s="47">
        <f>IF($C$20="Todos",C11*$C$18,IF($C$20="Sin gastos administrativos",0,""))</f>
        <v>480000</v>
      </c>
      <c r="I28" s="47">
        <f>SUM(D28:H28)</f>
        <v>4000000</v>
      </c>
    </row>
    <row r="29" spans="2:10" ht="16.5" thickBot="1" x14ac:dyDescent="0.3">
      <c r="B29" s="49" t="s">
        <v>55</v>
      </c>
      <c r="C29" s="50">
        <f>SUM(C25:C28)</f>
        <v>0</v>
      </c>
      <c r="D29" s="50">
        <f t="shared" ref="D29:H29" si="1">SUM(D25:D28)</f>
        <v>8000000</v>
      </c>
      <c r="E29" s="50">
        <f t="shared" si="1"/>
        <v>50000000</v>
      </c>
      <c r="F29" s="50">
        <f t="shared" si="1"/>
        <v>82000000</v>
      </c>
      <c r="G29" s="50">
        <f t="shared" si="1"/>
        <v>36000000</v>
      </c>
      <c r="H29" s="50">
        <f t="shared" si="1"/>
        <v>24000000</v>
      </c>
      <c r="I29" s="50">
        <f>SUM(I25:I28)</f>
        <v>200000000</v>
      </c>
    </row>
    <row r="30" spans="2:10" ht="15.75" thickTop="1" x14ac:dyDescent="0.25"/>
    <row r="58" spans="2:3" x14ac:dyDescent="0.25">
      <c r="B58" s="51"/>
    </row>
    <row r="59" spans="2:3" x14ac:dyDescent="0.25">
      <c r="B59" s="51"/>
      <c r="C59" s="17"/>
    </row>
  </sheetData>
  <dataValidations count="1">
    <dataValidation type="list" allowBlank="1" showInputMessage="1" showErrorMessage="1" sqref="C20" xr:uid="{7A1E005D-AF91-4225-8A56-84A9133B73A1}">
      <formula1>"Todos, Sin gastos administrativos"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5DFB-DA65-41B5-A515-7529DE5301E3}">
  <dimension ref="B2:U141"/>
  <sheetViews>
    <sheetView topLeftCell="B46" workbookViewId="0">
      <selection activeCell="A9" sqref="A9"/>
    </sheetView>
  </sheetViews>
  <sheetFormatPr defaultRowHeight="15" x14ac:dyDescent="0.25"/>
  <cols>
    <col min="2" max="2" width="103.7109375" style="6" customWidth="1"/>
    <col min="3" max="3" width="34.28515625" style="6" customWidth="1"/>
    <col min="4" max="4" width="18.28515625" style="6" customWidth="1"/>
    <col min="5" max="5" width="19.5703125" customWidth="1"/>
    <col min="6" max="6" width="24.7109375" customWidth="1"/>
    <col min="7" max="7" width="27.7109375" customWidth="1"/>
    <col min="8" max="10" width="16.7109375" bestFit="1" customWidth="1"/>
    <col min="11" max="11" width="20.28515625" customWidth="1"/>
    <col min="12" max="19" width="16.7109375" bestFit="1" customWidth="1"/>
    <col min="20" max="22" width="15.7109375" bestFit="1" customWidth="1"/>
  </cols>
  <sheetData>
    <row r="2" spans="2:6" ht="23.25" x14ac:dyDescent="0.35">
      <c r="B2" s="1" t="s">
        <v>8</v>
      </c>
      <c r="C2" s="1"/>
      <c r="D2" s="1"/>
      <c r="E2" s="2"/>
      <c r="F2" s="2"/>
    </row>
    <row r="3" spans="2:6" ht="18.75" x14ac:dyDescent="0.3">
      <c r="B3" s="3" t="s">
        <v>17</v>
      </c>
      <c r="C3" s="3"/>
      <c r="D3" s="3"/>
      <c r="E3" s="4"/>
      <c r="F3" s="4"/>
    </row>
    <row r="4" spans="2:6" x14ac:dyDescent="0.25">
      <c r="E4" s="7"/>
      <c r="F4" s="7"/>
    </row>
    <row r="5" spans="2:6" x14ac:dyDescent="0.25">
      <c r="E5" s="7"/>
      <c r="F5" s="7"/>
    </row>
    <row r="6" spans="2:6" ht="15.75" x14ac:dyDescent="0.25">
      <c r="B6" s="9" t="s">
        <v>0</v>
      </c>
      <c r="C6" s="9" t="s">
        <v>14</v>
      </c>
      <c r="D6" s="9" t="s">
        <v>15</v>
      </c>
      <c r="E6" s="9" t="s">
        <v>16</v>
      </c>
      <c r="F6" s="9" t="s">
        <v>7</v>
      </c>
    </row>
    <row r="7" spans="2:6" x14ac:dyDescent="0.25">
      <c r="B7" t="s">
        <v>9</v>
      </c>
      <c r="C7" s="29">
        <v>3.1</v>
      </c>
      <c r="D7" s="29">
        <v>3.1</v>
      </c>
      <c r="E7" t="s">
        <v>20</v>
      </c>
    </row>
    <row r="8" spans="2:6" x14ac:dyDescent="0.25">
      <c r="B8" s="10" t="s">
        <v>10</v>
      </c>
      <c r="C8" s="30">
        <v>0.02</v>
      </c>
      <c r="D8" s="30">
        <v>0.02</v>
      </c>
      <c r="E8" t="s">
        <v>19</v>
      </c>
    </row>
    <row r="9" spans="2:6" x14ac:dyDescent="0.25">
      <c r="B9" s="10" t="s">
        <v>22</v>
      </c>
      <c r="C9" s="10">
        <v>37.24</v>
      </c>
      <c r="D9" s="10">
        <v>22.47</v>
      </c>
      <c r="E9" t="s">
        <v>19</v>
      </c>
    </row>
    <row r="10" spans="2:6" x14ac:dyDescent="0.25">
      <c r="B10" s="10" t="s">
        <v>24</v>
      </c>
      <c r="C10" s="10">
        <v>2</v>
      </c>
      <c r="D10" s="31">
        <v>0</v>
      </c>
      <c r="E10" t="s">
        <v>19</v>
      </c>
    </row>
    <row r="11" spans="2:6" x14ac:dyDescent="0.25">
      <c r="B11" s="10" t="s">
        <v>28</v>
      </c>
      <c r="C11" s="10">
        <v>5</v>
      </c>
      <c r="D11" s="10">
        <v>0</v>
      </c>
      <c r="E11" t="s">
        <v>19</v>
      </c>
    </row>
    <row r="12" spans="2:6" x14ac:dyDescent="0.25">
      <c r="B12" s="10" t="s">
        <v>25</v>
      </c>
      <c r="C12" s="10">
        <v>2</v>
      </c>
      <c r="D12" s="10">
        <v>0</v>
      </c>
      <c r="E12" t="s">
        <v>19</v>
      </c>
    </row>
    <row r="13" spans="2:6" x14ac:dyDescent="0.25">
      <c r="B13" s="10" t="s">
        <v>36</v>
      </c>
      <c r="C13" s="10">
        <v>6</v>
      </c>
      <c r="D13" s="10">
        <v>0</v>
      </c>
      <c r="E13" t="s">
        <v>19</v>
      </c>
    </row>
    <row r="14" spans="2:6" x14ac:dyDescent="0.25">
      <c r="B14" s="10" t="s">
        <v>27</v>
      </c>
      <c r="C14" s="10">
        <v>30</v>
      </c>
      <c r="D14" s="10">
        <v>30</v>
      </c>
      <c r="E14" t="s">
        <v>35</v>
      </c>
    </row>
    <row r="15" spans="2:6" x14ac:dyDescent="0.25">
      <c r="B15" s="10" t="s">
        <v>26</v>
      </c>
      <c r="C15" s="10">
        <v>6</v>
      </c>
      <c r="D15" s="10">
        <v>6</v>
      </c>
      <c r="E15" t="s">
        <v>21</v>
      </c>
    </row>
    <row r="16" spans="2:6" x14ac:dyDescent="0.25">
      <c r="B16" s="10" t="s">
        <v>23</v>
      </c>
      <c r="C16" s="10">
        <f>(C12*C15)+C11+(C10*C15)</f>
        <v>29</v>
      </c>
      <c r="D16" s="10">
        <f>(D12*D15)+D11+(D10*D15)</f>
        <v>0</v>
      </c>
      <c r="E16" t="s">
        <v>37</v>
      </c>
    </row>
    <row r="17" spans="2:11" hidden="1" x14ac:dyDescent="0.25">
      <c r="B17" t="s">
        <v>18</v>
      </c>
      <c r="C17" s="10"/>
      <c r="D17" s="32"/>
    </row>
    <row r="18" spans="2:11" x14ac:dyDescent="0.25">
      <c r="B18" s="10" t="s">
        <v>29</v>
      </c>
      <c r="C18" s="10">
        <f>C13*C14</f>
        <v>180</v>
      </c>
      <c r="D18" s="10">
        <f>D13*D14</f>
        <v>0</v>
      </c>
      <c r="E18" t="s">
        <v>37</v>
      </c>
    </row>
    <row r="19" spans="2:11" x14ac:dyDescent="0.25">
      <c r="B19"/>
      <c r="C19"/>
    </row>
    <row r="20" spans="2:11" ht="15.75" x14ac:dyDescent="0.25">
      <c r="B20" s="9" t="s">
        <v>84</v>
      </c>
      <c r="C20" s="9"/>
      <c r="D20" s="9"/>
      <c r="E20" s="5"/>
      <c r="F20" s="5"/>
      <c r="G20" s="5"/>
      <c r="H20" s="5"/>
      <c r="I20" s="5"/>
      <c r="J20" s="5"/>
      <c r="K20" s="5"/>
    </row>
    <row r="21" spans="2:11" x14ac:dyDescent="0.25">
      <c r="B21"/>
      <c r="C21"/>
      <c r="D21"/>
    </row>
    <row r="22" spans="2:11" x14ac:dyDescent="0.25">
      <c r="B22"/>
      <c r="C22"/>
      <c r="D22"/>
    </row>
    <row r="23" spans="2:11" x14ac:dyDescent="0.25">
      <c r="B23"/>
      <c r="C23"/>
      <c r="D23"/>
    </row>
    <row r="24" spans="2:11" ht="45.75" thickBot="1" x14ac:dyDescent="0.3">
      <c r="B24" s="13" t="s">
        <v>2</v>
      </c>
      <c r="C24" s="13" t="s">
        <v>11</v>
      </c>
      <c r="D24" s="13" t="s">
        <v>12</v>
      </c>
      <c r="E24" s="13" t="s">
        <v>13</v>
      </c>
      <c r="F24" s="13" t="s">
        <v>3</v>
      </c>
      <c r="G24" s="13" t="s">
        <v>85</v>
      </c>
      <c r="H24" s="13" t="s">
        <v>86</v>
      </c>
      <c r="I24" s="13" t="s">
        <v>87</v>
      </c>
      <c r="J24" s="13"/>
      <c r="K24" s="13"/>
    </row>
    <row r="25" spans="2:11" ht="15.75" thickTop="1" x14ac:dyDescent="0.25">
      <c r="B25" s="6">
        <v>2020</v>
      </c>
      <c r="C25" s="14">
        <v>510000</v>
      </c>
      <c r="D25" s="28">
        <f>($C$9/$D$7)*C25</f>
        <v>6126580.6451612907</v>
      </c>
      <c r="E25" s="28">
        <f t="shared" ref="E25:E40" si="0">($D$9/$D$7)*C25</f>
        <v>3696677.4193548383</v>
      </c>
      <c r="F25" s="14">
        <f>D25-E25</f>
        <v>2429903.2258064523</v>
      </c>
      <c r="G25" s="11">
        <v>0.1</v>
      </c>
      <c r="H25" s="11">
        <v>0.1</v>
      </c>
      <c r="I25" s="11">
        <v>0.1</v>
      </c>
    </row>
    <row r="26" spans="2:11" x14ac:dyDescent="0.25">
      <c r="B26" s="6">
        <v>2021</v>
      </c>
      <c r="C26" s="14">
        <f>C25*(1+$D$8)</f>
        <v>520200</v>
      </c>
      <c r="D26" s="28">
        <f t="shared" ref="D26:D40" si="1">($C$9/$D$7)*C26</f>
        <v>6249112.2580645168</v>
      </c>
      <c r="E26" s="28">
        <f t="shared" si="0"/>
        <v>3770610.9677419355</v>
      </c>
      <c r="F26" s="14">
        <f t="shared" ref="F26:F40" si="2">D26-E26</f>
        <v>2478501.2903225813</v>
      </c>
      <c r="G26" s="11">
        <v>0.3</v>
      </c>
      <c r="H26" s="11">
        <v>0.2</v>
      </c>
      <c r="I26" s="11">
        <v>0.4</v>
      </c>
    </row>
    <row r="27" spans="2:11" x14ac:dyDescent="0.25">
      <c r="B27" s="6">
        <v>2022</v>
      </c>
      <c r="C27" s="14">
        <f t="shared" ref="C27:C40" si="3">C26*(1+$D$8)</f>
        <v>530604</v>
      </c>
      <c r="D27" s="28">
        <f t="shared" si="1"/>
        <v>6374094.5032258071</v>
      </c>
      <c r="E27" s="28">
        <f t="shared" si="0"/>
        <v>3846023.1870967741</v>
      </c>
      <c r="F27" s="14">
        <f t="shared" si="2"/>
        <v>2528071.316129033</v>
      </c>
      <c r="G27" s="11">
        <v>0.5</v>
      </c>
      <c r="H27" s="11">
        <v>0.3</v>
      </c>
      <c r="I27" s="11">
        <v>0.6</v>
      </c>
    </row>
    <row r="28" spans="2:11" x14ac:dyDescent="0.25">
      <c r="B28" s="6">
        <v>2023</v>
      </c>
      <c r="C28" s="14">
        <f t="shared" si="3"/>
        <v>541216.07999999996</v>
      </c>
      <c r="D28" s="28">
        <f t="shared" si="1"/>
        <v>6501576.3932903223</v>
      </c>
      <c r="E28" s="28">
        <f t="shared" si="0"/>
        <v>3922943.6508387094</v>
      </c>
      <c r="F28" s="14">
        <f t="shared" si="2"/>
        <v>2578632.7424516128</v>
      </c>
      <c r="G28" s="11">
        <v>0.6</v>
      </c>
      <c r="H28" s="11">
        <v>0.4</v>
      </c>
      <c r="I28" s="11">
        <v>0.7</v>
      </c>
    </row>
    <row r="29" spans="2:11" x14ac:dyDescent="0.25">
      <c r="B29" s="6">
        <v>2024</v>
      </c>
      <c r="C29" s="14">
        <f t="shared" si="3"/>
        <v>552040.40159999998</v>
      </c>
      <c r="D29" s="28">
        <f t="shared" si="1"/>
        <v>6631607.9211561289</v>
      </c>
      <c r="E29" s="28">
        <f t="shared" si="0"/>
        <v>4001402.5238554836</v>
      </c>
      <c r="F29" s="14">
        <f t="shared" si="2"/>
        <v>2630205.3973006452</v>
      </c>
      <c r="G29" s="11">
        <v>0.9</v>
      </c>
      <c r="H29" s="11">
        <v>0.7</v>
      </c>
      <c r="I29" s="11">
        <v>1</v>
      </c>
    </row>
    <row r="30" spans="2:11" x14ac:dyDescent="0.25">
      <c r="B30" s="6">
        <v>2025</v>
      </c>
      <c r="C30" s="14">
        <f t="shared" si="3"/>
        <v>563081.20963199995</v>
      </c>
      <c r="D30" s="28">
        <f t="shared" si="1"/>
        <v>6764240.0795792518</v>
      </c>
      <c r="E30" s="28">
        <f t="shared" si="0"/>
        <v>4081430.574332593</v>
      </c>
      <c r="F30" s="14">
        <f t="shared" si="2"/>
        <v>2682809.5052466588</v>
      </c>
      <c r="G30" s="11">
        <v>0.9</v>
      </c>
      <c r="H30" s="11">
        <v>0.7</v>
      </c>
      <c r="I30" s="11">
        <v>1</v>
      </c>
    </row>
    <row r="31" spans="2:11" x14ac:dyDescent="0.25">
      <c r="B31" s="6">
        <v>2026</v>
      </c>
      <c r="C31" s="14">
        <f t="shared" si="3"/>
        <v>574342.83382463991</v>
      </c>
      <c r="D31" s="28">
        <f t="shared" si="1"/>
        <v>6899524.8811708363</v>
      </c>
      <c r="E31" s="28">
        <f t="shared" si="0"/>
        <v>4163059.1858192445</v>
      </c>
      <c r="F31" s="14">
        <f t="shared" si="2"/>
        <v>2736465.6953515918</v>
      </c>
      <c r="G31" s="11">
        <v>0.9</v>
      </c>
      <c r="H31" s="11">
        <v>0.7</v>
      </c>
      <c r="I31" s="11">
        <v>1</v>
      </c>
    </row>
    <row r="32" spans="2:11" x14ac:dyDescent="0.25">
      <c r="B32" s="6">
        <v>2027</v>
      </c>
      <c r="C32" s="14">
        <f t="shared" si="3"/>
        <v>585829.69050113275</v>
      </c>
      <c r="D32" s="28">
        <f t="shared" si="1"/>
        <v>7037515.3787942529</v>
      </c>
      <c r="E32" s="28">
        <f t="shared" si="0"/>
        <v>4246320.3695356296</v>
      </c>
      <c r="F32" s="14">
        <f t="shared" si="2"/>
        <v>2791195.0092586232</v>
      </c>
      <c r="G32" s="11">
        <v>0.9</v>
      </c>
      <c r="H32" s="11">
        <v>0.7</v>
      </c>
      <c r="I32" s="11">
        <v>1</v>
      </c>
    </row>
    <row r="33" spans="2:13" x14ac:dyDescent="0.25">
      <c r="B33" s="6">
        <v>2028</v>
      </c>
      <c r="C33" s="14">
        <f t="shared" si="3"/>
        <v>597546.28431115544</v>
      </c>
      <c r="D33" s="28">
        <f t="shared" si="1"/>
        <v>7178265.686370139</v>
      </c>
      <c r="E33" s="28">
        <f t="shared" si="0"/>
        <v>4331246.7769263424</v>
      </c>
      <c r="F33" s="14">
        <f t="shared" si="2"/>
        <v>2847018.9094437966</v>
      </c>
      <c r="G33" s="11">
        <v>0.9</v>
      </c>
      <c r="H33" s="11">
        <v>0.7</v>
      </c>
      <c r="I33" s="11">
        <v>1</v>
      </c>
      <c r="J33" s="14"/>
      <c r="K33" s="14"/>
    </row>
    <row r="34" spans="2:13" x14ac:dyDescent="0.25">
      <c r="B34" s="6">
        <v>2029</v>
      </c>
      <c r="C34" s="14">
        <f t="shared" si="3"/>
        <v>609497.20999737852</v>
      </c>
      <c r="D34" s="28">
        <f t="shared" si="1"/>
        <v>7321831.0000975411</v>
      </c>
      <c r="E34" s="28">
        <f t="shared" si="0"/>
        <v>4417871.712464869</v>
      </c>
      <c r="F34" s="14">
        <f t="shared" si="2"/>
        <v>2903959.2876326721</v>
      </c>
      <c r="G34" s="11">
        <v>0.9</v>
      </c>
      <c r="H34" s="11">
        <v>0.7</v>
      </c>
      <c r="I34" s="11">
        <v>1</v>
      </c>
      <c r="J34" s="14"/>
      <c r="K34" s="14"/>
    </row>
    <row r="35" spans="2:13" x14ac:dyDescent="0.25">
      <c r="B35" s="6">
        <v>2030</v>
      </c>
      <c r="C35" s="14">
        <f t="shared" si="3"/>
        <v>621687.15419732605</v>
      </c>
      <c r="D35" s="28">
        <f t="shared" si="1"/>
        <v>7468267.6200994914</v>
      </c>
      <c r="E35" s="28">
        <f t="shared" si="0"/>
        <v>4506229.1467141667</v>
      </c>
      <c r="F35" s="14">
        <f t="shared" si="2"/>
        <v>2962038.4733853247</v>
      </c>
      <c r="G35" s="11">
        <v>0.9</v>
      </c>
      <c r="H35" s="11">
        <v>0.7</v>
      </c>
      <c r="I35" s="11">
        <v>1</v>
      </c>
      <c r="J35" s="14"/>
      <c r="K35" s="14"/>
    </row>
    <row r="36" spans="2:13" x14ac:dyDescent="0.25">
      <c r="B36" s="6">
        <v>2031</v>
      </c>
      <c r="C36" s="14">
        <f t="shared" si="3"/>
        <v>634120.89728127257</v>
      </c>
      <c r="D36" s="28">
        <f t="shared" si="1"/>
        <v>7617632.972501481</v>
      </c>
      <c r="E36" s="28">
        <f t="shared" si="0"/>
        <v>4596353.7296484495</v>
      </c>
      <c r="F36" s="14">
        <f t="shared" si="2"/>
        <v>3021279.2428530315</v>
      </c>
      <c r="G36" s="11">
        <v>0.9</v>
      </c>
      <c r="H36" s="11">
        <v>0.7</v>
      </c>
      <c r="I36" s="11">
        <v>1</v>
      </c>
      <c r="J36" s="14"/>
      <c r="K36" s="14"/>
    </row>
    <row r="37" spans="2:13" x14ac:dyDescent="0.25">
      <c r="B37" s="6">
        <v>2032</v>
      </c>
      <c r="C37" s="14">
        <f t="shared" si="3"/>
        <v>646803.31522689806</v>
      </c>
      <c r="D37" s="28">
        <f t="shared" si="1"/>
        <v>7769985.6319515118</v>
      </c>
      <c r="E37" s="28">
        <f t="shared" si="0"/>
        <v>4688280.8042414188</v>
      </c>
      <c r="F37" s="14">
        <f t="shared" si="2"/>
        <v>3081704.827710093</v>
      </c>
      <c r="G37" s="11">
        <v>0.9</v>
      </c>
      <c r="H37" s="11">
        <v>0.7</v>
      </c>
      <c r="I37" s="11">
        <v>1</v>
      </c>
      <c r="J37" s="14"/>
      <c r="K37" s="14"/>
    </row>
    <row r="38" spans="2:13" x14ac:dyDescent="0.25">
      <c r="B38" s="6">
        <v>2033</v>
      </c>
      <c r="C38" s="14">
        <f t="shared" si="3"/>
        <v>659739.381531436</v>
      </c>
      <c r="D38" s="28">
        <f t="shared" si="1"/>
        <v>7925385.344590541</v>
      </c>
      <c r="E38" s="28">
        <f t="shared" si="0"/>
        <v>4782046.4203262469</v>
      </c>
      <c r="F38" s="14">
        <f t="shared" si="2"/>
        <v>3143338.9242642941</v>
      </c>
      <c r="G38" s="11">
        <v>0.9</v>
      </c>
      <c r="H38" s="11">
        <v>0.7</v>
      </c>
      <c r="I38" s="11">
        <v>1</v>
      </c>
      <c r="J38" s="14"/>
      <c r="K38" s="14"/>
    </row>
    <row r="39" spans="2:13" x14ac:dyDescent="0.25">
      <c r="B39" s="6">
        <v>2034</v>
      </c>
      <c r="C39" s="14">
        <f t="shared" si="3"/>
        <v>672934.16916206467</v>
      </c>
      <c r="D39" s="28">
        <f t="shared" si="1"/>
        <v>8083893.0514823515</v>
      </c>
      <c r="E39" s="28">
        <f t="shared" si="0"/>
        <v>4877687.3487327714</v>
      </c>
      <c r="F39" s="14">
        <f t="shared" si="2"/>
        <v>3206205.7027495801</v>
      </c>
      <c r="G39" s="11">
        <v>0.9</v>
      </c>
      <c r="H39" s="11">
        <v>0.7</v>
      </c>
      <c r="I39" s="11">
        <v>1</v>
      </c>
      <c r="J39" s="14"/>
      <c r="K39" s="14"/>
    </row>
    <row r="40" spans="2:13" x14ac:dyDescent="0.25">
      <c r="B40" s="19">
        <v>2035</v>
      </c>
      <c r="C40" s="20">
        <f t="shared" si="3"/>
        <v>686392.85254530597</v>
      </c>
      <c r="D40" s="100">
        <f t="shared" si="1"/>
        <v>8245570.9125119988</v>
      </c>
      <c r="E40" s="100">
        <f t="shared" si="0"/>
        <v>4975241.0957074277</v>
      </c>
      <c r="F40" s="14">
        <f t="shared" si="2"/>
        <v>3270329.8168045711</v>
      </c>
      <c r="G40" s="11">
        <v>0.9</v>
      </c>
      <c r="H40" s="101">
        <v>0.7</v>
      </c>
      <c r="I40" s="101">
        <v>1</v>
      </c>
      <c r="J40" s="14"/>
      <c r="K40" s="14"/>
    </row>
    <row r="41" spans="2:13" x14ac:dyDescent="0.25">
      <c r="B41" s="26"/>
      <c r="C41" s="26"/>
      <c r="D41" s="26"/>
      <c r="E41" s="26"/>
    </row>
    <row r="42" spans="2:13" x14ac:dyDescent="0.25">
      <c r="B42" s="26"/>
      <c r="C42" s="26"/>
      <c r="D42" s="26"/>
      <c r="E42" s="26"/>
    </row>
    <row r="43" spans="2:13" x14ac:dyDescent="0.25">
      <c r="B43" s="26"/>
      <c r="C43" s="26"/>
      <c r="D43" s="26"/>
      <c r="E43" s="26"/>
    </row>
    <row r="44" spans="2:13" ht="43.9" customHeight="1" thickBot="1" x14ac:dyDescent="0.3">
      <c r="B44" s="13" t="s">
        <v>2</v>
      </c>
      <c r="C44" s="13" t="s">
        <v>32</v>
      </c>
      <c r="D44" s="13" t="s">
        <v>33</v>
      </c>
      <c r="E44" s="13" t="s">
        <v>88</v>
      </c>
      <c r="F44" s="13" t="s">
        <v>89</v>
      </c>
      <c r="G44" s="13" t="s">
        <v>90</v>
      </c>
      <c r="H44" s="13"/>
      <c r="I44" s="13"/>
      <c r="J44" s="13"/>
      <c r="K44" s="13"/>
    </row>
    <row r="45" spans="2:13" ht="15.75" thickTop="1" x14ac:dyDescent="0.25">
      <c r="B45" s="6">
        <v>2014</v>
      </c>
      <c r="C45" s="14">
        <v>1039428</v>
      </c>
      <c r="D45" s="27">
        <f>(C45*$C$16)/$C$7</f>
        <v>9723681.2903225794</v>
      </c>
      <c r="E45" s="15">
        <v>0</v>
      </c>
      <c r="F45" s="15">
        <v>0</v>
      </c>
      <c r="G45" s="15">
        <v>0</v>
      </c>
      <c r="H45" s="15"/>
      <c r="I45" s="16"/>
    </row>
    <row r="46" spans="2:13" x14ac:dyDescent="0.25">
      <c r="B46" s="6">
        <v>2015</v>
      </c>
      <c r="C46" s="14">
        <v>1017375</v>
      </c>
      <c r="D46" s="27">
        <f t="shared" ref="D46:D66" si="4">(C46*$C$16)/$C$7</f>
        <v>9517379.0322580636</v>
      </c>
      <c r="E46" s="11">
        <v>0</v>
      </c>
      <c r="F46" s="11">
        <v>0</v>
      </c>
      <c r="G46" s="11">
        <v>0</v>
      </c>
      <c r="H46" s="11"/>
      <c r="I46" s="16"/>
    </row>
    <row r="47" spans="2:13" x14ac:dyDescent="0.25">
      <c r="B47" s="6">
        <v>2016</v>
      </c>
      <c r="C47" s="14">
        <v>953072</v>
      </c>
      <c r="D47" s="27">
        <f t="shared" si="4"/>
        <v>8915834.8387096766</v>
      </c>
      <c r="E47" s="11">
        <v>0</v>
      </c>
      <c r="F47" s="11">
        <v>0</v>
      </c>
      <c r="G47" s="11">
        <v>0</v>
      </c>
      <c r="H47" s="11"/>
      <c r="I47" s="16"/>
    </row>
    <row r="48" spans="2:13" x14ac:dyDescent="0.25">
      <c r="B48" s="6">
        <v>2017</v>
      </c>
      <c r="C48" s="14">
        <v>1109011</v>
      </c>
      <c r="D48" s="27">
        <f t="shared" si="4"/>
        <v>10374619.032258064</v>
      </c>
      <c r="E48" s="11">
        <v>0</v>
      </c>
      <c r="F48" s="11">
        <v>0</v>
      </c>
      <c r="G48" s="11">
        <v>0</v>
      </c>
      <c r="H48" s="11"/>
      <c r="I48" s="16"/>
      <c r="M48" s="17"/>
    </row>
    <row r="49" spans="2:18" x14ac:dyDescent="0.25">
      <c r="B49" s="6">
        <v>2018</v>
      </c>
      <c r="C49" s="14">
        <v>1256746</v>
      </c>
      <c r="D49" s="27">
        <f t="shared" si="4"/>
        <v>11756656.129032258</v>
      </c>
      <c r="E49" s="11">
        <v>0</v>
      </c>
      <c r="F49" s="11">
        <v>0</v>
      </c>
      <c r="G49" s="11">
        <v>0</v>
      </c>
      <c r="H49" s="11"/>
      <c r="I49" s="15"/>
      <c r="J49" s="14"/>
      <c r="K49" s="14"/>
    </row>
    <row r="50" spans="2:18" x14ac:dyDescent="0.25">
      <c r="B50" s="6">
        <v>2019</v>
      </c>
      <c r="C50" s="14">
        <f>C49*(1+$D$8)</f>
        <v>1281880.92</v>
      </c>
      <c r="D50" s="27">
        <f t="shared" si="4"/>
        <v>11991789.251612904</v>
      </c>
      <c r="E50" s="11">
        <v>0</v>
      </c>
      <c r="F50" s="11">
        <v>0</v>
      </c>
      <c r="G50" s="11">
        <v>0</v>
      </c>
      <c r="H50" s="11"/>
      <c r="I50" s="15"/>
      <c r="J50" s="14"/>
      <c r="K50" s="14"/>
    </row>
    <row r="51" spans="2:18" x14ac:dyDescent="0.25">
      <c r="B51" s="6">
        <v>2020</v>
      </c>
      <c r="C51" s="14">
        <f t="shared" ref="C51:C66" si="5">C50*(1+$D$8)</f>
        <v>1307518.5384</v>
      </c>
      <c r="D51" s="27">
        <f t="shared" si="4"/>
        <v>12231625.036645161</v>
      </c>
      <c r="E51" s="11">
        <v>0</v>
      </c>
      <c r="F51" s="11">
        <v>0</v>
      </c>
      <c r="G51" s="11">
        <v>0</v>
      </c>
      <c r="H51" s="11"/>
      <c r="I51" s="15"/>
      <c r="J51" s="14"/>
      <c r="K51" s="14"/>
    </row>
    <row r="52" spans="2:18" x14ac:dyDescent="0.25">
      <c r="B52" s="6">
        <v>2021</v>
      </c>
      <c r="C52" s="14">
        <f t="shared" si="5"/>
        <v>1333668.9091679999</v>
      </c>
      <c r="D52" s="27">
        <f t="shared" si="4"/>
        <v>12476257.537378063</v>
      </c>
      <c r="E52" s="11">
        <v>0.1</v>
      </c>
      <c r="F52" s="11">
        <v>0.1</v>
      </c>
      <c r="G52" s="11">
        <v>0.1</v>
      </c>
      <c r="H52" s="11"/>
      <c r="I52" s="15"/>
      <c r="J52" s="14"/>
      <c r="K52" s="14"/>
    </row>
    <row r="53" spans="2:18" x14ac:dyDescent="0.25">
      <c r="B53" s="6">
        <v>2022</v>
      </c>
      <c r="C53" s="14">
        <f t="shared" si="5"/>
        <v>1360342.2873513598</v>
      </c>
      <c r="D53" s="27">
        <f t="shared" si="4"/>
        <v>12725782.688125623</v>
      </c>
      <c r="E53" s="11">
        <v>0.25</v>
      </c>
      <c r="F53" s="11">
        <v>0.2</v>
      </c>
      <c r="G53" s="11">
        <v>0.3</v>
      </c>
      <c r="H53" s="11"/>
      <c r="I53" s="15"/>
      <c r="J53" s="14"/>
      <c r="K53" s="14"/>
    </row>
    <row r="54" spans="2:18" x14ac:dyDescent="0.25">
      <c r="B54" s="6">
        <v>2023</v>
      </c>
      <c r="C54" s="14">
        <f t="shared" si="5"/>
        <v>1387549.1330983872</v>
      </c>
      <c r="D54" s="27">
        <f t="shared" si="4"/>
        <v>12980298.341888139</v>
      </c>
      <c r="E54" s="11">
        <v>0.35</v>
      </c>
      <c r="F54" s="11">
        <v>0.3</v>
      </c>
      <c r="G54" s="11">
        <v>0.4</v>
      </c>
      <c r="H54" s="11"/>
      <c r="I54" s="15"/>
      <c r="J54" s="14"/>
      <c r="K54" s="14"/>
    </row>
    <row r="55" spans="2:18" x14ac:dyDescent="0.25">
      <c r="B55" s="6">
        <v>2024</v>
      </c>
      <c r="C55" s="14">
        <f t="shared" si="5"/>
        <v>1415300.115760355</v>
      </c>
      <c r="D55" s="27">
        <f t="shared" si="4"/>
        <v>13239904.308725901</v>
      </c>
      <c r="E55" s="11">
        <v>0.45</v>
      </c>
      <c r="F55" s="11">
        <v>0.4</v>
      </c>
      <c r="G55" s="11">
        <v>0.5</v>
      </c>
      <c r="H55" s="11"/>
      <c r="I55" s="15"/>
      <c r="J55" s="14"/>
      <c r="K55" s="14"/>
    </row>
    <row r="56" spans="2:18" x14ac:dyDescent="0.25">
      <c r="B56" s="6">
        <v>2025</v>
      </c>
      <c r="C56" s="14">
        <f t="shared" si="5"/>
        <v>1443606.1180755622</v>
      </c>
      <c r="D56" s="27">
        <f t="shared" si="4"/>
        <v>13504702.394900421</v>
      </c>
      <c r="E56" s="11">
        <v>0.6</v>
      </c>
      <c r="F56" s="11">
        <v>0.4</v>
      </c>
      <c r="G56" s="11">
        <v>0.7</v>
      </c>
      <c r="H56" s="11"/>
      <c r="I56" s="15"/>
      <c r="J56" s="14"/>
      <c r="K56" s="14"/>
    </row>
    <row r="57" spans="2:18" x14ac:dyDescent="0.25">
      <c r="B57" s="6">
        <v>2026</v>
      </c>
      <c r="C57" s="14">
        <f t="shared" si="5"/>
        <v>1472478.2404370734</v>
      </c>
      <c r="D57" s="27">
        <f t="shared" si="4"/>
        <v>13774796.442798428</v>
      </c>
      <c r="E57" s="11">
        <v>0.6</v>
      </c>
      <c r="F57" s="11">
        <v>0.4</v>
      </c>
      <c r="G57" s="11">
        <v>0.8</v>
      </c>
      <c r="H57" s="11"/>
      <c r="I57" s="15"/>
      <c r="J57" s="14"/>
      <c r="K57" s="14"/>
    </row>
    <row r="58" spans="2:18" x14ac:dyDescent="0.25">
      <c r="B58" s="6">
        <v>2027</v>
      </c>
      <c r="C58" s="14">
        <f t="shared" si="5"/>
        <v>1501927.8052458148</v>
      </c>
      <c r="D58" s="27">
        <f t="shared" si="4"/>
        <v>14050292.371654397</v>
      </c>
      <c r="E58" s="11">
        <v>0.6</v>
      </c>
      <c r="F58" s="11">
        <v>0.4</v>
      </c>
      <c r="G58" s="11">
        <v>1</v>
      </c>
      <c r="H58" s="11"/>
      <c r="I58" s="15"/>
      <c r="J58" s="14"/>
      <c r="K58" s="14"/>
    </row>
    <row r="59" spans="2:18" x14ac:dyDescent="0.25">
      <c r="B59" s="6">
        <v>2028</v>
      </c>
      <c r="C59" s="14">
        <f t="shared" si="5"/>
        <v>1531966.3613507312</v>
      </c>
      <c r="D59" s="27">
        <f t="shared" si="4"/>
        <v>14331298.219087487</v>
      </c>
      <c r="E59" s="11">
        <v>0.6</v>
      </c>
      <c r="F59" s="11">
        <v>0.4</v>
      </c>
      <c r="G59" s="11">
        <v>1</v>
      </c>
      <c r="H59" s="11"/>
      <c r="I59" s="15"/>
      <c r="J59" s="14"/>
      <c r="K59" s="14"/>
    </row>
    <row r="60" spans="2:18" x14ac:dyDescent="0.25">
      <c r="B60" s="6">
        <v>2029</v>
      </c>
      <c r="C60" s="14">
        <f t="shared" si="5"/>
        <v>1562605.6885777458</v>
      </c>
      <c r="D60" s="27">
        <f t="shared" si="4"/>
        <v>14617924.183469234</v>
      </c>
      <c r="E60" s="11">
        <v>0.6</v>
      </c>
      <c r="F60" s="11">
        <v>0.4</v>
      </c>
      <c r="G60" s="11">
        <v>1</v>
      </c>
      <c r="H60" s="11"/>
      <c r="I60" s="15"/>
      <c r="J60" s="14"/>
      <c r="K60" s="14"/>
    </row>
    <row r="61" spans="2:18" x14ac:dyDescent="0.25">
      <c r="B61" s="6">
        <v>2030</v>
      </c>
      <c r="C61" s="14">
        <f t="shared" si="5"/>
        <v>1593857.8023493008</v>
      </c>
      <c r="D61" s="27">
        <f t="shared" si="4"/>
        <v>14910282.667138619</v>
      </c>
      <c r="E61" s="11">
        <v>0.6</v>
      </c>
      <c r="F61" s="11">
        <v>0.4</v>
      </c>
      <c r="G61" s="11">
        <v>1</v>
      </c>
      <c r="H61" s="11"/>
      <c r="I61" s="15"/>
      <c r="J61" s="14"/>
      <c r="K61" s="14"/>
      <c r="Q61" s="18"/>
    </row>
    <row r="62" spans="2:18" x14ac:dyDescent="0.25">
      <c r="B62" s="6">
        <v>2031</v>
      </c>
      <c r="C62" s="14">
        <f t="shared" si="5"/>
        <v>1625734.9583962869</v>
      </c>
      <c r="D62" s="27">
        <f t="shared" si="4"/>
        <v>15208488.320481395</v>
      </c>
      <c r="E62" s="11">
        <v>0.6</v>
      </c>
      <c r="F62" s="11">
        <v>0.4</v>
      </c>
      <c r="G62" s="11">
        <v>1</v>
      </c>
      <c r="H62" s="11"/>
      <c r="I62" s="15"/>
      <c r="J62" s="14"/>
      <c r="K62" s="14"/>
      <c r="Q62" s="18"/>
    </row>
    <row r="63" spans="2:18" x14ac:dyDescent="0.25">
      <c r="B63" s="6">
        <v>2032</v>
      </c>
      <c r="C63" s="14">
        <f t="shared" si="5"/>
        <v>1658249.6575642128</v>
      </c>
      <c r="D63" s="27">
        <f t="shared" si="4"/>
        <v>15512658.086891022</v>
      </c>
      <c r="E63" s="11">
        <v>0.6</v>
      </c>
      <c r="F63" s="11">
        <v>0.4</v>
      </c>
      <c r="G63" s="11">
        <v>1</v>
      </c>
      <c r="H63" s="11"/>
      <c r="I63" s="15"/>
      <c r="J63" s="14"/>
      <c r="K63" s="14"/>
      <c r="Q63" s="18"/>
    </row>
    <row r="64" spans="2:18" x14ac:dyDescent="0.25">
      <c r="B64" s="6">
        <v>2033</v>
      </c>
      <c r="C64" s="14">
        <f t="shared" si="5"/>
        <v>1691414.6507154971</v>
      </c>
      <c r="D64" s="27">
        <f t="shared" si="4"/>
        <v>15822911.248628844</v>
      </c>
      <c r="E64" s="11">
        <v>0.6</v>
      </c>
      <c r="F64" s="11">
        <v>0.4</v>
      </c>
      <c r="G64" s="11">
        <v>1</v>
      </c>
      <c r="H64" s="11"/>
      <c r="I64" s="15"/>
      <c r="J64" s="14"/>
      <c r="K64" s="14"/>
      <c r="R64" s="18"/>
    </row>
    <row r="65" spans="2:18" x14ac:dyDescent="0.25">
      <c r="B65" s="6">
        <v>2034</v>
      </c>
      <c r="C65" s="14">
        <f t="shared" si="5"/>
        <v>1725242.9437298072</v>
      </c>
      <c r="D65" s="27">
        <f t="shared" si="4"/>
        <v>16139369.473601421</v>
      </c>
      <c r="E65" s="11">
        <v>0.6</v>
      </c>
      <c r="F65" s="11">
        <v>0.4</v>
      </c>
      <c r="G65" s="11">
        <v>1</v>
      </c>
      <c r="H65" s="11"/>
      <c r="I65" s="15"/>
      <c r="J65" s="14"/>
      <c r="K65" s="14"/>
      <c r="R65" s="18"/>
    </row>
    <row r="66" spans="2:18" x14ac:dyDescent="0.25">
      <c r="B66" s="6">
        <v>2035</v>
      </c>
      <c r="C66" s="14">
        <f t="shared" si="5"/>
        <v>1759747.8026044033</v>
      </c>
      <c r="D66" s="27">
        <f t="shared" si="4"/>
        <v>16462156.863073451</v>
      </c>
      <c r="E66" s="11">
        <v>0.6</v>
      </c>
      <c r="F66" s="11">
        <v>0.4</v>
      </c>
      <c r="G66" s="11">
        <v>1</v>
      </c>
      <c r="H66" s="11"/>
      <c r="I66" s="15"/>
      <c r="J66" s="14"/>
      <c r="K66" s="14"/>
      <c r="R66" s="18"/>
    </row>
    <row r="67" spans="2:18" x14ac:dyDescent="0.25">
      <c r="R67" s="18"/>
    </row>
    <row r="68" spans="2:18" x14ac:dyDescent="0.25">
      <c r="R68" s="18"/>
    </row>
    <row r="69" spans="2:18" x14ac:dyDescent="0.25">
      <c r="R69" s="18"/>
    </row>
    <row r="70" spans="2:18" ht="45.75" thickBot="1" x14ac:dyDescent="0.3">
      <c r="B70" s="13" t="s">
        <v>2</v>
      </c>
      <c r="C70" s="13" t="s">
        <v>32</v>
      </c>
      <c r="D70" s="13" t="s">
        <v>34</v>
      </c>
      <c r="E70" s="13" t="s">
        <v>88</v>
      </c>
      <c r="F70" s="13" t="s">
        <v>89</v>
      </c>
      <c r="G70" s="13" t="s">
        <v>90</v>
      </c>
    </row>
    <row r="71" spans="2:18" ht="15.75" thickTop="1" x14ac:dyDescent="0.25">
      <c r="B71" s="6">
        <v>2014</v>
      </c>
      <c r="C71" s="14">
        <v>1039428</v>
      </c>
      <c r="D71" s="27">
        <f>(C71*$C$18)/$C$7</f>
        <v>60353883.870967738</v>
      </c>
      <c r="E71" s="15">
        <v>0</v>
      </c>
      <c r="F71" s="15">
        <v>0</v>
      </c>
      <c r="G71" s="15">
        <v>0</v>
      </c>
    </row>
    <row r="72" spans="2:18" x14ac:dyDescent="0.25">
      <c r="B72" s="6">
        <v>2015</v>
      </c>
      <c r="C72" s="14">
        <v>1017375</v>
      </c>
      <c r="D72" s="27">
        <f t="shared" ref="D72:D92" si="6">(C72*$C$18)/$C$7</f>
        <v>59073387.096774191</v>
      </c>
      <c r="E72" s="11">
        <v>0</v>
      </c>
      <c r="F72" s="11">
        <v>0</v>
      </c>
      <c r="G72" s="11">
        <v>0</v>
      </c>
    </row>
    <row r="73" spans="2:18" x14ac:dyDescent="0.25">
      <c r="B73" s="6">
        <v>2016</v>
      </c>
      <c r="C73" s="14">
        <v>953072</v>
      </c>
      <c r="D73" s="27">
        <f t="shared" si="6"/>
        <v>55339664.516129032</v>
      </c>
      <c r="E73" s="11">
        <v>0</v>
      </c>
      <c r="F73" s="11">
        <v>0</v>
      </c>
      <c r="G73" s="11">
        <v>0</v>
      </c>
    </row>
    <row r="74" spans="2:18" x14ac:dyDescent="0.25">
      <c r="B74" s="6">
        <v>2017</v>
      </c>
      <c r="C74" s="14">
        <v>1109011</v>
      </c>
      <c r="D74" s="27">
        <f t="shared" si="6"/>
        <v>64394187.096774191</v>
      </c>
      <c r="E74" s="11">
        <v>0</v>
      </c>
      <c r="F74" s="11">
        <v>0</v>
      </c>
      <c r="G74" s="11">
        <v>0</v>
      </c>
    </row>
    <row r="75" spans="2:18" x14ac:dyDescent="0.25">
      <c r="B75" s="6">
        <v>2018</v>
      </c>
      <c r="C75" s="14">
        <v>1256746</v>
      </c>
      <c r="D75" s="27">
        <f t="shared" si="6"/>
        <v>72972348.387096778</v>
      </c>
      <c r="E75" s="11">
        <v>0</v>
      </c>
      <c r="F75" s="11">
        <v>0</v>
      </c>
      <c r="G75" s="11">
        <v>0</v>
      </c>
    </row>
    <row r="76" spans="2:18" x14ac:dyDescent="0.25">
      <c r="B76" s="6">
        <v>2019</v>
      </c>
      <c r="C76" s="14">
        <f>C75*(1+$D$8)</f>
        <v>1281880.92</v>
      </c>
      <c r="D76" s="27">
        <f t="shared" si="6"/>
        <v>74431795.354838699</v>
      </c>
      <c r="E76" s="11">
        <v>0</v>
      </c>
      <c r="F76" s="11">
        <v>0</v>
      </c>
      <c r="G76" s="11">
        <v>0</v>
      </c>
    </row>
    <row r="77" spans="2:18" x14ac:dyDescent="0.25">
      <c r="B77" s="6">
        <v>2020</v>
      </c>
      <c r="C77" s="14">
        <f t="shared" ref="C77:C92" si="7">C76*(1+$D$8)</f>
        <v>1307518.5384</v>
      </c>
      <c r="D77" s="27">
        <f t="shared" si="6"/>
        <v>75920431.261935487</v>
      </c>
      <c r="E77" s="11">
        <v>0</v>
      </c>
      <c r="F77" s="11">
        <v>0</v>
      </c>
      <c r="G77" s="11">
        <v>0</v>
      </c>
    </row>
    <row r="78" spans="2:18" x14ac:dyDescent="0.25">
      <c r="B78" s="6">
        <v>2021</v>
      </c>
      <c r="C78" s="14">
        <f t="shared" si="7"/>
        <v>1333668.9091679999</v>
      </c>
      <c r="D78" s="27">
        <f t="shared" si="6"/>
        <v>77438839.887174189</v>
      </c>
      <c r="E78" s="11">
        <v>0.1</v>
      </c>
      <c r="F78" s="11">
        <v>0.1</v>
      </c>
      <c r="G78" s="11">
        <v>0.1</v>
      </c>
    </row>
    <row r="79" spans="2:18" x14ac:dyDescent="0.25">
      <c r="B79" s="6">
        <v>2022</v>
      </c>
      <c r="C79" s="14">
        <f t="shared" si="7"/>
        <v>1360342.2873513598</v>
      </c>
      <c r="D79" s="27">
        <f t="shared" si="6"/>
        <v>78987616.684917673</v>
      </c>
      <c r="E79" s="11">
        <v>0.25</v>
      </c>
      <c r="F79" s="11">
        <v>0.2</v>
      </c>
      <c r="G79" s="11">
        <v>0.3</v>
      </c>
    </row>
    <row r="80" spans="2:18" x14ac:dyDescent="0.25">
      <c r="B80" s="6">
        <v>2023</v>
      </c>
      <c r="C80" s="14">
        <f t="shared" si="7"/>
        <v>1387549.1330983872</v>
      </c>
      <c r="D80" s="27">
        <f t="shared" si="6"/>
        <v>80567369.018616036</v>
      </c>
      <c r="E80" s="11">
        <v>0.35</v>
      </c>
      <c r="F80" s="11">
        <v>0.3</v>
      </c>
      <c r="G80" s="11">
        <v>0.4</v>
      </c>
    </row>
    <row r="81" spans="2:19" x14ac:dyDescent="0.25">
      <c r="B81" s="6">
        <v>2024</v>
      </c>
      <c r="C81" s="14">
        <f t="shared" si="7"/>
        <v>1415300.115760355</v>
      </c>
      <c r="D81" s="27">
        <f t="shared" si="6"/>
        <v>82178716.398988351</v>
      </c>
      <c r="E81" s="11">
        <v>0.45</v>
      </c>
      <c r="F81" s="11">
        <v>0.4</v>
      </c>
      <c r="G81" s="11">
        <v>0.5</v>
      </c>
    </row>
    <row r="82" spans="2:19" x14ac:dyDescent="0.25">
      <c r="B82" s="6">
        <v>2025</v>
      </c>
      <c r="C82" s="14">
        <f t="shared" si="7"/>
        <v>1443606.1180755622</v>
      </c>
      <c r="D82" s="27">
        <f t="shared" si="6"/>
        <v>83822290.726968125</v>
      </c>
      <c r="E82" s="11">
        <v>0.6</v>
      </c>
      <c r="F82" s="11">
        <v>0.4</v>
      </c>
      <c r="G82" s="11">
        <v>0.7</v>
      </c>
    </row>
    <row r="83" spans="2:19" x14ac:dyDescent="0.25">
      <c r="B83" s="6">
        <v>2026</v>
      </c>
      <c r="C83" s="14">
        <f t="shared" si="7"/>
        <v>1472478.2404370734</v>
      </c>
      <c r="D83" s="27">
        <f t="shared" si="6"/>
        <v>85498736.541507483</v>
      </c>
      <c r="E83" s="11">
        <v>0.6</v>
      </c>
      <c r="F83" s="11">
        <v>0.4</v>
      </c>
      <c r="G83" s="11">
        <v>0.8</v>
      </c>
    </row>
    <row r="84" spans="2:19" x14ac:dyDescent="0.25">
      <c r="B84" s="6">
        <v>2027</v>
      </c>
      <c r="C84" s="14">
        <f t="shared" si="7"/>
        <v>1501927.8052458148</v>
      </c>
      <c r="D84" s="27">
        <f t="shared" si="6"/>
        <v>87208711.27233763</v>
      </c>
      <c r="E84" s="11">
        <v>0.6</v>
      </c>
      <c r="F84" s="11">
        <v>0.4</v>
      </c>
      <c r="G84" s="11">
        <v>1</v>
      </c>
    </row>
    <row r="85" spans="2:19" x14ac:dyDescent="0.25">
      <c r="B85" s="6">
        <v>2028</v>
      </c>
      <c r="C85" s="14">
        <f t="shared" si="7"/>
        <v>1531966.3613507312</v>
      </c>
      <c r="D85" s="27">
        <f t="shared" si="6"/>
        <v>88952885.497784406</v>
      </c>
      <c r="E85" s="11">
        <v>0.6</v>
      </c>
      <c r="F85" s="11">
        <v>0.4</v>
      </c>
      <c r="G85" s="11">
        <v>1</v>
      </c>
    </row>
    <row r="86" spans="2:19" x14ac:dyDescent="0.25">
      <c r="B86" s="6">
        <v>2029</v>
      </c>
      <c r="C86" s="14">
        <f t="shared" si="7"/>
        <v>1562605.6885777458</v>
      </c>
      <c r="D86" s="27">
        <f t="shared" si="6"/>
        <v>90731943.207740068</v>
      </c>
      <c r="E86" s="11">
        <v>0.6</v>
      </c>
      <c r="F86" s="11">
        <v>0.4</v>
      </c>
      <c r="G86" s="11">
        <v>1</v>
      </c>
    </row>
    <row r="87" spans="2:19" x14ac:dyDescent="0.25">
      <c r="B87" s="6">
        <v>2030</v>
      </c>
      <c r="C87" s="14">
        <f t="shared" si="7"/>
        <v>1593857.8023493008</v>
      </c>
      <c r="D87" s="27">
        <f t="shared" si="6"/>
        <v>92546582.071894884</v>
      </c>
      <c r="E87" s="11">
        <v>0.6</v>
      </c>
      <c r="F87" s="11">
        <v>0.4</v>
      </c>
      <c r="G87" s="11">
        <v>1</v>
      </c>
    </row>
    <row r="88" spans="2:19" x14ac:dyDescent="0.25">
      <c r="B88" s="6">
        <v>2031</v>
      </c>
      <c r="C88" s="14">
        <f t="shared" si="7"/>
        <v>1625734.9583962869</v>
      </c>
      <c r="D88" s="27">
        <f t="shared" si="6"/>
        <v>94397513.713332802</v>
      </c>
      <c r="E88" s="11">
        <v>0.6</v>
      </c>
      <c r="F88" s="11">
        <v>0.4</v>
      </c>
      <c r="G88" s="11">
        <v>1</v>
      </c>
    </row>
    <row r="89" spans="2:19" x14ac:dyDescent="0.25">
      <c r="B89" s="6">
        <v>2032</v>
      </c>
      <c r="C89" s="14">
        <f t="shared" si="7"/>
        <v>1658249.6575642128</v>
      </c>
      <c r="D89" s="27">
        <f t="shared" si="6"/>
        <v>96285463.987599447</v>
      </c>
      <c r="E89" s="11">
        <v>0.6</v>
      </c>
      <c r="F89" s="11">
        <v>0.4</v>
      </c>
      <c r="G89" s="11">
        <v>1</v>
      </c>
    </row>
    <row r="90" spans="2:19" x14ac:dyDescent="0.25">
      <c r="B90" s="6">
        <v>2033</v>
      </c>
      <c r="C90" s="14">
        <f t="shared" si="7"/>
        <v>1691414.6507154971</v>
      </c>
      <c r="D90" s="27">
        <f t="shared" si="6"/>
        <v>98211173.267351449</v>
      </c>
      <c r="E90" s="11">
        <v>0.6</v>
      </c>
      <c r="F90" s="11">
        <v>0.4</v>
      </c>
      <c r="G90" s="11">
        <v>1</v>
      </c>
    </row>
    <row r="91" spans="2:19" x14ac:dyDescent="0.25">
      <c r="B91" s="6">
        <v>2034</v>
      </c>
      <c r="C91" s="14">
        <f t="shared" si="7"/>
        <v>1725242.9437298072</v>
      </c>
      <c r="D91" s="27">
        <f t="shared" si="6"/>
        <v>100175396.73269849</v>
      </c>
      <c r="E91" s="11">
        <v>0.6</v>
      </c>
      <c r="F91" s="11">
        <v>0.4</v>
      </c>
      <c r="G91" s="11">
        <v>1</v>
      </c>
    </row>
    <row r="92" spans="2:19" x14ac:dyDescent="0.25">
      <c r="B92" s="6">
        <v>2035</v>
      </c>
      <c r="C92" s="14">
        <f t="shared" si="7"/>
        <v>1759747.8026044033</v>
      </c>
      <c r="D92" s="27">
        <f t="shared" si="6"/>
        <v>102178904.66735245</v>
      </c>
      <c r="E92" s="11">
        <v>0.6</v>
      </c>
      <c r="F92" s="11">
        <v>0.4</v>
      </c>
      <c r="G92" s="11">
        <v>1</v>
      </c>
    </row>
    <row r="96" spans="2:19" ht="15.75" x14ac:dyDescent="0.25">
      <c r="B96" s="9" t="s">
        <v>4</v>
      </c>
      <c r="C96" s="9"/>
      <c r="D96" s="9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5.75" x14ac:dyDescent="0.25">
      <c r="B97" s="21"/>
      <c r="C97" s="21"/>
      <c r="D97" s="21"/>
    </row>
    <row r="98" spans="2:21" ht="15.75" x14ac:dyDescent="0.25">
      <c r="B98" s="21"/>
      <c r="C98" s="21"/>
      <c r="D98" s="21"/>
    </row>
    <row r="99" spans="2:21" ht="15.75" thickBot="1" x14ac:dyDescent="0.3">
      <c r="B99" s="13" t="s">
        <v>5</v>
      </c>
      <c r="C99" s="13">
        <v>2020</v>
      </c>
      <c r="D99" s="13">
        <v>2021</v>
      </c>
      <c r="E99" s="13">
        <v>2022</v>
      </c>
      <c r="F99" s="13">
        <v>2023</v>
      </c>
      <c r="G99" s="13">
        <v>2024</v>
      </c>
      <c r="H99" s="13">
        <v>2025</v>
      </c>
      <c r="I99" s="13">
        <v>2026</v>
      </c>
      <c r="J99" s="13">
        <v>2027</v>
      </c>
      <c r="K99" s="13">
        <v>2028</v>
      </c>
      <c r="L99" s="13">
        <v>2029</v>
      </c>
      <c r="M99" s="13">
        <v>2030</v>
      </c>
      <c r="N99" s="13">
        <v>2031</v>
      </c>
      <c r="O99" s="13">
        <v>2032</v>
      </c>
      <c r="P99" s="13">
        <v>2033</v>
      </c>
      <c r="Q99" s="13">
        <v>2034</v>
      </c>
      <c r="R99" s="13">
        <v>2035</v>
      </c>
      <c r="U99" s="13"/>
    </row>
    <row r="100" spans="2:21" ht="15.75" thickTop="1" x14ac:dyDescent="0.25">
      <c r="B100" s="10" t="s">
        <v>30</v>
      </c>
      <c r="C100" s="22">
        <f>F25*G25</f>
        <v>242990.32258064524</v>
      </c>
      <c r="D100" s="22">
        <f>F26*G26</f>
        <v>743550.38709677442</v>
      </c>
      <c r="E100" s="22">
        <f>F27*G27</f>
        <v>1264035.6580645165</v>
      </c>
      <c r="F100" s="22">
        <f>F28*G28</f>
        <v>1547179.6454709677</v>
      </c>
      <c r="G100" s="22">
        <f>F29*G29</f>
        <v>2367184.8575705807</v>
      </c>
      <c r="H100" s="22">
        <f>F30*G30</f>
        <v>2414528.5547219929</v>
      </c>
      <c r="I100" s="22">
        <f>F31*G31</f>
        <v>2462819.1258164328</v>
      </c>
      <c r="J100" s="22">
        <f>F32*G32</f>
        <v>2512075.508332761</v>
      </c>
      <c r="K100" s="22">
        <f>F33*G33</f>
        <v>2562317.0184994172</v>
      </c>
      <c r="L100" s="22">
        <f>F34*G34</f>
        <v>2613563.358869405</v>
      </c>
      <c r="M100" s="22">
        <f>F35*G35</f>
        <v>2665834.6260467921</v>
      </c>
      <c r="N100" s="22">
        <f>F36*G36</f>
        <v>2719151.3185677286</v>
      </c>
      <c r="O100" s="22">
        <f>F37*G37</f>
        <v>2773534.3449390838</v>
      </c>
      <c r="P100" s="22">
        <f>F38*G38</f>
        <v>2829005.0318378648</v>
      </c>
      <c r="Q100" s="22">
        <f>F39*G39</f>
        <v>2885585.1324746222</v>
      </c>
      <c r="R100" s="22">
        <f>F40*G40</f>
        <v>2943296.8351241141</v>
      </c>
      <c r="S100" s="22"/>
      <c r="T100" s="22"/>
      <c r="U100" s="22"/>
    </row>
    <row r="101" spans="2:21" x14ac:dyDescent="0.25">
      <c r="B101" s="10" t="s">
        <v>31</v>
      </c>
      <c r="C101" s="33">
        <f>D51*E51</f>
        <v>0</v>
      </c>
      <c r="D101" s="22">
        <f>D52*E52</f>
        <v>1247625.7537378063</v>
      </c>
      <c r="E101" s="22">
        <f>D53*E53</f>
        <v>3181445.6720314058</v>
      </c>
      <c r="F101" s="22">
        <f>D54*E54</f>
        <v>4543104.4196608486</v>
      </c>
      <c r="G101" s="22">
        <f>D55*E55</f>
        <v>5957956.9389266558</v>
      </c>
      <c r="H101" s="22">
        <f>D56*E56</f>
        <v>8102821.4369402518</v>
      </c>
      <c r="I101" s="22">
        <f>D57*E57</f>
        <v>8264877.8656790564</v>
      </c>
      <c r="J101" s="22">
        <f>D58*E58</f>
        <v>8430175.4229926374</v>
      </c>
      <c r="K101" s="22">
        <f>D59*E59</f>
        <v>8598778.9314524923</v>
      </c>
      <c r="L101" s="22">
        <f>D60*E60</f>
        <v>8770754.5100815408</v>
      </c>
      <c r="M101" s="22">
        <f>D61*E61</f>
        <v>8946169.600283172</v>
      </c>
      <c r="N101" s="22">
        <f>D62*E62</f>
        <v>9125092.9922888372</v>
      </c>
      <c r="O101" s="22">
        <f>D63*E63</f>
        <v>9307594.8521346133</v>
      </c>
      <c r="P101" s="22">
        <f>D64*E64</f>
        <v>9493746.749177305</v>
      </c>
      <c r="Q101" s="22">
        <f>D65*E65</f>
        <v>9683621.6841608528</v>
      </c>
      <c r="R101" s="22">
        <f>D66*E66</f>
        <v>9877294.1178440712</v>
      </c>
      <c r="S101" s="22"/>
      <c r="T101" s="22"/>
      <c r="U101" s="22"/>
    </row>
    <row r="102" spans="2:21" x14ac:dyDescent="0.25">
      <c r="B102" s="10" t="s">
        <v>72</v>
      </c>
      <c r="C102" s="33">
        <f>D77*E77</f>
        <v>0</v>
      </c>
      <c r="D102" s="22">
        <f>D78*E78</f>
        <v>7743883.9887174191</v>
      </c>
      <c r="E102" s="22">
        <f>D79*E79</f>
        <v>19746904.171229418</v>
      </c>
      <c r="F102" s="22">
        <f>D80*E80</f>
        <v>28198579.156515609</v>
      </c>
      <c r="G102" s="22">
        <f>D81*E81</f>
        <v>36980422.379544757</v>
      </c>
      <c r="H102" s="22">
        <f>D82*E82</f>
        <v>50293374.436180875</v>
      </c>
      <c r="I102" s="22">
        <f>D83*E83</f>
        <v>51299241.924904488</v>
      </c>
      <c r="J102" s="22">
        <f>D84*E84</f>
        <v>52325226.763402574</v>
      </c>
      <c r="K102" s="22">
        <f>D85*E85</f>
        <v>53371731.298670642</v>
      </c>
      <c r="L102" s="22">
        <f>D86*E86</f>
        <v>54439165.924644038</v>
      </c>
      <c r="M102" s="22">
        <f>D87*E87</f>
        <v>55527949.243136927</v>
      </c>
      <c r="N102" s="22">
        <f>D88*E88</f>
        <v>56638508.22799968</v>
      </c>
      <c r="O102" s="22">
        <f>D89*E89</f>
        <v>57771278.39255967</v>
      </c>
      <c r="P102" s="22">
        <f>D90*E90</f>
        <v>58926703.960410871</v>
      </c>
      <c r="Q102" s="22">
        <f>D91*E91</f>
        <v>60105238.039619088</v>
      </c>
      <c r="R102" s="22">
        <f>D92*E92</f>
        <v>61307342.80041147</v>
      </c>
      <c r="S102" s="22"/>
      <c r="T102" s="22"/>
      <c r="U102" s="22"/>
    </row>
    <row r="103" spans="2:21" x14ac:dyDescent="0.25">
      <c r="B103" s="23" t="s">
        <v>6</v>
      </c>
      <c r="C103" s="24">
        <f t="shared" ref="C103:R103" si="8">SUM(C100:C102)</f>
        <v>242990.32258064524</v>
      </c>
      <c r="D103" s="24">
        <f t="shared" si="8"/>
        <v>9735060.1295519993</v>
      </c>
      <c r="E103" s="24">
        <f t="shared" si="8"/>
        <v>24192385.501325339</v>
      </c>
      <c r="F103" s="24">
        <f t="shared" si="8"/>
        <v>34288863.221647426</v>
      </c>
      <c r="G103" s="24">
        <f t="shared" si="8"/>
        <v>45305564.176041991</v>
      </c>
      <c r="H103" s="24">
        <f t="shared" si="8"/>
        <v>60810724.427843124</v>
      </c>
      <c r="I103" s="24">
        <f t="shared" si="8"/>
        <v>62026938.916399978</v>
      </c>
      <c r="J103" s="24">
        <f t="shared" si="8"/>
        <v>63267477.694727972</v>
      </c>
      <c r="K103" s="24">
        <f t="shared" si="8"/>
        <v>64532827.248622552</v>
      </c>
      <c r="L103" s="24">
        <f t="shared" si="8"/>
        <v>65823483.793594986</v>
      </c>
      <c r="M103" s="24">
        <f t="shared" si="8"/>
        <v>67139953.469466895</v>
      </c>
      <c r="N103" s="24">
        <f t="shared" si="8"/>
        <v>68482752.538856238</v>
      </c>
      <c r="O103" s="24">
        <f t="shared" si="8"/>
        <v>69852407.589633375</v>
      </c>
      <c r="P103" s="24">
        <f t="shared" si="8"/>
        <v>71249455.741426036</v>
      </c>
      <c r="Q103" s="24">
        <f t="shared" si="8"/>
        <v>72674444.856254563</v>
      </c>
      <c r="R103" s="24">
        <f t="shared" si="8"/>
        <v>74127933.753379658</v>
      </c>
      <c r="S103" s="24"/>
      <c r="T103" s="24"/>
      <c r="U103" s="24"/>
    </row>
    <row r="106" spans="2:21" ht="15.75" thickBot="1" x14ac:dyDescent="0.3">
      <c r="B106" s="13" t="s">
        <v>5</v>
      </c>
      <c r="C106" s="13">
        <v>2020</v>
      </c>
      <c r="D106" s="13">
        <v>2021</v>
      </c>
      <c r="E106" s="13">
        <v>2022</v>
      </c>
      <c r="F106" s="13">
        <v>2023</v>
      </c>
      <c r="G106" s="13">
        <v>2024</v>
      </c>
      <c r="H106" s="13">
        <v>2025</v>
      </c>
      <c r="I106" s="13">
        <v>2026</v>
      </c>
      <c r="J106" s="13">
        <v>2027</v>
      </c>
      <c r="K106" s="13">
        <v>2028</v>
      </c>
      <c r="L106" s="13">
        <v>2029</v>
      </c>
      <c r="M106" s="13">
        <v>2030</v>
      </c>
      <c r="N106" s="13">
        <v>2031</v>
      </c>
      <c r="O106" s="13">
        <v>2032</v>
      </c>
      <c r="P106" s="13">
        <v>2033</v>
      </c>
      <c r="Q106" s="13">
        <v>2034</v>
      </c>
      <c r="R106" s="13">
        <v>2035</v>
      </c>
    </row>
    <row r="107" spans="2:21" ht="15.75" thickTop="1" x14ac:dyDescent="0.25">
      <c r="B107" s="10" t="s">
        <v>30</v>
      </c>
      <c r="C107" s="22">
        <f>F25*H25</f>
        <v>242990.32258064524</v>
      </c>
      <c r="D107" s="22">
        <f>F26*H26</f>
        <v>495700.2580645163</v>
      </c>
      <c r="E107" s="22">
        <f>F27*H27</f>
        <v>758421.39483870985</v>
      </c>
      <c r="F107" s="22">
        <f>F28*H28</f>
        <v>1031453.0969806452</v>
      </c>
      <c r="G107" s="22">
        <f>F29*H29</f>
        <v>1841143.7781104515</v>
      </c>
      <c r="H107" s="22">
        <f>F30*H30</f>
        <v>1877966.6536726609</v>
      </c>
      <c r="I107" s="22">
        <f>F31*H31</f>
        <v>1915525.9867461142</v>
      </c>
      <c r="J107" s="22">
        <f>F32*H32</f>
        <v>1953836.5064810361</v>
      </c>
      <c r="K107" s="22">
        <f>F33*H33</f>
        <v>1992913.2366106575</v>
      </c>
      <c r="L107" s="22">
        <f>F34*H34</f>
        <v>2032771.5013428703</v>
      </c>
      <c r="M107" s="22">
        <f>F35*H35</f>
        <v>2073426.9313697272</v>
      </c>
      <c r="N107" s="22">
        <f>F36*H36</f>
        <v>2114895.469997122</v>
      </c>
      <c r="O107" s="22">
        <f>F37*H37</f>
        <v>2157193.3793970649</v>
      </c>
      <c r="P107" s="22">
        <f>F38*H38</f>
        <v>2200337.2469850057</v>
      </c>
      <c r="Q107" s="22">
        <f>F39*H39</f>
        <v>2244343.9919247059</v>
      </c>
      <c r="R107" s="22">
        <f>F40*H40</f>
        <v>2289230.8717631996</v>
      </c>
    </row>
    <row r="108" spans="2:21" x14ac:dyDescent="0.25">
      <c r="B108" s="10" t="s">
        <v>31</v>
      </c>
      <c r="C108" s="33">
        <f>D51*F51</f>
        <v>0</v>
      </c>
      <c r="D108" s="22">
        <f>D52*F52</f>
        <v>1247625.7537378063</v>
      </c>
      <c r="E108" s="22">
        <f>D53*F53</f>
        <v>2545156.5376251247</v>
      </c>
      <c r="F108" s="22">
        <f>D54*F54</f>
        <v>3894089.5025664414</v>
      </c>
      <c r="G108" s="22">
        <f>D55*F55</f>
        <v>5295961.7234903611</v>
      </c>
      <c r="H108" s="22">
        <f>D56*F56</f>
        <v>5401880.9579601688</v>
      </c>
      <c r="I108" s="22">
        <f>D57*F57</f>
        <v>5509918.5771193719</v>
      </c>
      <c r="J108" s="22">
        <f>D58*F58</f>
        <v>5620116.9486617595</v>
      </c>
      <c r="K108" s="22">
        <f>D59*F59</f>
        <v>5732519.2876349948</v>
      </c>
      <c r="L108" s="22">
        <f>D60*F60</f>
        <v>5847169.6733876942</v>
      </c>
      <c r="M108" s="22">
        <f>D61*F61</f>
        <v>5964113.0668554483</v>
      </c>
      <c r="N108" s="22">
        <f>D62*F62</f>
        <v>6083395.3281925581</v>
      </c>
      <c r="O108" s="22">
        <f>D63*F63</f>
        <v>6205063.2347564092</v>
      </c>
      <c r="P108" s="22">
        <f>D64*F64</f>
        <v>6329164.4994515376</v>
      </c>
      <c r="Q108" s="22">
        <f>D65*F65</f>
        <v>6455747.7894405685</v>
      </c>
      <c r="R108" s="22">
        <f>D66*F66</f>
        <v>6584862.7452293811</v>
      </c>
    </row>
    <row r="109" spans="2:21" x14ac:dyDescent="0.25">
      <c r="B109" s="10" t="s">
        <v>72</v>
      </c>
      <c r="C109" s="33">
        <f>D77*F77</f>
        <v>0</v>
      </c>
      <c r="D109" s="22">
        <f>D78*F78</f>
        <v>7743883.9887174191</v>
      </c>
      <c r="E109" s="22">
        <f>D79*F79</f>
        <v>15797523.336983535</v>
      </c>
      <c r="F109" s="22">
        <f>D80*F80</f>
        <v>24170210.705584809</v>
      </c>
      <c r="G109" s="22">
        <f>D81*F81</f>
        <v>32871486.559595343</v>
      </c>
      <c r="H109" s="22">
        <f>D82*F82</f>
        <v>33528916.29078725</v>
      </c>
      <c r="I109" s="22">
        <f>D83*F83</f>
        <v>34199494.616602995</v>
      </c>
      <c r="J109" s="22">
        <f>D84*F84</f>
        <v>34883484.508935057</v>
      </c>
      <c r="K109" s="22">
        <f>D85*F85</f>
        <v>35581154.199113764</v>
      </c>
      <c r="L109" s="22">
        <f>D86*F86</f>
        <v>36292777.28309603</v>
      </c>
      <c r="M109" s="22">
        <f>D87*F87</f>
        <v>37018632.828757957</v>
      </c>
      <c r="N109" s="22">
        <f>D88*F88</f>
        <v>37759005.485333122</v>
      </c>
      <c r="O109" s="22">
        <f>D89*F89</f>
        <v>38514185.595039777</v>
      </c>
      <c r="P109" s="22">
        <f>D90*F90</f>
        <v>39284469.306940578</v>
      </c>
      <c r="Q109" s="22">
        <f>D91*F91</f>
        <v>40070158.693079397</v>
      </c>
      <c r="R109" s="22">
        <f>D92*F92</f>
        <v>40871561.866940983</v>
      </c>
    </row>
    <row r="110" spans="2:21" x14ac:dyDescent="0.25">
      <c r="B110" s="23" t="s">
        <v>6</v>
      </c>
      <c r="C110" s="24">
        <f t="shared" ref="C110:R110" si="9">SUM(C107:C109)</f>
        <v>242990.32258064524</v>
      </c>
      <c r="D110" s="24">
        <f t="shared" si="9"/>
        <v>9487210.0005197413</v>
      </c>
      <c r="E110" s="24">
        <f t="shared" si="9"/>
        <v>19101101.269447371</v>
      </c>
      <c r="F110" s="24">
        <f t="shared" si="9"/>
        <v>29095753.305131897</v>
      </c>
      <c r="G110" s="24">
        <f t="shared" si="9"/>
        <v>40008592.061196156</v>
      </c>
      <c r="H110" s="24">
        <f t="shared" si="9"/>
        <v>40808763.902420081</v>
      </c>
      <c r="I110" s="24">
        <f t="shared" si="9"/>
        <v>41624939.180468485</v>
      </c>
      <c r="J110" s="24">
        <f t="shared" si="9"/>
        <v>42457437.964077853</v>
      </c>
      <c r="K110" s="24">
        <f t="shared" si="9"/>
        <v>43306586.723359413</v>
      </c>
      <c r="L110" s="24">
        <f t="shared" si="9"/>
        <v>44172718.457826592</v>
      </c>
      <c r="M110" s="24">
        <f t="shared" si="9"/>
        <v>45056172.826983131</v>
      </c>
      <c r="N110" s="24">
        <f t="shared" si="9"/>
        <v>45957296.2835228</v>
      </c>
      <c r="O110" s="24">
        <f t="shared" si="9"/>
        <v>46876442.209193252</v>
      </c>
      <c r="P110" s="24">
        <f t="shared" si="9"/>
        <v>47813971.053377122</v>
      </c>
      <c r="Q110" s="24">
        <f t="shared" si="9"/>
        <v>48770250.474444672</v>
      </c>
      <c r="R110" s="24">
        <f t="shared" si="9"/>
        <v>49745655.483933568</v>
      </c>
    </row>
    <row r="113" spans="2:18" ht="15.75" thickBot="1" x14ac:dyDescent="0.3">
      <c r="B113" s="13" t="s">
        <v>5</v>
      </c>
      <c r="C113" s="13">
        <v>2020</v>
      </c>
      <c r="D113" s="13">
        <v>2021</v>
      </c>
      <c r="E113" s="13">
        <v>2022</v>
      </c>
      <c r="F113" s="13">
        <v>2023</v>
      </c>
      <c r="G113" s="13">
        <v>2024</v>
      </c>
      <c r="H113" s="13">
        <v>2025</v>
      </c>
      <c r="I113" s="13">
        <v>2026</v>
      </c>
      <c r="J113" s="13">
        <v>2027</v>
      </c>
      <c r="K113" s="13">
        <v>2028</v>
      </c>
      <c r="L113" s="13">
        <v>2029</v>
      </c>
      <c r="M113" s="13">
        <v>2030</v>
      </c>
      <c r="N113" s="13">
        <v>2031</v>
      </c>
      <c r="O113" s="13">
        <v>2032</v>
      </c>
      <c r="P113" s="13">
        <v>2033</v>
      </c>
      <c r="Q113" s="13">
        <v>2034</v>
      </c>
      <c r="R113" s="13">
        <v>2035</v>
      </c>
    </row>
    <row r="114" spans="2:18" ht="15.75" thickTop="1" x14ac:dyDescent="0.25">
      <c r="B114" s="10" t="s">
        <v>30</v>
      </c>
      <c r="C114" s="22">
        <f>F25*I25</f>
        <v>242990.32258064524</v>
      </c>
      <c r="D114" s="22">
        <f>F26*I26</f>
        <v>991400.51612903259</v>
      </c>
      <c r="E114" s="22">
        <f>F27*I27</f>
        <v>1516842.7896774197</v>
      </c>
      <c r="F114" s="22">
        <f>F28*I28</f>
        <v>1805042.9197161288</v>
      </c>
      <c r="G114" s="22">
        <f>F29*I29</f>
        <v>2630205.3973006452</v>
      </c>
      <c r="H114" s="22">
        <f>F30*I30</f>
        <v>2682809.5052466588</v>
      </c>
      <c r="I114" s="22">
        <f>F31*I31</f>
        <v>2736465.6953515918</v>
      </c>
      <c r="J114" s="22">
        <f>F32*I32</f>
        <v>2791195.0092586232</v>
      </c>
      <c r="K114" s="22">
        <f>F33*I33</f>
        <v>2847018.9094437966</v>
      </c>
      <c r="L114" s="22">
        <f>F34*I34</f>
        <v>2903959.2876326721</v>
      </c>
      <c r="M114" s="22">
        <f>F35*I35</f>
        <v>2962038.4733853247</v>
      </c>
      <c r="N114" s="22">
        <f>F36*I36</f>
        <v>3021279.2428530315</v>
      </c>
      <c r="O114" s="22">
        <f>F37*I37</f>
        <v>3081704.827710093</v>
      </c>
      <c r="P114" s="22">
        <f>F38*I38</f>
        <v>3143338.9242642941</v>
      </c>
      <c r="Q114" s="22">
        <f>F39*I39</f>
        <v>3206205.7027495801</v>
      </c>
      <c r="R114" s="22">
        <f>F40*I40</f>
        <v>3270329.8168045711</v>
      </c>
    </row>
    <row r="115" spans="2:18" x14ac:dyDescent="0.25">
      <c r="B115" s="10" t="s">
        <v>31</v>
      </c>
      <c r="C115" s="33">
        <f>D51*G51</f>
        <v>0</v>
      </c>
      <c r="D115" s="33">
        <f>D52*G52</f>
        <v>1247625.7537378063</v>
      </c>
      <c r="E115" s="33">
        <f>D53*G53</f>
        <v>3817734.806437687</v>
      </c>
      <c r="F115" s="33">
        <f>D54*G54</f>
        <v>5192119.3367552562</v>
      </c>
      <c r="G115" s="33">
        <f>D55*G55</f>
        <v>6619952.1543629505</v>
      </c>
      <c r="H115" s="33">
        <f>D56*G56</f>
        <v>9453291.6764302943</v>
      </c>
      <c r="I115" s="33">
        <f>D57*G57</f>
        <v>11019837.154238744</v>
      </c>
      <c r="J115" s="33">
        <f>D58*G58</f>
        <v>14050292.371654397</v>
      </c>
      <c r="K115" s="33">
        <f>D59*G59</f>
        <v>14331298.219087487</v>
      </c>
      <c r="L115" s="33">
        <f>D60*G60</f>
        <v>14617924.183469234</v>
      </c>
      <c r="M115" s="33">
        <f>D61*G61</f>
        <v>14910282.667138619</v>
      </c>
      <c r="N115" s="33">
        <f>D62*G62</f>
        <v>15208488.320481395</v>
      </c>
      <c r="O115" s="33">
        <f>D63*G63</f>
        <v>15512658.086891022</v>
      </c>
      <c r="P115" s="33">
        <f>D64*G64</f>
        <v>15822911.248628844</v>
      </c>
      <c r="Q115" s="33">
        <f>D65*G65</f>
        <v>16139369.473601421</v>
      </c>
      <c r="R115" s="33">
        <f>D58*G65</f>
        <v>14050292.371654397</v>
      </c>
    </row>
    <row r="116" spans="2:18" x14ac:dyDescent="0.25">
      <c r="B116" s="10" t="s">
        <v>72</v>
      </c>
      <c r="C116" s="33">
        <f>D77*G77</f>
        <v>0</v>
      </c>
      <c r="D116" s="33">
        <f>D78*G78</f>
        <v>7743883.9887174191</v>
      </c>
      <c r="E116" s="33">
        <f>D79*G79</f>
        <v>23696285.005475301</v>
      </c>
      <c r="F116" s="33">
        <f>D80*G80</f>
        <v>32226947.607446417</v>
      </c>
      <c r="G116" s="33">
        <f>D81*G81</f>
        <v>41089358.199494176</v>
      </c>
      <c r="H116" s="33">
        <f>D82*G82</f>
        <v>58675603.508877687</v>
      </c>
      <c r="I116" s="33">
        <f>D83*G83</f>
        <v>68398989.233205989</v>
      </c>
      <c r="J116" s="33">
        <f>D84*G84</f>
        <v>87208711.27233763</v>
      </c>
      <c r="K116" s="33">
        <f>D85*G85</f>
        <v>88952885.497784406</v>
      </c>
      <c r="L116" s="33">
        <f>D86*G86</f>
        <v>90731943.207740068</v>
      </c>
      <c r="M116" s="33">
        <f>D87*G87</f>
        <v>92546582.071894884</v>
      </c>
      <c r="N116" s="33">
        <f>D88*G88</f>
        <v>94397513.713332802</v>
      </c>
      <c r="O116" s="33">
        <f>D89*G89</f>
        <v>96285463.987599447</v>
      </c>
      <c r="P116" s="33">
        <f>D90*G90</f>
        <v>98211173.267351449</v>
      </c>
      <c r="Q116" s="33">
        <f>D91*G91</f>
        <v>100175396.73269849</v>
      </c>
      <c r="R116" s="33">
        <f>D92*G92</f>
        <v>102178904.66735245</v>
      </c>
    </row>
    <row r="117" spans="2:18" x14ac:dyDescent="0.25">
      <c r="B117" s="23" t="s">
        <v>6</v>
      </c>
      <c r="C117" s="24">
        <f t="shared" ref="C117:R117" si="10">SUM(C114:C116)</f>
        <v>242990.32258064524</v>
      </c>
      <c r="D117" s="24">
        <f t="shared" si="10"/>
        <v>9982910.2585842572</v>
      </c>
      <c r="E117" s="24">
        <f t="shared" si="10"/>
        <v>29030862.60159041</v>
      </c>
      <c r="F117" s="24">
        <f t="shared" si="10"/>
        <v>39224109.863917805</v>
      </c>
      <c r="G117" s="24">
        <f t="shared" si="10"/>
        <v>50339515.751157776</v>
      </c>
      <c r="H117" s="24">
        <f t="shared" si="10"/>
        <v>70811704.690554649</v>
      </c>
      <c r="I117" s="24">
        <f t="shared" si="10"/>
        <v>82155292.08279632</v>
      </c>
      <c r="J117" s="24">
        <f t="shared" si="10"/>
        <v>104050198.65325065</v>
      </c>
      <c r="K117" s="24">
        <f t="shared" si="10"/>
        <v>106131202.62631568</v>
      </c>
      <c r="L117" s="24">
        <f t="shared" si="10"/>
        <v>108253826.67884198</v>
      </c>
      <c r="M117" s="24">
        <f t="shared" si="10"/>
        <v>110418903.21241882</v>
      </c>
      <c r="N117" s="24">
        <f t="shared" si="10"/>
        <v>112627281.27666724</v>
      </c>
      <c r="O117" s="24">
        <f t="shared" si="10"/>
        <v>114879826.90220056</v>
      </c>
      <c r="P117" s="24">
        <f t="shared" si="10"/>
        <v>117177423.44024459</v>
      </c>
      <c r="Q117" s="24">
        <f t="shared" si="10"/>
        <v>119520971.90904948</v>
      </c>
      <c r="R117" s="24">
        <f t="shared" si="10"/>
        <v>119499526.85581142</v>
      </c>
    </row>
    <row r="118" spans="2:18" x14ac:dyDescent="0.25">
      <c r="B118"/>
      <c r="C118"/>
      <c r="D118"/>
    </row>
    <row r="119" spans="2:18" x14ac:dyDescent="0.25">
      <c r="B119" s="25"/>
      <c r="C119" s="25"/>
      <c r="D119" s="25"/>
    </row>
    <row r="120" spans="2:18" x14ac:dyDescent="0.25">
      <c r="B120"/>
      <c r="C120"/>
      <c r="D120"/>
    </row>
    <row r="121" spans="2:18" x14ac:dyDescent="0.25">
      <c r="B121"/>
      <c r="C121"/>
      <c r="D121"/>
    </row>
    <row r="122" spans="2:18" x14ac:dyDescent="0.25">
      <c r="B122"/>
      <c r="C122"/>
      <c r="D122"/>
    </row>
    <row r="123" spans="2:18" x14ac:dyDescent="0.25">
      <c r="B123"/>
      <c r="C123"/>
      <c r="D123"/>
    </row>
    <row r="124" spans="2:18" x14ac:dyDescent="0.25">
      <c r="B124"/>
      <c r="C124"/>
      <c r="D124"/>
    </row>
    <row r="125" spans="2:18" x14ac:dyDescent="0.25">
      <c r="B125"/>
      <c r="C125"/>
      <c r="D125"/>
    </row>
    <row r="126" spans="2:18" x14ac:dyDescent="0.25">
      <c r="B126"/>
      <c r="C126"/>
      <c r="D126"/>
    </row>
    <row r="127" spans="2:18" x14ac:dyDescent="0.25">
      <c r="B127"/>
      <c r="C127"/>
      <c r="D127"/>
    </row>
    <row r="128" spans="2:18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0E63-64E1-4BED-999C-004750AF1AD0}">
  <dimension ref="A1:S68"/>
  <sheetViews>
    <sheetView workbookViewId="0">
      <selection sqref="A1:D2"/>
    </sheetView>
  </sheetViews>
  <sheetFormatPr defaultColWidth="9.140625" defaultRowHeight="15" x14ac:dyDescent="0.25"/>
  <cols>
    <col min="1" max="1" width="46.140625" customWidth="1"/>
    <col min="2" max="2" width="23.28515625" style="52" customWidth="1"/>
    <col min="3" max="3" width="15.28515625" style="52" customWidth="1"/>
    <col min="4" max="4" width="20.85546875" style="52" customWidth="1"/>
    <col min="5" max="7" width="15.28515625" style="52" customWidth="1"/>
    <col min="8" max="8" width="15.28515625" style="52" bestFit="1" customWidth="1"/>
    <col min="9" max="10" width="15.28515625" style="52" customWidth="1"/>
    <col min="11" max="11" width="17.5703125" style="52" customWidth="1"/>
    <col min="12" max="12" width="18.5703125" customWidth="1"/>
    <col min="13" max="13" width="17.28515625" customWidth="1"/>
    <col min="14" max="14" width="17.5703125" customWidth="1"/>
    <col min="15" max="15" width="16" customWidth="1"/>
    <col min="16" max="16" width="16.5703125" customWidth="1"/>
    <col min="17" max="17" width="22.7109375" customWidth="1"/>
    <col min="19" max="19" width="14.140625" customWidth="1"/>
    <col min="20" max="21" width="10" customWidth="1"/>
    <col min="22" max="22" width="10.85546875" customWidth="1"/>
    <col min="23" max="23" width="10.42578125" customWidth="1"/>
    <col min="24" max="24" width="11" customWidth="1"/>
    <col min="25" max="26" width="11.42578125" customWidth="1"/>
    <col min="27" max="27" width="10.140625" customWidth="1"/>
    <col min="28" max="28" width="11" customWidth="1"/>
    <col min="29" max="29" width="10.7109375" customWidth="1"/>
    <col min="30" max="30" width="13.42578125" customWidth="1"/>
  </cols>
  <sheetData>
    <row r="1" spans="1:19" x14ac:dyDescent="0.25">
      <c r="A1" s="113" t="s">
        <v>71</v>
      </c>
      <c r="B1" s="113"/>
      <c r="C1" s="113"/>
      <c r="D1" s="113"/>
    </row>
    <row r="2" spans="1:19" x14ac:dyDescent="0.25">
      <c r="A2" s="113"/>
      <c r="B2" s="113"/>
      <c r="C2" s="113"/>
      <c r="D2" s="113"/>
    </row>
    <row r="3" spans="1:19" ht="7.9" customHeight="1" x14ac:dyDescent="0.25"/>
    <row r="4" spans="1:19" ht="7.9" customHeight="1" x14ac:dyDescent="0.25">
      <c r="S4" s="16"/>
    </row>
    <row r="5" spans="1:19" ht="15" customHeight="1" x14ac:dyDescent="0.25">
      <c r="A5" t="s">
        <v>1</v>
      </c>
      <c r="B5" s="17">
        <v>0.12</v>
      </c>
      <c r="S5" s="16"/>
    </row>
    <row r="6" spans="1:19" ht="15" customHeight="1" x14ac:dyDescent="0.25">
      <c r="A6" t="s">
        <v>76</v>
      </c>
      <c r="B6" s="18">
        <f>SUM(B19:G19)</f>
        <v>200000000</v>
      </c>
    </row>
    <row r="7" spans="1:19" ht="9.6" customHeight="1" x14ac:dyDescent="0.25"/>
    <row r="8" spans="1:19" ht="9.6" customHeight="1" x14ac:dyDescent="0.25">
      <c r="B8" s="17"/>
    </row>
    <row r="9" spans="1:19" s="55" customFormat="1" ht="15" customHeight="1" x14ac:dyDescent="0.25">
      <c r="A9" s="53" t="s">
        <v>73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9" ht="15" customHeight="1" x14ac:dyDescent="0.25">
      <c r="B10" s="56">
        <v>2020</v>
      </c>
      <c r="C10" s="56">
        <v>2021</v>
      </c>
      <c r="D10" s="56">
        <v>2022</v>
      </c>
      <c r="E10" s="56">
        <v>2023</v>
      </c>
      <c r="F10" s="56">
        <v>2024</v>
      </c>
      <c r="G10" s="56">
        <v>2025</v>
      </c>
      <c r="H10" s="56">
        <v>2026</v>
      </c>
      <c r="I10" s="56">
        <v>2027</v>
      </c>
      <c r="J10" s="56">
        <v>2028</v>
      </c>
      <c r="K10" s="56">
        <v>2029</v>
      </c>
      <c r="L10" s="56">
        <v>2030</v>
      </c>
      <c r="M10" s="56">
        <v>2031</v>
      </c>
      <c r="N10" s="56">
        <v>2032</v>
      </c>
      <c r="O10" s="56">
        <v>2033</v>
      </c>
      <c r="P10" s="56">
        <v>2034</v>
      </c>
      <c r="Q10" s="56">
        <v>2035</v>
      </c>
    </row>
    <row r="11" spans="1:19" ht="15" customHeight="1" x14ac:dyDescent="0.25">
      <c r="A11" s="57" t="s">
        <v>57</v>
      </c>
      <c r="B11" s="58">
        <v>0</v>
      </c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  <c r="P11" s="58">
        <v>14</v>
      </c>
      <c r="Q11" s="58">
        <v>15</v>
      </c>
    </row>
    <row r="12" spans="1:19" ht="30" x14ac:dyDescent="0.25">
      <c r="A12" s="96" t="s">
        <v>30</v>
      </c>
      <c r="B12" s="60">
        <f>Beneficios!C100</f>
        <v>242990.32258064524</v>
      </c>
      <c r="C12" s="60">
        <f>Beneficios!D100</f>
        <v>743550.38709677442</v>
      </c>
      <c r="D12" s="60">
        <f>Beneficios!E100</f>
        <v>1264035.6580645165</v>
      </c>
      <c r="E12" s="60">
        <f>Beneficios!F100</f>
        <v>1547179.6454709677</v>
      </c>
      <c r="F12" s="60">
        <f>Beneficios!G100</f>
        <v>2367184.8575705807</v>
      </c>
      <c r="G12" s="60">
        <f>Beneficios!H100</f>
        <v>2414528.5547219929</v>
      </c>
      <c r="H12" s="60">
        <f>Beneficios!I100</f>
        <v>2462819.1258164328</v>
      </c>
      <c r="I12" s="60">
        <f>Beneficios!J100</f>
        <v>2512075.508332761</v>
      </c>
      <c r="J12" s="60">
        <f>Beneficios!K100</f>
        <v>2562317.0184994172</v>
      </c>
      <c r="K12" s="60">
        <f>Beneficios!L100</f>
        <v>2613563.358869405</v>
      </c>
      <c r="L12" s="60">
        <f>Beneficios!M100</f>
        <v>2665834.6260467921</v>
      </c>
      <c r="M12" s="60">
        <f>Beneficios!N100</f>
        <v>2719151.3185677286</v>
      </c>
      <c r="N12" s="60">
        <f>Beneficios!O100</f>
        <v>2773534.3449390838</v>
      </c>
      <c r="O12" s="60">
        <f>Beneficios!P100</f>
        <v>2829005.0318378648</v>
      </c>
      <c r="P12" s="60">
        <f>Beneficios!Q100</f>
        <v>2885585.1324746222</v>
      </c>
      <c r="Q12" s="60">
        <f>Beneficios!R100</f>
        <v>2943296.8351241141</v>
      </c>
    </row>
    <row r="13" spans="1:19" ht="45" x14ac:dyDescent="0.25">
      <c r="A13" s="96" t="s">
        <v>31</v>
      </c>
      <c r="B13" s="60">
        <f>Beneficios!C101</f>
        <v>0</v>
      </c>
      <c r="C13" s="60">
        <f>Beneficios!D101</f>
        <v>1247625.7537378063</v>
      </c>
      <c r="D13" s="60">
        <f>Beneficios!E101</f>
        <v>3181445.6720314058</v>
      </c>
      <c r="E13" s="60">
        <f>Beneficios!F101</f>
        <v>4543104.4196608486</v>
      </c>
      <c r="F13" s="60">
        <f>Beneficios!G101</f>
        <v>5957956.9389266558</v>
      </c>
      <c r="G13" s="60">
        <f>Beneficios!H101</f>
        <v>8102821.4369402518</v>
      </c>
      <c r="H13" s="60">
        <f>Beneficios!I101</f>
        <v>8264877.8656790564</v>
      </c>
      <c r="I13" s="60">
        <f>Beneficios!J101</f>
        <v>8430175.4229926374</v>
      </c>
      <c r="J13" s="60">
        <f>Beneficios!K101</f>
        <v>8598778.9314524923</v>
      </c>
      <c r="K13" s="60">
        <f>Beneficios!L101</f>
        <v>8770754.5100815408</v>
      </c>
      <c r="L13" s="60">
        <f>Beneficios!M101</f>
        <v>8946169.600283172</v>
      </c>
      <c r="M13" s="60">
        <f>Beneficios!N101</f>
        <v>9125092.9922888372</v>
      </c>
      <c r="N13" s="60">
        <f>Beneficios!O101</f>
        <v>9307594.8521346133</v>
      </c>
      <c r="O13" s="60">
        <f>Beneficios!P101</f>
        <v>9493746.749177305</v>
      </c>
      <c r="P13" s="60">
        <f>Beneficios!Q101</f>
        <v>9683621.6841608528</v>
      </c>
      <c r="Q13" s="60">
        <f>Beneficios!R101</f>
        <v>9877294.1178440712</v>
      </c>
    </row>
    <row r="14" spans="1:19" ht="30" x14ac:dyDescent="0.25">
      <c r="A14" s="96" t="s">
        <v>72</v>
      </c>
      <c r="B14" s="60">
        <f>Beneficios!C102</f>
        <v>0</v>
      </c>
      <c r="C14" s="60">
        <f>Beneficios!D102</f>
        <v>7743883.9887174191</v>
      </c>
      <c r="D14" s="60">
        <f>Beneficios!E102</f>
        <v>19746904.171229418</v>
      </c>
      <c r="E14" s="60">
        <f>Beneficios!F102</f>
        <v>28198579.156515609</v>
      </c>
      <c r="F14" s="60">
        <f>Beneficios!G102</f>
        <v>36980422.379544757</v>
      </c>
      <c r="G14" s="60">
        <f>Beneficios!H102</f>
        <v>50293374.436180875</v>
      </c>
      <c r="H14" s="60">
        <f>Beneficios!I102</f>
        <v>51299241.924904488</v>
      </c>
      <c r="I14" s="60">
        <f>Beneficios!J102</f>
        <v>52325226.763402574</v>
      </c>
      <c r="J14" s="60">
        <f>Beneficios!K102</f>
        <v>53371731.298670642</v>
      </c>
      <c r="K14" s="60">
        <f>Beneficios!L102</f>
        <v>54439165.924644038</v>
      </c>
      <c r="L14" s="60">
        <f>Beneficios!M102</f>
        <v>55527949.243136927</v>
      </c>
      <c r="M14" s="60">
        <f>Beneficios!N102</f>
        <v>56638508.22799968</v>
      </c>
      <c r="N14" s="60">
        <f>Beneficios!O102</f>
        <v>57771278.39255967</v>
      </c>
      <c r="O14" s="60">
        <f>Beneficios!P102</f>
        <v>58926703.960410871</v>
      </c>
      <c r="P14" s="60">
        <f>Beneficios!Q102</f>
        <v>60105238.039619088</v>
      </c>
      <c r="Q14" s="60">
        <f>Beneficios!R102</f>
        <v>61307342.80041147</v>
      </c>
    </row>
    <row r="15" spans="1:19" ht="15" customHeight="1" x14ac:dyDescent="0.25">
      <c r="A15" s="59" t="s">
        <v>58</v>
      </c>
      <c r="B15" s="60">
        <f>SUM(B12:B13)</f>
        <v>242990.32258064524</v>
      </c>
      <c r="C15" s="60">
        <f t="shared" ref="C15:Q15" si="0">SUM(C12:C14)</f>
        <v>9735060.1295519993</v>
      </c>
      <c r="D15" s="60">
        <f t="shared" si="0"/>
        <v>24192385.501325339</v>
      </c>
      <c r="E15" s="60">
        <f t="shared" si="0"/>
        <v>34288863.221647426</v>
      </c>
      <c r="F15" s="60">
        <f t="shared" si="0"/>
        <v>45305564.176041991</v>
      </c>
      <c r="G15" s="60">
        <f t="shared" si="0"/>
        <v>60810724.427843124</v>
      </c>
      <c r="H15" s="60">
        <f t="shared" si="0"/>
        <v>62026938.916399978</v>
      </c>
      <c r="I15" s="60">
        <f t="shared" si="0"/>
        <v>63267477.694727972</v>
      </c>
      <c r="J15" s="60">
        <f t="shared" si="0"/>
        <v>64532827.248622552</v>
      </c>
      <c r="K15" s="60">
        <f t="shared" si="0"/>
        <v>65823483.793594986</v>
      </c>
      <c r="L15" s="60">
        <f t="shared" si="0"/>
        <v>67139953.469466895</v>
      </c>
      <c r="M15" s="60">
        <f t="shared" si="0"/>
        <v>68482752.538856238</v>
      </c>
      <c r="N15" s="60">
        <f t="shared" si="0"/>
        <v>69852407.589633375</v>
      </c>
      <c r="O15" s="60">
        <f t="shared" si="0"/>
        <v>71249455.741426036</v>
      </c>
      <c r="P15" s="60">
        <f t="shared" si="0"/>
        <v>72674444.856254563</v>
      </c>
      <c r="Q15" s="60">
        <f t="shared" si="0"/>
        <v>74127933.753379658</v>
      </c>
    </row>
    <row r="16" spans="1:19" ht="15" customHeight="1" x14ac:dyDescent="0.25">
      <c r="A16" s="59" t="s">
        <v>59</v>
      </c>
      <c r="B16" s="60">
        <f t="shared" ref="B16:Q16" si="1">B15/(1+$B$5)^B11</f>
        <v>242990.32258064524</v>
      </c>
      <c r="C16" s="60">
        <f t="shared" si="1"/>
        <v>8692017.9728142843</v>
      </c>
      <c r="D16" s="60">
        <f t="shared" si="1"/>
        <v>19286021.605010632</v>
      </c>
      <c r="E16" s="60">
        <f t="shared" si="1"/>
        <v>24406135.561144356</v>
      </c>
      <c r="F16" s="60">
        <f t="shared" si="1"/>
        <v>28792505.086204965</v>
      </c>
      <c r="G16" s="60">
        <f t="shared" si="1"/>
        <v>34505638.15606124</v>
      </c>
      <c r="H16" s="60">
        <f t="shared" si="1"/>
        <v>31424777.606412906</v>
      </c>
      <c r="I16" s="60">
        <f t="shared" si="1"/>
        <v>28618993.891554605</v>
      </c>
      <c r="J16" s="60">
        <f t="shared" si="1"/>
        <v>26063726.579808667</v>
      </c>
      <c r="K16" s="60">
        <f t="shared" si="1"/>
        <v>23736608.135182884</v>
      </c>
      <c r="L16" s="60">
        <f t="shared" si="1"/>
        <v>21617268.123112984</v>
      </c>
      <c r="M16" s="60">
        <f t="shared" si="1"/>
        <v>19687154.897835039</v>
      </c>
      <c r="N16" s="60">
        <f t="shared" si="1"/>
        <v>17929373.210528344</v>
      </c>
      <c r="O16" s="60">
        <f t="shared" si="1"/>
        <v>16328536.316731166</v>
      </c>
      <c r="P16" s="60">
        <f t="shared" si="1"/>
        <v>14870631.288451597</v>
      </c>
      <c r="Q16" s="60">
        <f t="shared" si="1"/>
        <v>13542896.351982707</v>
      </c>
    </row>
    <row r="17" spans="1:17" ht="15" customHeight="1" x14ac:dyDescent="0.25">
      <c r="A17" s="59" t="s">
        <v>60</v>
      </c>
      <c r="B17" s="62">
        <f>NPV(B5,C15:Q15)</f>
        <v>329502284.78283632</v>
      </c>
      <c r="D17" s="60"/>
      <c r="E17" s="60"/>
      <c r="F17" s="60"/>
      <c r="G17" s="60"/>
      <c r="H17" s="60"/>
      <c r="I17" s="60"/>
      <c r="J17" s="60"/>
      <c r="K17" s="60"/>
    </row>
    <row r="18" spans="1:17" s="64" customFormat="1" ht="15" customHeight="1" x14ac:dyDescent="0.25">
      <c r="A18" s="57" t="s">
        <v>61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7" ht="15" customHeight="1" x14ac:dyDescent="0.25">
      <c r="A19" s="59" t="s">
        <v>62</v>
      </c>
      <c r="B19" s="95">
        <v>40000000</v>
      </c>
      <c r="C19" s="95">
        <v>40000000</v>
      </c>
      <c r="D19" s="95">
        <v>60000000</v>
      </c>
      <c r="E19" s="95">
        <v>50000000</v>
      </c>
      <c r="F19" s="95">
        <v>10000000</v>
      </c>
      <c r="G19" s="65"/>
      <c r="I19" s="60"/>
      <c r="J19" s="60"/>
      <c r="K19" s="60"/>
    </row>
    <row r="20" spans="1:17" x14ac:dyDescent="0.25">
      <c r="A20" s="59" t="s">
        <v>63</v>
      </c>
      <c r="B20" s="66">
        <f>B15-B19</f>
        <v>-39757009.677419357</v>
      </c>
      <c r="C20" s="66">
        <f>C15-C19</f>
        <v>-30264939.870448001</v>
      </c>
      <c r="D20" s="66">
        <f>D15-D19</f>
        <v>-35807614.498674661</v>
      </c>
      <c r="E20" s="66">
        <f>E15-E19</f>
        <v>-15711136.778352574</v>
      </c>
      <c r="F20" s="66">
        <f t="shared" ref="F20:Q20" si="2">F15-F19</f>
        <v>35305564.176041991</v>
      </c>
      <c r="G20" s="66">
        <f t="shared" si="2"/>
        <v>60810724.427843124</v>
      </c>
      <c r="H20" s="66">
        <f t="shared" si="2"/>
        <v>62026938.916399978</v>
      </c>
      <c r="I20" s="66">
        <f t="shared" si="2"/>
        <v>63267477.694727972</v>
      </c>
      <c r="J20" s="66">
        <f t="shared" si="2"/>
        <v>64532827.248622552</v>
      </c>
      <c r="K20" s="66">
        <f t="shared" si="2"/>
        <v>65823483.793594986</v>
      </c>
      <c r="L20" s="66">
        <f t="shared" si="2"/>
        <v>67139953.469466895</v>
      </c>
      <c r="M20" s="66">
        <f t="shared" si="2"/>
        <v>68482752.538856238</v>
      </c>
      <c r="N20" s="66">
        <f t="shared" si="2"/>
        <v>69852407.589633375</v>
      </c>
      <c r="O20" s="66">
        <f t="shared" si="2"/>
        <v>71249455.741426036</v>
      </c>
      <c r="P20" s="66">
        <f t="shared" si="2"/>
        <v>72674444.856254563</v>
      </c>
      <c r="Q20" s="66">
        <f t="shared" si="2"/>
        <v>74127933.753379658</v>
      </c>
    </row>
    <row r="21" spans="1:17" x14ac:dyDescent="0.25">
      <c r="A21" s="59" t="s">
        <v>64</v>
      </c>
      <c r="B21" s="66">
        <f t="shared" ref="B21:G21" si="3">B19/(1+$B$5)^B11</f>
        <v>40000000</v>
      </c>
      <c r="C21" s="66">
        <f t="shared" si="3"/>
        <v>35714285.714285709</v>
      </c>
      <c r="D21" s="66">
        <f t="shared" si="3"/>
        <v>47831632.653061219</v>
      </c>
      <c r="E21" s="66">
        <f t="shared" si="3"/>
        <v>35589012.390670545</v>
      </c>
      <c r="F21" s="66">
        <f t="shared" si="3"/>
        <v>6355180.7840483114</v>
      </c>
      <c r="G21" s="66">
        <f t="shared" si="3"/>
        <v>0</v>
      </c>
      <c r="H21" s="66"/>
      <c r="I21" s="66"/>
      <c r="J21" s="66"/>
      <c r="K21" s="66"/>
    </row>
    <row r="22" spans="1:17" x14ac:dyDescent="0.25">
      <c r="A22" s="59" t="s">
        <v>65</v>
      </c>
      <c r="B22" s="66">
        <f>SUM(C21:Q21)</f>
        <v>125490111.5420658</v>
      </c>
      <c r="C22" s="67"/>
      <c r="D22" s="66"/>
      <c r="E22" s="66"/>
      <c r="F22" s="66"/>
      <c r="G22" s="66"/>
      <c r="H22" s="66"/>
      <c r="I22" s="66"/>
      <c r="J22" s="66"/>
      <c r="K22" s="66"/>
    </row>
    <row r="23" spans="1:17" x14ac:dyDescent="0.25">
      <c r="A23" s="68" t="s">
        <v>66</v>
      </c>
      <c r="B23" s="63">
        <f>B16-B21</f>
        <v>-39757009.677419357</v>
      </c>
      <c r="C23" s="63">
        <f t="shared" ref="C23:Q23" si="4">C16-C21</f>
        <v>-27022267.741471425</v>
      </c>
      <c r="D23" s="63">
        <f t="shared" si="4"/>
        <v>-28545611.048050586</v>
      </c>
      <c r="E23" s="63">
        <f t="shared" si="4"/>
        <v>-11182876.82952619</v>
      </c>
      <c r="F23" s="63">
        <f t="shared" si="4"/>
        <v>22437324.302156653</v>
      </c>
      <c r="G23" s="63">
        <f t="shared" si="4"/>
        <v>34505638.15606124</v>
      </c>
      <c r="H23" s="63">
        <f t="shared" si="4"/>
        <v>31424777.606412906</v>
      </c>
      <c r="I23" s="63">
        <f t="shared" si="4"/>
        <v>28618993.891554605</v>
      </c>
      <c r="J23" s="63">
        <f t="shared" si="4"/>
        <v>26063726.579808667</v>
      </c>
      <c r="K23" s="63">
        <f t="shared" si="4"/>
        <v>23736608.135182884</v>
      </c>
      <c r="L23" s="63">
        <f t="shared" si="4"/>
        <v>21617268.123112984</v>
      </c>
      <c r="M23" s="63">
        <f t="shared" si="4"/>
        <v>19687154.897835039</v>
      </c>
      <c r="N23" s="63">
        <f t="shared" si="4"/>
        <v>17929373.210528344</v>
      </c>
      <c r="O23" s="63">
        <f t="shared" si="4"/>
        <v>16328536.316731166</v>
      </c>
      <c r="P23" s="63">
        <f t="shared" si="4"/>
        <v>14870631.288451597</v>
      </c>
      <c r="Q23" s="63">
        <f t="shared" si="4"/>
        <v>13542896.351982707</v>
      </c>
    </row>
    <row r="24" spans="1:17" x14ac:dyDescent="0.25">
      <c r="A24" s="69" t="s">
        <v>67</v>
      </c>
      <c r="B24" s="70">
        <f>NPV(B5,C20:Q20)</f>
        <v>204012173.24077055</v>
      </c>
    </row>
    <row r="25" spans="1:17" hidden="1" x14ac:dyDescent="0.25">
      <c r="A25" s="69" t="s">
        <v>68</v>
      </c>
      <c r="B25" s="71">
        <f>SUM(B23:K23)</f>
        <v>60279303.374709398</v>
      </c>
    </row>
    <row r="26" spans="1:17" x14ac:dyDescent="0.25">
      <c r="A26" s="69" t="s">
        <v>69</v>
      </c>
      <c r="B26" s="71">
        <f>B17/B22</f>
        <v>2.6257231006793962</v>
      </c>
    </row>
    <row r="27" spans="1:17" x14ac:dyDescent="0.25">
      <c r="A27" s="69" t="s">
        <v>70</v>
      </c>
      <c r="B27" s="72">
        <f>IRR(C20:Q20)</f>
        <v>0.42340151372809887</v>
      </c>
    </row>
    <row r="29" spans="1:17" s="75" customFormat="1" ht="15" customHeight="1" x14ac:dyDescent="0.25">
      <c r="A29" s="73" t="s">
        <v>74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7" ht="15" customHeight="1" x14ac:dyDescent="0.25">
      <c r="B30" s="56">
        <v>2020</v>
      </c>
      <c r="C30" s="56">
        <v>2021</v>
      </c>
      <c r="D30" s="56">
        <v>2022</v>
      </c>
      <c r="E30" s="56">
        <v>2023</v>
      </c>
      <c r="F30" s="56">
        <v>2024</v>
      </c>
      <c r="G30" s="56">
        <v>2025</v>
      </c>
      <c r="H30" s="56">
        <v>2026</v>
      </c>
      <c r="I30" s="56">
        <v>2027</v>
      </c>
      <c r="J30" s="56">
        <v>2028</v>
      </c>
      <c r="K30" s="56">
        <v>2029</v>
      </c>
      <c r="L30" s="56">
        <v>2030</v>
      </c>
      <c r="M30" s="56">
        <v>2031</v>
      </c>
      <c r="N30" s="56">
        <v>2032</v>
      </c>
      <c r="O30" s="56">
        <v>2033</v>
      </c>
      <c r="P30" s="56">
        <v>2034</v>
      </c>
      <c r="Q30" s="56">
        <v>2035</v>
      </c>
    </row>
    <row r="31" spans="1:17" ht="15" customHeight="1" x14ac:dyDescent="0.25">
      <c r="A31" s="76" t="s">
        <v>57</v>
      </c>
      <c r="B31" s="77">
        <v>0</v>
      </c>
      <c r="C31" s="77">
        <v>1</v>
      </c>
      <c r="D31" s="77">
        <v>2</v>
      </c>
      <c r="E31" s="77">
        <v>3</v>
      </c>
      <c r="F31" s="77">
        <v>4</v>
      </c>
      <c r="G31" s="77">
        <v>5</v>
      </c>
      <c r="H31" s="77">
        <v>6</v>
      </c>
      <c r="I31" s="77">
        <v>7</v>
      </c>
      <c r="J31" s="77">
        <v>8</v>
      </c>
      <c r="K31" s="77">
        <v>9</v>
      </c>
      <c r="L31" s="77">
        <v>10</v>
      </c>
      <c r="M31" s="77">
        <v>11</v>
      </c>
      <c r="N31" s="77">
        <v>12</v>
      </c>
      <c r="O31" s="77">
        <v>13</v>
      </c>
      <c r="P31" s="77">
        <v>14</v>
      </c>
      <c r="Q31" s="77">
        <v>15</v>
      </c>
    </row>
    <row r="32" spans="1:17" ht="30" x14ac:dyDescent="0.25">
      <c r="A32" s="96" t="s">
        <v>30</v>
      </c>
      <c r="B32" s="61">
        <f>Beneficios!C107</f>
        <v>242990.32258064524</v>
      </c>
      <c r="C32" s="61">
        <f>Beneficios!D107</f>
        <v>495700.2580645163</v>
      </c>
      <c r="D32" s="61">
        <f>Beneficios!E107</f>
        <v>758421.39483870985</v>
      </c>
      <c r="E32" s="61">
        <f>Beneficios!F107</f>
        <v>1031453.0969806452</v>
      </c>
      <c r="F32" s="61">
        <f>Beneficios!G107</f>
        <v>1841143.7781104515</v>
      </c>
      <c r="G32" s="61">
        <f>Beneficios!H107</f>
        <v>1877966.6536726609</v>
      </c>
      <c r="H32" s="61">
        <f>Beneficios!I107</f>
        <v>1915525.9867461142</v>
      </c>
      <c r="I32" s="61">
        <f>Beneficios!J107</f>
        <v>1953836.5064810361</v>
      </c>
      <c r="J32" s="61">
        <f>Beneficios!K107</f>
        <v>1992913.2366106575</v>
      </c>
      <c r="K32" s="61">
        <f>Beneficios!L107</f>
        <v>2032771.5013428703</v>
      </c>
      <c r="L32" s="61">
        <f>Beneficios!M107</f>
        <v>2073426.9313697272</v>
      </c>
      <c r="M32" s="61">
        <f>Beneficios!N107</f>
        <v>2114895.469997122</v>
      </c>
      <c r="N32" s="61">
        <f>Beneficios!O107</f>
        <v>2157193.3793970649</v>
      </c>
      <c r="O32" s="61">
        <f>Beneficios!P107</f>
        <v>2200337.2469850057</v>
      </c>
      <c r="P32" s="61">
        <f>Beneficios!Q107</f>
        <v>2244343.9919247059</v>
      </c>
      <c r="Q32" s="61">
        <f>Beneficios!R107</f>
        <v>2289230.8717631996</v>
      </c>
    </row>
    <row r="33" spans="1:17" ht="45" x14ac:dyDescent="0.25">
      <c r="A33" s="96" t="s">
        <v>31</v>
      </c>
      <c r="B33" s="61">
        <f>Beneficios!C108</f>
        <v>0</v>
      </c>
      <c r="C33" s="61">
        <f>Beneficios!D108</f>
        <v>1247625.7537378063</v>
      </c>
      <c r="D33" s="61">
        <f>Beneficios!E108</f>
        <v>2545156.5376251247</v>
      </c>
      <c r="E33" s="61">
        <f>Beneficios!F108</f>
        <v>3894089.5025664414</v>
      </c>
      <c r="F33" s="61">
        <f>Beneficios!G108</f>
        <v>5295961.7234903611</v>
      </c>
      <c r="G33" s="61">
        <f>Beneficios!H108</f>
        <v>5401880.9579601688</v>
      </c>
      <c r="H33" s="61">
        <f>Beneficios!I108</f>
        <v>5509918.5771193719</v>
      </c>
      <c r="I33" s="61">
        <f>Beneficios!J108</f>
        <v>5620116.9486617595</v>
      </c>
      <c r="J33" s="61">
        <f>Beneficios!K108</f>
        <v>5732519.2876349948</v>
      </c>
      <c r="K33" s="61">
        <f>Beneficios!L108</f>
        <v>5847169.6733876942</v>
      </c>
      <c r="L33" s="61">
        <f>Beneficios!M108</f>
        <v>5964113.0668554483</v>
      </c>
      <c r="M33" s="61">
        <f>Beneficios!N108</f>
        <v>6083395.3281925581</v>
      </c>
      <c r="N33" s="61">
        <f>Beneficios!O108</f>
        <v>6205063.2347564092</v>
      </c>
      <c r="O33" s="61">
        <f>Beneficios!P108</f>
        <v>6329164.4994515376</v>
      </c>
      <c r="P33" s="61">
        <f>Beneficios!Q108</f>
        <v>6455747.7894405685</v>
      </c>
      <c r="Q33" s="61">
        <f>Beneficios!R108</f>
        <v>6584862.7452293811</v>
      </c>
    </row>
    <row r="34" spans="1:17" ht="30" x14ac:dyDescent="0.25">
      <c r="A34" s="96" t="s">
        <v>72</v>
      </c>
      <c r="B34" s="61">
        <f>Beneficios!C109</f>
        <v>0</v>
      </c>
      <c r="C34" s="61">
        <f>Beneficios!D109</f>
        <v>7743883.9887174191</v>
      </c>
      <c r="D34" s="61">
        <f>Beneficios!E109</f>
        <v>15797523.336983535</v>
      </c>
      <c r="E34" s="61">
        <f>Beneficios!F109</f>
        <v>24170210.705584809</v>
      </c>
      <c r="F34" s="61">
        <f>Beneficios!G109</f>
        <v>32871486.559595343</v>
      </c>
      <c r="G34" s="61">
        <f>Beneficios!H109</f>
        <v>33528916.29078725</v>
      </c>
      <c r="H34" s="61">
        <f>Beneficios!I109</f>
        <v>34199494.616602995</v>
      </c>
      <c r="I34" s="61">
        <f>Beneficios!J109</f>
        <v>34883484.508935057</v>
      </c>
      <c r="J34" s="61">
        <f>Beneficios!K109</f>
        <v>35581154.199113764</v>
      </c>
      <c r="K34" s="61">
        <f>Beneficios!L109</f>
        <v>36292777.28309603</v>
      </c>
      <c r="L34" s="61">
        <f>Beneficios!M109</f>
        <v>37018632.828757957</v>
      </c>
      <c r="M34" s="61">
        <f>Beneficios!N109</f>
        <v>37759005.485333122</v>
      </c>
      <c r="N34" s="61">
        <f>Beneficios!O109</f>
        <v>38514185.595039777</v>
      </c>
      <c r="O34" s="61">
        <f>Beneficios!P109</f>
        <v>39284469.306940578</v>
      </c>
      <c r="P34" s="61">
        <f>Beneficios!Q109</f>
        <v>40070158.693079397</v>
      </c>
      <c r="Q34" s="61">
        <f>Beneficios!R109</f>
        <v>40871561.866940983</v>
      </c>
    </row>
    <row r="35" spans="1:17" x14ac:dyDescent="0.25">
      <c r="A35" s="59" t="s">
        <v>58</v>
      </c>
      <c r="B35" s="61">
        <f>SUM(B32:B34)</f>
        <v>242990.32258064524</v>
      </c>
      <c r="C35" s="61">
        <f t="shared" ref="C35:Q35" si="5">SUM(C32:C34)</f>
        <v>9487210.0005197413</v>
      </c>
      <c r="D35" s="61">
        <f t="shared" si="5"/>
        <v>19101101.269447371</v>
      </c>
      <c r="E35" s="61">
        <f t="shared" si="5"/>
        <v>29095753.305131897</v>
      </c>
      <c r="F35" s="61">
        <f t="shared" si="5"/>
        <v>40008592.061196156</v>
      </c>
      <c r="G35" s="61">
        <f t="shared" si="5"/>
        <v>40808763.902420081</v>
      </c>
      <c r="H35" s="61">
        <f t="shared" si="5"/>
        <v>41624939.180468485</v>
      </c>
      <c r="I35" s="61">
        <f t="shared" si="5"/>
        <v>42457437.964077853</v>
      </c>
      <c r="J35" s="61">
        <f t="shared" si="5"/>
        <v>43306586.723359413</v>
      </c>
      <c r="K35" s="61">
        <f t="shared" si="5"/>
        <v>44172718.457826592</v>
      </c>
      <c r="L35" s="61">
        <f t="shared" si="5"/>
        <v>45056172.826983131</v>
      </c>
      <c r="M35" s="61">
        <f t="shared" si="5"/>
        <v>45957296.2835228</v>
      </c>
      <c r="N35" s="61">
        <f t="shared" si="5"/>
        <v>46876442.209193252</v>
      </c>
      <c r="O35" s="61">
        <f t="shared" si="5"/>
        <v>47813971.053377122</v>
      </c>
      <c r="P35" s="61">
        <f t="shared" si="5"/>
        <v>48770250.474444672</v>
      </c>
      <c r="Q35" s="61">
        <f t="shared" si="5"/>
        <v>49745655.483933568</v>
      </c>
    </row>
    <row r="36" spans="1:17" ht="15" customHeight="1" x14ac:dyDescent="0.25">
      <c r="A36" s="59" t="s">
        <v>59</v>
      </c>
      <c r="B36" s="60">
        <f>B35/(1+$B$5)^B31</f>
        <v>242990.32258064524</v>
      </c>
      <c r="C36" s="60">
        <f t="shared" ref="C36:Q36" si="6">C35/(1+$B$5)^C31</f>
        <v>8470723.2147497684</v>
      </c>
      <c r="D36" s="60">
        <f t="shared" si="6"/>
        <v>15227280.986485466</v>
      </c>
      <c r="E36" s="60">
        <f t="shared" si="6"/>
        <v>20709782.497844651</v>
      </c>
      <c r="F36" s="60">
        <f t="shared" si="6"/>
        <v>25426183.546414163</v>
      </c>
      <c r="G36" s="60">
        <f t="shared" si="6"/>
        <v>23155988.5869129</v>
      </c>
      <c r="H36" s="60">
        <f t="shared" si="6"/>
        <v>21088489.605938531</v>
      </c>
      <c r="I36" s="60">
        <f t="shared" si="6"/>
        <v>19205588.748265449</v>
      </c>
      <c r="J36" s="60">
        <f t="shared" si="6"/>
        <v>17490804.038598891</v>
      </c>
      <c r="K36" s="60">
        <f t="shared" si="6"/>
        <v>15929125.106581127</v>
      </c>
      <c r="L36" s="60">
        <f t="shared" si="6"/>
        <v>14506881.793493528</v>
      </c>
      <c r="M36" s="60">
        <f t="shared" si="6"/>
        <v>13211624.490503034</v>
      </c>
      <c r="N36" s="60">
        <f t="shared" si="6"/>
        <v>12032015.160993835</v>
      </c>
      <c r="O36" s="60">
        <f t="shared" si="6"/>
        <v>10957728.093047956</v>
      </c>
      <c r="P36" s="60">
        <f t="shared" si="6"/>
        <v>9979359.5133115314</v>
      </c>
      <c r="Q36" s="60">
        <f t="shared" si="6"/>
        <v>9088345.2710515745</v>
      </c>
    </row>
    <row r="37" spans="1:17" ht="15" customHeight="1" x14ac:dyDescent="0.25">
      <c r="A37" s="59" t="s">
        <v>60</v>
      </c>
      <c r="B37" s="62">
        <f>NPV(B5,C35:Q35)</f>
        <v>236479920.65419239</v>
      </c>
      <c r="D37" s="60"/>
      <c r="E37" s="60"/>
      <c r="F37" s="60"/>
      <c r="G37" s="60"/>
      <c r="H37" s="60"/>
      <c r="I37" s="60"/>
      <c r="J37" s="60"/>
      <c r="K37" s="60"/>
    </row>
    <row r="38" spans="1:17" s="75" customFormat="1" ht="15" customHeight="1" x14ac:dyDescent="0.25">
      <c r="A38" s="76" t="s">
        <v>61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7" ht="15" customHeight="1" x14ac:dyDescent="0.25">
      <c r="A39" s="59" t="s">
        <v>62</v>
      </c>
      <c r="B39" s="95">
        <v>40000000</v>
      </c>
      <c r="C39" s="95">
        <v>40000000</v>
      </c>
      <c r="D39" s="95">
        <v>60000000</v>
      </c>
      <c r="E39" s="95">
        <v>50000000</v>
      </c>
      <c r="F39" s="95">
        <v>10000000</v>
      </c>
      <c r="G39" s="65"/>
      <c r="I39" s="60"/>
      <c r="J39" s="60"/>
      <c r="K39" s="60"/>
    </row>
    <row r="40" spans="1:17" x14ac:dyDescent="0.25">
      <c r="A40" s="59" t="s">
        <v>63</v>
      </c>
      <c r="B40" s="66">
        <f>B35-B39</f>
        <v>-39757009.677419357</v>
      </c>
      <c r="C40" s="66">
        <f t="shared" ref="C40:Q40" si="7">C35-C39</f>
        <v>-30512789.999480259</v>
      </c>
      <c r="D40" s="66">
        <f t="shared" si="7"/>
        <v>-40898898.730552629</v>
      </c>
      <c r="E40" s="66">
        <f t="shared" si="7"/>
        <v>-20904246.694868103</v>
      </c>
      <c r="F40" s="66">
        <f t="shared" si="7"/>
        <v>30008592.061196156</v>
      </c>
      <c r="G40" s="66">
        <f t="shared" si="7"/>
        <v>40808763.902420081</v>
      </c>
      <c r="H40" s="66">
        <f t="shared" si="7"/>
        <v>41624939.180468485</v>
      </c>
      <c r="I40" s="66">
        <f t="shared" si="7"/>
        <v>42457437.964077853</v>
      </c>
      <c r="J40" s="66">
        <f t="shared" si="7"/>
        <v>43306586.723359413</v>
      </c>
      <c r="K40" s="66">
        <f t="shared" si="7"/>
        <v>44172718.457826592</v>
      </c>
      <c r="L40" s="66">
        <f t="shared" si="7"/>
        <v>45056172.826983131</v>
      </c>
      <c r="M40" s="66">
        <f t="shared" si="7"/>
        <v>45957296.2835228</v>
      </c>
      <c r="N40" s="66">
        <f t="shared" si="7"/>
        <v>46876442.209193252</v>
      </c>
      <c r="O40" s="66">
        <f t="shared" si="7"/>
        <v>47813971.053377122</v>
      </c>
      <c r="P40" s="66">
        <f t="shared" si="7"/>
        <v>48770250.474444672</v>
      </c>
      <c r="Q40" s="66">
        <f t="shared" si="7"/>
        <v>49745655.483933568</v>
      </c>
    </row>
    <row r="41" spans="1:17" x14ac:dyDescent="0.25">
      <c r="A41" s="59" t="s">
        <v>64</v>
      </c>
      <c r="B41" s="66">
        <f t="shared" ref="B41:G41" si="8">B39/(1+$B$5)^B31</f>
        <v>40000000</v>
      </c>
      <c r="C41" s="66">
        <f t="shared" si="8"/>
        <v>35714285.714285709</v>
      </c>
      <c r="D41" s="66">
        <f t="shared" si="8"/>
        <v>47831632.653061219</v>
      </c>
      <c r="E41" s="66">
        <f t="shared" si="8"/>
        <v>35589012.390670545</v>
      </c>
      <c r="F41" s="66">
        <f t="shared" si="8"/>
        <v>6355180.7840483114</v>
      </c>
      <c r="G41" s="66">
        <f t="shared" si="8"/>
        <v>0</v>
      </c>
      <c r="H41" s="66"/>
      <c r="I41" s="66"/>
      <c r="J41" s="66"/>
      <c r="K41" s="66"/>
    </row>
    <row r="42" spans="1:17" x14ac:dyDescent="0.25">
      <c r="A42" s="59" t="s">
        <v>65</v>
      </c>
      <c r="B42" s="66">
        <f>SUM(C41:Q41)</f>
        <v>125490111.5420658</v>
      </c>
      <c r="C42" s="67"/>
      <c r="D42" s="66"/>
      <c r="E42" s="66"/>
      <c r="F42" s="66"/>
      <c r="G42" s="66"/>
      <c r="H42" s="66"/>
      <c r="I42" s="66"/>
      <c r="J42" s="66"/>
      <c r="K42" s="66"/>
    </row>
    <row r="43" spans="1:17" x14ac:dyDescent="0.25">
      <c r="A43" s="79" t="s">
        <v>66</v>
      </c>
      <c r="B43" s="78">
        <f>B36-B41</f>
        <v>-39757009.677419357</v>
      </c>
      <c r="C43" s="78">
        <f t="shared" ref="C43:Q43" si="9">C36-C41</f>
        <v>-27243562.499535941</v>
      </c>
      <c r="D43" s="78">
        <f t="shared" si="9"/>
        <v>-32604351.666575752</v>
      </c>
      <c r="E43" s="78">
        <f t="shared" si="9"/>
        <v>-14879229.892825894</v>
      </c>
      <c r="F43" s="78">
        <f t="shared" si="9"/>
        <v>19071002.762365852</v>
      </c>
      <c r="G43" s="78">
        <f t="shared" si="9"/>
        <v>23155988.5869129</v>
      </c>
      <c r="H43" s="78">
        <f t="shared" si="9"/>
        <v>21088489.605938531</v>
      </c>
      <c r="I43" s="78">
        <f t="shared" si="9"/>
        <v>19205588.748265449</v>
      </c>
      <c r="J43" s="78">
        <f t="shared" si="9"/>
        <v>17490804.038598891</v>
      </c>
      <c r="K43" s="78">
        <f t="shared" si="9"/>
        <v>15929125.106581127</v>
      </c>
      <c r="L43" s="78">
        <f t="shared" si="9"/>
        <v>14506881.793493528</v>
      </c>
      <c r="M43" s="78">
        <f t="shared" si="9"/>
        <v>13211624.490503034</v>
      </c>
      <c r="N43" s="78">
        <f t="shared" si="9"/>
        <v>12032015.160993835</v>
      </c>
      <c r="O43" s="78">
        <f t="shared" si="9"/>
        <v>10957728.093047956</v>
      </c>
      <c r="P43" s="78">
        <f t="shared" si="9"/>
        <v>9979359.5133115314</v>
      </c>
      <c r="Q43" s="78">
        <f t="shared" si="9"/>
        <v>9088345.2710515745</v>
      </c>
    </row>
    <row r="44" spans="1:17" x14ac:dyDescent="0.25">
      <c r="A44" s="80" t="s">
        <v>67</v>
      </c>
      <c r="B44" s="81">
        <f>NPV(B5,C40:Q40)</f>
        <v>110989809.11212657</v>
      </c>
    </row>
    <row r="45" spans="1:17" hidden="1" x14ac:dyDescent="0.25">
      <c r="A45" s="80" t="s">
        <v>68</v>
      </c>
      <c r="B45" s="82">
        <f>SUM(B43:K43)</f>
        <v>1456845.1123058032</v>
      </c>
    </row>
    <row r="46" spans="1:17" x14ac:dyDescent="0.25">
      <c r="A46" s="80" t="s">
        <v>69</v>
      </c>
      <c r="B46" s="82">
        <f>B37/B42</f>
        <v>1.8844506371716903</v>
      </c>
    </row>
    <row r="47" spans="1:17" x14ac:dyDescent="0.25">
      <c r="A47" s="80" t="s">
        <v>70</v>
      </c>
      <c r="B47" s="83">
        <f>IRR(C40:Q40)</f>
        <v>0.30340975599724973</v>
      </c>
    </row>
    <row r="50" spans="1:17" s="86" customFormat="1" ht="15" customHeight="1" x14ac:dyDescent="0.25">
      <c r="A50" s="84" t="s">
        <v>75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7" ht="15" customHeight="1" x14ac:dyDescent="0.25">
      <c r="B51" s="56">
        <v>2020</v>
      </c>
      <c r="C51" s="56">
        <v>2021</v>
      </c>
      <c r="D51" s="56">
        <v>2022</v>
      </c>
      <c r="E51" s="56">
        <v>2023</v>
      </c>
      <c r="F51" s="56">
        <v>2024</v>
      </c>
      <c r="G51" s="56">
        <v>2025</v>
      </c>
      <c r="H51" s="56">
        <v>2026</v>
      </c>
      <c r="I51" s="56">
        <v>2027</v>
      </c>
      <c r="J51" s="56">
        <v>2028</v>
      </c>
      <c r="K51" s="56">
        <v>2029</v>
      </c>
      <c r="L51" s="56">
        <v>2030</v>
      </c>
      <c r="M51" s="56">
        <v>2031</v>
      </c>
      <c r="N51" s="56">
        <v>2032</v>
      </c>
      <c r="O51" s="56">
        <v>2033</v>
      </c>
      <c r="P51" s="56">
        <v>2034</v>
      </c>
      <c r="Q51" s="56">
        <v>2035</v>
      </c>
    </row>
    <row r="52" spans="1:17" ht="15" customHeight="1" x14ac:dyDescent="0.25">
      <c r="A52" s="87" t="s">
        <v>57</v>
      </c>
      <c r="B52" s="88">
        <v>0</v>
      </c>
      <c r="C52" s="88">
        <v>1</v>
      </c>
      <c r="D52" s="88">
        <v>2</v>
      </c>
      <c r="E52" s="88">
        <v>3</v>
      </c>
      <c r="F52" s="88">
        <v>4</v>
      </c>
      <c r="G52" s="88">
        <v>5</v>
      </c>
      <c r="H52" s="88">
        <v>6</v>
      </c>
      <c r="I52" s="88">
        <v>7</v>
      </c>
      <c r="J52" s="88">
        <v>8</v>
      </c>
      <c r="K52" s="88">
        <v>9</v>
      </c>
      <c r="L52" s="88">
        <v>10</v>
      </c>
      <c r="M52" s="88">
        <v>11</v>
      </c>
      <c r="N52" s="88">
        <v>12</v>
      </c>
      <c r="O52" s="88">
        <v>13</v>
      </c>
      <c r="P52" s="88">
        <v>14</v>
      </c>
      <c r="Q52" s="88">
        <v>15</v>
      </c>
    </row>
    <row r="53" spans="1:17" ht="30" x14ac:dyDescent="0.25">
      <c r="A53" s="96" t="s">
        <v>30</v>
      </c>
      <c r="B53" s="61">
        <f>Beneficios!C114</f>
        <v>242990.32258064524</v>
      </c>
      <c r="C53" s="61">
        <f>Beneficios!D114</f>
        <v>991400.51612903259</v>
      </c>
      <c r="D53" s="61">
        <f>Beneficios!E114</f>
        <v>1516842.7896774197</v>
      </c>
      <c r="E53" s="61">
        <f>Beneficios!F114</f>
        <v>1805042.9197161288</v>
      </c>
      <c r="F53" s="61">
        <f>Beneficios!G114</f>
        <v>2630205.3973006452</v>
      </c>
      <c r="G53" s="61">
        <f>Beneficios!H114</f>
        <v>2682809.5052466588</v>
      </c>
      <c r="H53" s="61">
        <f>Beneficios!I114</f>
        <v>2736465.6953515918</v>
      </c>
      <c r="I53" s="61">
        <f>Beneficios!J114</f>
        <v>2791195.0092586232</v>
      </c>
      <c r="J53" s="61">
        <f>Beneficios!K114</f>
        <v>2847018.9094437966</v>
      </c>
      <c r="K53" s="61">
        <f>Beneficios!L114</f>
        <v>2903959.2876326721</v>
      </c>
      <c r="L53" s="61">
        <f>Beneficios!M114</f>
        <v>2962038.4733853247</v>
      </c>
      <c r="M53" s="61">
        <f>Beneficios!N114</f>
        <v>3021279.2428530315</v>
      </c>
      <c r="N53" s="61">
        <f>Beneficios!O114</f>
        <v>3081704.827710093</v>
      </c>
      <c r="O53" s="61">
        <f>Beneficios!P114</f>
        <v>3143338.9242642941</v>
      </c>
      <c r="P53" s="61">
        <f>Beneficios!Q114</f>
        <v>3206205.7027495801</v>
      </c>
      <c r="Q53" s="61">
        <f>Beneficios!R114</f>
        <v>3270329.8168045711</v>
      </c>
    </row>
    <row r="54" spans="1:17" ht="45" x14ac:dyDescent="0.25">
      <c r="A54" s="96" t="s">
        <v>31</v>
      </c>
      <c r="B54" s="61">
        <f>Beneficios!C115</f>
        <v>0</v>
      </c>
      <c r="C54" s="61">
        <f>Beneficios!D115</f>
        <v>1247625.7537378063</v>
      </c>
      <c r="D54" s="61">
        <f>Beneficios!E115</f>
        <v>3817734.806437687</v>
      </c>
      <c r="E54" s="61">
        <f>Beneficios!F115</f>
        <v>5192119.3367552562</v>
      </c>
      <c r="F54" s="61">
        <f>Beneficios!G115</f>
        <v>6619952.1543629505</v>
      </c>
      <c r="G54" s="61">
        <f>Beneficios!H115</f>
        <v>9453291.6764302943</v>
      </c>
      <c r="H54" s="61">
        <f>Beneficios!I115</f>
        <v>11019837.154238744</v>
      </c>
      <c r="I54" s="61">
        <f>Beneficios!J115</f>
        <v>14050292.371654397</v>
      </c>
      <c r="J54" s="61">
        <f>Beneficios!K115</f>
        <v>14331298.219087487</v>
      </c>
      <c r="K54" s="61">
        <f>Beneficios!L115</f>
        <v>14617924.183469234</v>
      </c>
      <c r="L54" s="61">
        <f>Beneficios!M115</f>
        <v>14910282.667138619</v>
      </c>
      <c r="M54" s="61">
        <f>Beneficios!N115</f>
        <v>15208488.320481395</v>
      </c>
      <c r="N54" s="61">
        <f>Beneficios!O115</f>
        <v>15512658.086891022</v>
      </c>
      <c r="O54" s="61">
        <f>Beneficios!P115</f>
        <v>15822911.248628844</v>
      </c>
      <c r="P54" s="61">
        <f>Beneficios!Q115</f>
        <v>16139369.473601421</v>
      </c>
      <c r="Q54" s="61">
        <f>Beneficios!R115</f>
        <v>14050292.371654397</v>
      </c>
    </row>
    <row r="55" spans="1:17" ht="30" x14ac:dyDescent="0.25">
      <c r="A55" s="96" t="s">
        <v>72</v>
      </c>
      <c r="B55" s="61">
        <f>Beneficios!C116</f>
        <v>0</v>
      </c>
      <c r="C55" s="61">
        <f>Beneficios!D116</f>
        <v>7743883.9887174191</v>
      </c>
      <c r="D55" s="61">
        <f>Beneficios!E116</f>
        <v>23696285.005475301</v>
      </c>
      <c r="E55" s="61">
        <f>Beneficios!F116</f>
        <v>32226947.607446417</v>
      </c>
      <c r="F55" s="61">
        <f>Beneficios!G116</f>
        <v>41089358.199494176</v>
      </c>
      <c r="G55" s="61">
        <f>Beneficios!H116</f>
        <v>58675603.508877687</v>
      </c>
      <c r="H55" s="61">
        <f>Beneficios!I116</f>
        <v>68398989.233205989</v>
      </c>
      <c r="I55" s="61">
        <f>Beneficios!J116</f>
        <v>87208711.27233763</v>
      </c>
      <c r="J55" s="61">
        <f>Beneficios!K116</f>
        <v>88952885.497784406</v>
      </c>
      <c r="K55" s="61">
        <f>Beneficios!L116</f>
        <v>90731943.207740068</v>
      </c>
      <c r="L55" s="61">
        <f>Beneficios!M116</f>
        <v>92546582.071894884</v>
      </c>
      <c r="M55" s="61">
        <f>Beneficios!N116</f>
        <v>94397513.713332802</v>
      </c>
      <c r="N55" s="61">
        <f>Beneficios!O116</f>
        <v>96285463.987599447</v>
      </c>
      <c r="O55" s="61">
        <f>Beneficios!P116</f>
        <v>98211173.267351449</v>
      </c>
      <c r="P55" s="61">
        <f>Beneficios!Q116</f>
        <v>100175396.73269849</v>
      </c>
      <c r="Q55" s="61">
        <f>Beneficios!R116</f>
        <v>102178904.66735245</v>
      </c>
    </row>
    <row r="56" spans="1:17" x14ac:dyDescent="0.25">
      <c r="A56" s="59" t="s">
        <v>58</v>
      </c>
      <c r="B56" s="60">
        <f>SUM(B53:B54)</f>
        <v>242990.32258064524</v>
      </c>
      <c r="C56" s="60">
        <f t="shared" ref="C56:Q56" si="10">SUM(C53:C55)</f>
        <v>9982910.2585842572</v>
      </c>
      <c r="D56" s="60">
        <f t="shared" si="10"/>
        <v>29030862.60159041</v>
      </c>
      <c r="E56" s="60">
        <f t="shared" si="10"/>
        <v>39224109.863917805</v>
      </c>
      <c r="F56" s="60">
        <f t="shared" si="10"/>
        <v>50339515.751157776</v>
      </c>
      <c r="G56" s="60">
        <f t="shared" si="10"/>
        <v>70811704.690554649</v>
      </c>
      <c r="H56" s="60">
        <f t="shared" si="10"/>
        <v>82155292.08279632</v>
      </c>
      <c r="I56" s="60">
        <f t="shared" si="10"/>
        <v>104050198.65325065</v>
      </c>
      <c r="J56" s="60">
        <f t="shared" si="10"/>
        <v>106131202.62631568</v>
      </c>
      <c r="K56" s="60">
        <f t="shared" si="10"/>
        <v>108253826.67884198</v>
      </c>
      <c r="L56" s="60">
        <f t="shared" si="10"/>
        <v>110418903.21241882</v>
      </c>
      <c r="M56" s="60">
        <f t="shared" si="10"/>
        <v>112627281.27666724</v>
      </c>
      <c r="N56" s="60">
        <f t="shared" si="10"/>
        <v>114879826.90220056</v>
      </c>
      <c r="O56" s="60">
        <f t="shared" si="10"/>
        <v>117177423.44024459</v>
      </c>
      <c r="P56" s="60">
        <f t="shared" si="10"/>
        <v>119520971.90904948</v>
      </c>
      <c r="Q56" s="60">
        <f t="shared" si="10"/>
        <v>119499526.85581142</v>
      </c>
    </row>
    <row r="57" spans="1:17" ht="15" customHeight="1" x14ac:dyDescent="0.25">
      <c r="A57" s="59" t="s">
        <v>59</v>
      </c>
      <c r="B57" s="60">
        <f t="shared" ref="B57:Q57" si="11">B56/(1+$B$5)^B52</f>
        <v>242990.32258064524</v>
      </c>
      <c r="C57" s="60">
        <f t="shared" si="11"/>
        <v>8913312.7308788002</v>
      </c>
      <c r="D57" s="60">
        <f t="shared" si="11"/>
        <v>23143225.926012758</v>
      </c>
      <c r="E57" s="60">
        <f t="shared" si="11"/>
        <v>27918946.639199868</v>
      </c>
      <c r="F57" s="60">
        <f t="shared" si="11"/>
        <v>31991672.318005521</v>
      </c>
      <c r="G57" s="60">
        <f t="shared" si="11"/>
        <v>40180462.940635405</v>
      </c>
      <c r="H57" s="60">
        <f t="shared" si="11"/>
        <v>41622427.738557354</v>
      </c>
      <c r="I57" s="60">
        <f t="shared" si="11"/>
        <v>47067025.716445819</v>
      </c>
      <c r="J57" s="60">
        <f t="shared" si="11"/>
        <v>42864612.706048876</v>
      </c>
      <c r="K57" s="60">
        <f t="shared" si="11"/>
        <v>39037415.143008791</v>
      </c>
      <c r="L57" s="60">
        <f t="shared" si="11"/>
        <v>35551931.648097292</v>
      </c>
      <c r="M57" s="60">
        <f t="shared" si="11"/>
        <v>32377652.036660038</v>
      </c>
      <c r="N57" s="60">
        <f t="shared" si="11"/>
        <v>29486790.247672532</v>
      </c>
      <c r="O57" s="60">
        <f t="shared" si="11"/>
        <v>26854041.118416052</v>
      </c>
      <c r="P57" s="60">
        <f t="shared" si="11"/>
        <v>24456358.875700332</v>
      </c>
      <c r="Q57" s="60">
        <f t="shared" si="11"/>
        <v>21832116.779397521</v>
      </c>
    </row>
    <row r="58" spans="1:17" ht="15" customHeight="1" x14ac:dyDescent="0.25">
      <c r="A58" s="59" t="s">
        <v>60</v>
      </c>
      <c r="B58" s="62">
        <f>NPV(B5,C56:Q56)</f>
        <v>473297992.5647369</v>
      </c>
      <c r="D58" s="60"/>
      <c r="E58" s="60"/>
      <c r="F58" s="60"/>
      <c r="G58" s="60"/>
      <c r="H58" s="60"/>
      <c r="I58" s="60"/>
      <c r="J58" s="60"/>
      <c r="K58" s="60"/>
    </row>
    <row r="59" spans="1:17" s="86" customFormat="1" ht="15" customHeight="1" x14ac:dyDescent="0.25">
      <c r="A59" s="87" t="s">
        <v>61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7" ht="15" customHeight="1" x14ac:dyDescent="0.25">
      <c r="A60" s="59" t="s">
        <v>62</v>
      </c>
      <c r="B60" s="95">
        <v>40000000</v>
      </c>
      <c r="C60" s="95">
        <v>40000000</v>
      </c>
      <c r="D60" s="95">
        <v>60000000</v>
      </c>
      <c r="E60" s="95">
        <v>50000000</v>
      </c>
      <c r="F60" s="95">
        <v>10000000</v>
      </c>
      <c r="G60" s="65"/>
      <c r="I60" s="60"/>
      <c r="J60" s="60"/>
      <c r="K60" s="60"/>
    </row>
    <row r="61" spans="1:17" x14ac:dyDescent="0.25">
      <c r="A61" s="59" t="s">
        <v>63</v>
      </c>
      <c r="B61" s="66">
        <f>B56-B60</f>
        <v>-39757009.677419357</v>
      </c>
      <c r="C61" s="66">
        <f t="shared" ref="C61:Q61" si="12">C56-C60</f>
        <v>-30017089.741415743</v>
      </c>
      <c r="D61" s="66">
        <f t="shared" si="12"/>
        <v>-30969137.39840959</v>
      </c>
      <c r="E61" s="66">
        <f t="shared" si="12"/>
        <v>-10775890.136082195</v>
      </c>
      <c r="F61" s="66">
        <f t="shared" si="12"/>
        <v>40339515.751157776</v>
      </c>
      <c r="G61" s="66">
        <f t="shared" si="12"/>
        <v>70811704.690554649</v>
      </c>
      <c r="H61" s="66">
        <f t="shared" si="12"/>
        <v>82155292.08279632</v>
      </c>
      <c r="I61" s="66">
        <f t="shared" si="12"/>
        <v>104050198.65325065</v>
      </c>
      <c r="J61" s="66">
        <f t="shared" si="12"/>
        <v>106131202.62631568</v>
      </c>
      <c r="K61" s="66">
        <f t="shared" si="12"/>
        <v>108253826.67884198</v>
      </c>
      <c r="L61" s="66">
        <f t="shared" si="12"/>
        <v>110418903.21241882</v>
      </c>
      <c r="M61" s="66">
        <f t="shared" si="12"/>
        <v>112627281.27666724</v>
      </c>
      <c r="N61" s="66">
        <f t="shared" si="12"/>
        <v>114879826.90220056</v>
      </c>
      <c r="O61" s="66">
        <f t="shared" si="12"/>
        <v>117177423.44024459</v>
      </c>
      <c r="P61" s="66">
        <f t="shared" si="12"/>
        <v>119520971.90904948</v>
      </c>
      <c r="Q61" s="66">
        <f t="shared" si="12"/>
        <v>119499526.85581142</v>
      </c>
    </row>
    <row r="62" spans="1:17" x14ac:dyDescent="0.25">
      <c r="A62" s="59" t="s">
        <v>64</v>
      </c>
      <c r="B62" s="66">
        <f t="shared" ref="B62:G62" si="13">B60/(1+$B$5)^B52</f>
        <v>40000000</v>
      </c>
      <c r="C62" s="66">
        <f t="shared" si="13"/>
        <v>35714285.714285709</v>
      </c>
      <c r="D62" s="66">
        <f t="shared" si="13"/>
        <v>47831632.653061219</v>
      </c>
      <c r="E62" s="66">
        <f t="shared" si="13"/>
        <v>35589012.390670545</v>
      </c>
      <c r="F62" s="66">
        <f t="shared" si="13"/>
        <v>6355180.7840483114</v>
      </c>
      <c r="G62" s="66">
        <f t="shared" si="13"/>
        <v>0</v>
      </c>
      <c r="H62" s="66"/>
      <c r="I62" s="66"/>
      <c r="J62" s="66"/>
      <c r="K62" s="66"/>
    </row>
    <row r="63" spans="1:17" x14ac:dyDescent="0.25">
      <c r="A63" s="59" t="s">
        <v>65</v>
      </c>
      <c r="B63" s="66">
        <f>SUM(B62:Q62)</f>
        <v>165490111.54206577</v>
      </c>
      <c r="C63" s="67"/>
      <c r="D63" s="66"/>
      <c r="E63" s="66"/>
      <c r="F63" s="66"/>
      <c r="G63" s="66"/>
      <c r="H63" s="66"/>
      <c r="I63" s="66"/>
      <c r="J63" s="66"/>
      <c r="K63" s="66"/>
    </row>
    <row r="64" spans="1:17" x14ac:dyDescent="0.25">
      <c r="A64" s="90" t="s">
        <v>66</v>
      </c>
      <c r="B64" s="89">
        <f>B57-B62</f>
        <v>-39757009.677419357</v>
      </c>
      <c r="C64" s="89">
        <f t="shared" ref="C64:Q64" si="14">C57-C62</f>
        <v>-26800972.983406909</v>
      </c>
      <c r="D64" s="89">
        <f t="shared" si="14"/>
        <v>-24688406.72704846</v>
      </c>
      <c r="E64" s="89">
        <f t="shared" si="14"/>
        <v>-7670065.7514706776</v>
      </c>
      <c r="F64" s="89">
        <f t="shared" si="14"/>
        <v>25636491.533957209</v>
      </c>
      <c r="G64" s="89">
        <f t="shared" si="14"/>
        <v>40180462.940635405</v>
      </c>
      <c r="H64" s="89">
        <f t="shared" si="14"/>
        <v>41622427.738557354</v>
      </c>
      <c r="I64" s="89">
        <f t="shared" si="14"/>
        <v>47067025.716445819</v>
      </c>
      <c r="J64" s="89">
        <f t="shared" si="14"/>
        <v>42864612.706048876</v>
      </c>
      <c r="K64" s="89">
        <f t="shared" si="14"/>
        <v>39037415.143008791</v>
      </c>
      <c r="L64" s="89">
        <f t="shared" si="14"/>
        <v>35551931.648097292</v>
      </c>
      <c r="M64" s="89">
        <f t="shared" si="14"/>
        <v>32377652.036660038</v>
      </c>
      <c r="N64" s="89">
        <f t="shared" si="14"/>
        <v>29486790.247672532</v>
      </c>
      <c r="O64" s="89">
        <f t="shared" si="14"/>
        <v>26854041.118416052</v>
      </c>
      <c r="P64" s="89">
        <f t="shared" si="14"/>
        <v>24456358.875700332</v>
      </c>
      <c r="Q64" s="89">
        <f t="shared" si="14"/>
        <v>21832116.779397521</v>
      </c>
    </row>
    <row r="65" spans="1:2" x14ac:dyDescent="0.25">
      <c r="A65" s="91" t="s">
        <v>67</v>
      </c>
      <c r="B65" s="92">
        <f>NPV(B5,C61:Q61)</f>
        <v>347807881.02267104</v>
      </c>
    </row>
    <row r="66" spans="1:2" hidden="1" x14ac:dyDescent="0.25">
      <c r="A66" s="91" t="s">
        <v>68</v>
      </c>
      <c r="B66" s="93">
        <f>SUM(B64:K64)</f>
        <v>137491980.63930807</v>
      </c>
    </row>
    <row r="67" spans="1:2" x14ac:dyDescent="0.25">
      <c r="A67" s="91" t="s">
        <v>69</v>
      </c>
      <c r="B67" s="93">
        <f>B58/B63</f>
        <v>2.8599774823671549</v>
      </c>
    </row>
    <row r="68" spans="1:2" x14ac:dyDescent="0.25">
      <c r="A68" s="91" t="s">
        <v>70</v>
      </c>
      <c r="B68" s="94">
        <f>IRR(C61:Q61)</f>
        <v>0.54553701219807849</v>
      </c>
    </row>
  </sheetData>
  <mergeCells count="1">
    <mergeCell ref="A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1D99-7AF4-4B84-8435-F3737772151C}">
  <dimension ref="A2:D5"/>
  <sheetViews>
    <sheetView workbookViewId="0">
      <selection activeCell="B11" sqref="B11"/>
    </sheetView>
  </sheetViews>
  <sheetFormatPr defaultRowHeight="15" x14ac:dyDescent="0.25"/>
  <cols>
    <col min="1" max="1" width="22.42578125" customWidth="1"/>
    <col min="2" max="2" width="26.28515625" customWidth="1"/>
    <col min="3" max="3" width="28.28515625" customWidth="1"/>
    <col min="4" max="4" width="27.28515625" customWidth="1"/>
  </cols>
  <sheetData>
    <row r="2" spans="1:4" x14ac:dyDescent="0.25">
      <c r="B2" s="103" t="s">
        <v>95</v>
      </c>
      <c r="C2" s="104" t="s">
        <v>93</v>
      </c>
      <c r="D2" s="105" t="s">
        <v>94</v>
      </c>
    </row>
    <row r="3" spans="1:4" x14ac:dyDescent="0.25">
      <c r="A3" s="102" t="s">
        <v>92</v>
      </c>
      <c r="B3" s="103">
        <f>Calculos!B24</f>
        <v>204012173.24077055</v>
      </c>
      <c r="C3" s="104">
        <f>Calculos!B44</f>
        <v>110989809.11212657</v>
      </c>
      <c r="D3" s="105">
        <f>Calculos!B65</f>
        <v>347807881.02267104</v>
      </c>
    </row>
    <row r="4" spans="1:4" x14ac:dyDescent="0.25">
      <c r="A4" s="102" t="s">
        <v>96</v>
      </c>
      <c r="B4" s="108">
        <f>Calculos!B26</f>
        <v>2.6257231006793962</v>
      </c>
      <c r="C4" s="109">
        <f>Calculos!B46</f>
        <v>1.8844506371716903</v>
      </c>
      <c r="D4" s="110">
        <f>Calculos!B67</f>
        <v>2.8599774823671549</v>
      </c>
    </row>
    <row r="5" spans="1:4" x14ac:dyDescent="0.25">
      <c r="A5" s="102" t="s">
        <v>97</v>
      </c>
      <c r="B5" s="106">
        <f>Calculos!B27</f>
        <v>0.42340151372809887</v>
      </c>
      <c r="C5" s="107">
        <f>Calculos!B47</f>
        <v>0.30340975599724973</v>
      </c>
      <c r="D5" s="111">
        <f>Calculos!B68</f>
        <v>0.54553701219807849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F4D464F2A5A4F64EA4796819647617EB" ma:contentTypeVersion="2843" ma:contentTypeDescription="A content type to manage public (operations) IDB documents" ma:contentTypeScope="" ma:versionID="78c4d5d7585bd91ed46f7507842fe73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c78f2983d23c0402cda64ffb8bfa497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E-L1230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</TermName>
          <TermId xmlns="http://schemas.microsoft.com/office/infopath/2007/PartnerControls">c988f60b-81f1-4c24-8da7-d5473741c5b0</TermId>
        </TermInfo>
      </Terms>
    </ic46d7e087fd4a108fb86518ca413cc6>
    <IDBDocs_x0020_Number xmlns="cdc7663a-08f0-4737-9e8c-148ce897a09c" xsi:nil="true"/>
    <Division_x0020_or_x0020_Unit xmlns="cdc7663a-08f0-4737-9e8c-148ce897a09c">IFD/ICS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4959/OC-PE;</Approval_x0020_Number>
    <Phase xmlns="cdc7663a-08f0-4737-9e8c-148ce897a09c" xsi:nil="true"/>
    <Document_x0020_Author xmlns="cdc7663a-08f0-4737-9e8c-148ce897a09c">Hoffman, Nathalie Alexandra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RM-JUS</TermName>
          <TermId xmlns="http://schemas.microsoft.com/office/infopath/2007/PartnerControls">8f414175-31d2-470b-971f-627feb27bbc3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71</Value>
      <Value>44</Value>
      <Value>1</Value>
      <Value>31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PE-L1230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RM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 xsi:nil="true"/>
    <_dlc_DocId xmlns="cdc7663a-08f0-4737-9e8c-148ce897a09c">EZSHARE-961945135-68</_dlc_DocId>
    <_dlc_DocIdUrl xmlns="cdc7663a-08f0-4737-9e8c-148ce897a09c">
      <Url>https://idbg.sharepoint.com/teams/EZ-PE-LON/PE-L1230/_layouts/15/DocIdRedir.aspx?ID=EZSHARE-961945135-68</Url>
      <Description>EZSHARE-961945135-68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6A4A8700-975A-49C2-A251-5D3D17FE033C}"/>
</file>

<file path=customXml/itemProps2.xml><?xml version="1.0" encoding="utf-8"?>
<ds:datastoreItem xmlns:ds="http://schemas.openxmlformats.org/officeDocument/2006/customXml" ds:itemID="{18F738D7-693B-4408-9793-797DE07247BA}"/>
</file>

<file path=customXml/itemProps3.xml><?xml version="1.0" encoding="utf-8"?>
<ds:datastoreItem xmlns:ds="http://schemas.openxmlformats.org/officeDocument/2006/customXml" ds:itemID="{BCF6F127-6758-415E-B832-026A097BCC56}"/>
</file>

<file path=customXml/itemProps4.xml><?xml version="1.0" encoding="utf-8"?>
<ds:datastoreItem xmlns:ds="http://schemas.openxmlformats.org/officeDocument/2006/customXml" ds:itemID="{BDC6B142-09FA-4F55-B13A-646904063B36}"/>
</file>

<file path=customXml/itemProps5.xml><?xml version="1.0" encoding="utf-8"?>
<ds:datastoreItem xmlns:ds="http://schemas.openxmlformats.org/officeDocument/2006/customXml" ds:itemID="{649D8B17-3A4E-4174-BA3C-3117A2C09AB4}"/>
</file>

<file path=customXml/itemProps6.xml><?xml version="1.0" encoding="utf-8"?>
<ds:datastoreItem xmlns:ds="http://schemas.openxmlformats.org/officeDocument/2006/customXml" ds:itemID="{7C3DB684-2254-4760-98A5-B59086364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Portada</vt:lpstr>
      <vt:lpstr>Costos</vt:lpstr>
      <vt:lpstr>Beneficios</vt:lpstr>
      <vt:lpstr>Calculos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Villalba Castrillon, Harold</dc:creator>
  <cp:keywords/>
  <cp:lastModifiedBy>Catano Guzman,Mariana</cp:lastModifiedBy>
  <dcterms:created xsi:type="dcterms:W3CDTF">2019-07-19T20:57:40Z</dcterms:created>
  <dcterms:modified xsi:type="dcterms:W3CDTF">2019-08-26T19:01:59Z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71;#RM-JUS|8f414175-31d2-470b-971f-627feb27bbc3</vt:lpwstr>
  </property>
  <property fmtid="{D5CDD505-2E9C-101B-9397-08002B2CF9AE}" pid="7" name="Fund IDB">
    <vt:lpwstr/>
  </property>
  <property fmtid="{D5CDD505-2E9C-101B-9397-08002B2CF9AE}" pid="8" name="Country">
    <vt:lpwstr>31;#PE|c988f60b-81f1-4c24-8da7-d5473741c5b0</vt:lpwstr>
  </property>
  <property fmtid="{D5CDD505-2E9C-101B-9397-08002B2CF9AE}" pid="9" name="Sector IDB">
    <vt:lpwstr>44;#RM|c8fda4a7-691a-4c65-b227-9825197b5cd2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c644ea44-adba-4c58-91af-137cbf2d59ef</vt:lpwstr>
  </property>
  <property fmtid="{D5CDD505-2E9C-101B-9397-08002B2CF9AE}" pid="12" name="Disclosure Activity">
    <vt:lpwstr>Loan Proposal</vt:lpwstr>
  </property>
  <property fmtid="{D5CDD505-2E9C-101B-9397-08002B2CF9AE}" pid="13" name="ContentTypeId">
    <vt:lpwstr>0x0101001A458A224826124E8B45B1D613300CFC00F4D464F2A5A4F64EA4796819647617EB</vt:lpwstr>
  </property>
</Properties>
</file>