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24226"/>
  <mc:AlternateContent xmlns:mc="http://schemas.openxmlformats.org/markup-compatibility/2006">
    <mc:Choice Requires="x15">
      <x15ac:absPath xmlns:x15ac="http://schemas.microsoft.com/office/spreadsheetml/2010/11/ac" url="W:\ASSESSORIA JURÍDICA\"/>
    </mc:Choice>
  </mc:AlternateContent>
  <xr:revisionPtr revIDLastSave="0" documentId="13_ncr:1_{1737721E-DF64-45CA-B8B7-752677FC6143}" xr6:coauthVersionLast="43" xr6:coauthVersionMax="43" xr10:uidLastSave="{00000000-0000-0000-0000-000000000000}"/>
  <bookViews>
    <workbookView xWindow="-120" yWindow="-120" windowWidth="20730" windowHeight="11160" tabRatio="846" activeTab="7" xr2:uid="{00000000-000D-0000-FFFF-FFFF00000000}"/>
  </bookViews>
  <sheets>
    <sheet name="Instruções" sheetId="4" r:id="rId1"/>
    <sheet name="P.A. TOTAL " sheetId="14" r:id="rId2"/>
    <sheet name="INFORMATIVO 02 04 19" sheetId="13" state="hidden" r:id="rId3"/>
    <sheet name="P Aquisições TOTAL 01 04 19 nºA" sheetId="8" state="hidden" r:id="rId4"/>
    <sheet name="INFORMATIVO 31 01 19" sheetId="12" state="hidden" r:id="rId5"/>
    <sheet name="Sheet1" sheetId="5" state="hidden" r:id="rId6"/>
    <sheet name="PA 18 02 19 - 18 meses" sheetId="11" state="hidden" r:id="rId7"/>
    <sheet name="P.A 18 MESES" sheetId="15"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3" hidden="1">'P Aquisições TOTAL 01 04 19 nºA'!$B$8:$U$111</definedName>
    <definedName name="_xlnm._FilterDatabase" localSheetId="1" hidden="1">'P.A. TOTAL '!$B$8:$U$111</definedName>
    <definedName name="_xlnm._FilterDatabase" localSheetId="6" hidden="1">'PA 18 02 19 - 18 meses'!$A$8:$S$112</definedName>
    <definedName name="_xlnm.Print_Area" localSheetId="2">'INFORMATIVO 02 04 19'!$B$1:$G$128</definedName>
    <definedName name="_xlnm.Print_Area" localSheetId="4">'INFORMATIVO 31 01 19'!$B$1:$F$124</definedName>
    <definedName name="_xlnm.Print_Area" localSheetId="3">'P Aquisições TOTAL 01 04 19 nºA'!$B$7:$P$127</definedName>
    <definedName name="_xlnm.Print_Area" localSheetId="1">'P.A. TOTAL '!$B$7:$T$147</definedName>
    <definedName name="_xlnm.Print_Area" localSheetId="6">'PA 18 02 19 - 18 meses'!$A$7:$O$148</definedName>
    <definedName name="capacitacao" localSheetId="2">#REF!</definedName>
    <definedName name="capacitacao" localSheetId="3">'P Aquisições TOTAL 01 04 19 nºA'!$G$128:$G$136</definedName>
    <definedName name="capacitacao" localSheetId="1">'P.A. TOTAL '!$G$128:$G$136</definedName>
    <definedName name="capacitacao" localSheetId="6">'PA 18 02 19 - 18 meses'!$F$129:$F$137</definedName>
    <definedName name="capacitacao">#REF!</definedName>
    <definedName name="_xlnm.Print_Titles" localSheetId="3">'P Aquisições TOTAL 01 04 19 nºA'!$8:$9</definedName>
    <definedName name="_xlnm.Print_Titles" localSheetId="1">'P.A. TOTAL '!$8:$9</definedName>
    <definedName name="_xlnm.Print_Titles" localSheetId="6">'PA 18 02 19 - 18 meses'!$8:$9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0" i="15" l="1"/>
  <c r="I91" i="15"/>
  <c r="I90" i="15"/>
  <c r="I89" i="15"/>
  <c r="I88" i="15"/>
  <c r="I87" i="15"/>
  <c r="I86" i="15"/>
  <c r="I84" i="15"/>
  <c r="I54" i="15"/>
  <c r="I45" i="15"/>
  <c r="I40" i="15"/>
  <c r="I98" i="15"/>
  <c r="I64" i="15"/>
  <c r="I41" i="15"/>
  <c r="J10" i="15"/>
  <c r="K8" i="15"/>
  <c r="J110" i="14" l="1"/>
  <c r="J109" i="14"/>
  <c r="I103" i="15" s="1"/>
  <c r="I102" i="15" s="1"/>
  <c r="J105" i="14"/>
  <c r="J104" i="14"/>
  <c r="J103" i="14"/>
  <c r="I97" i="15" s="1"/>
  <c r="J102" i="14"/>
  <c r="J101" i="14"/>
  <c r="I95" i="15" s="1"/>
  <c r="J98" i="14"/>
  <c r="I92" i="15" s="1"/>
  <c r="I83" i="15" s="1"/>
  <c r="J91" i="14"/>
  <c r="I85" i="15" s="1"/>
  <c r="J87" i="14"/>
  <c r="J86" i="14"/>
  <c r="I80" i="15" s="1"/>
  <c r="J84" i="14"/>
  <c r="J83" i="14"/>
  <c r="I77" i="15" s="1"/>
  <c r="J82" i="14"/>
  <c r="I76" i="15" s="1"/>
  <c r="J81" i="14"/>
  <c r="I75" i="15" s="1"/>
  <c r="J80" i="14"/>
  <c r="J79" i="14"/>
  <c r="I73" i="15" s="1"/>
  <c r="J78" i="14"/>
  <c r="I72" i="15" s="1"/>
  <c r="J77" i="14"/>
  <c r="I71" i="15" s="1"/>
  <c r="J76" i="14"/>
  <c r="I70" i="15" s="1"/>
  <c r="J75" i="14"/>
  <c r="I69" i="15" s="1"/>
  <c r="J74" i="14"/>
  <c r="I68" i="15" s="1"/>
  <c r="J73" i="14"/>
  <c r="I67" i="15" s="1"/>
  <c r="J72" i="14"/>
  <c r="J71" i="14"/>
  <c r="J70" i="14"/>
  <c r="J69" i="14"/>
  <c r="I63" i="15" s="1"/>
  <c r="J68" i="14"/>
  <c r="I62" i="15" s="1"/>
  <c r="J67" i="14"/>
  <c r="I61" i="15" s="1"/>
  <c r="J66" i="14"/>
  <c r="J65" i="14"/>
  <c r="J64" i="14"/>
  <c r="J63" i="14"/>
  <c r="I57" i="15" s="1"/>
  <c r="J62" i="14"/>
  <c r="I56" i="15" s="1"/>
  <c r="J61" i="14"/>
  <c r="I55" i="15" s="1"/>
  <c r="J59" i="14"/>
  <c r="I53" i="15" s="1"/>
  <c r="J58" i="14"/>
  <c r="I52" i="15" s="1"/>
  <c r="J56" i="14"/>
  <c r="I50" i="15" s="1"/>
  <c r="J55" i="14"/>
  <c r="I49" i="15" s="1"/>
  <c r="J54" i="14"/>
  <c r="I48" i="15" s="1"/>
  <c r="J49" i="14"/>
  <c r="I43" i="15" s="1"/>
  <c r="J48" i="14"/>
  <c r="I42" i="15" s="1"/>
  <c r="J47" i="14"/>
  <c r="J45" i="14"/>
  <c r="I39" i="15" s="1"/>
  <c r="J44" i="14"/>
  <c r="I38" i="15" s="1"/>
  <c r="J43" i="14"/>
  <c r="I37" i="15" s="1"/>
  <c r="J42" i="14"/>
  <c r="J41" i="14"/>
  <c r="I35" i="15" s="1"/>
  <c r="J39" i="14"/>
  <c r="I33" i="15" s="1"/>
  <c r="J36" i="14"/>
  <c r="J35" i="14"/>
  <c r="I29" i="15" s="1"/>
  <c r="J34" i="14"/>
  <c r="J32" i="14"/>
  <c r="I26" i="15" s="1"/>
  <c r="J31" i="14"/>
  <c r="I25" i="15" s="1"/>
  <c r="J30" i="14"/>
  <c r="I24" i="15" s="1"/>
  <c r="J29" i="14"/>
  <c r="I23" i="15" s="1"/>
  <c r="J28" i="14"/>
  <c r="I22" i="15" s="1"/>
  <c r="J27" i="14"/>
  <c r="I21" i="15" s="1"/>
  <c r="J26" i="14"/>
  <c r="I20" i="15" s="1"/>
  <c r="J25" i="14"/>
  <c r="J24" i="14"/>
  <c r="I18" i="15" s="1"/>
  <c r="J23" i="14"/>
  <c r="I17" i="15" s="1"/>
  <c r="J22" i="14"/>
  <c r="I16" i="15" s="1"/>
  <c r="J21" i="14"/>
  <c r="I15" i="15" s="1"/>
  <c r="J20" i="14"/>
  <c r="I14" i="15" s="1"/>
  <c r="J17" i="14"/>
  <c r="I11" i="15" s="1"/>
  <c r="K16" i="14"/>
  <c r="J16" i="14"/>
  <c r="I10" i="15" s="1"/>
  <c r="J15" i="14"/>
  <c r="L14" i="14"/>
  <c r="J14" i="14"/>
  <c r="I8" i="15" s="1"/>
  <c r="K13" i="14"/>
  <c r="L13" i="14" s="1"/>
  <c r="J13" i="14"/>
  <c r="I7" i="15" s="1"/>
  <c r="J12" i="14"/>
  <c r="K12" i="14" s="1"/>
  <c r="L12" i="14" s="1"/>
  <c r="L11" i="14"/>
  <c r="J11" i="14"/>
  <c r="K11" i="14" s="1"/>
  <c r="E30" i="13"/>
  <c r="F14" i="13"/>
  <c r="J39" i="8"/>
  <c r="E105" i="13"/>
  <c r="E85" i="13"/>
  <c r="J62" i="8"/>
  <c r="E76" i="13"/>
  <c r="E77" i="13" s="1"/>
  <c r="E74" i="13"/>
  <c r="E70" i="13"/>
  <c r="E60" i="13"/>
  <c r="E56" i="13"/>
  <c r="J72" i="8"/>
  <c r="E50" i="13"/>
  <c r="J49" i="8"/>
  <c r="J28" i="8"/>
  <c r="E32" i="13"/>
  <c r="J33" i="14" l="1"/>
  <c r="I27" i="15" s="1"/>
  <c r="I28" i="15"/>
  <c r="J85" i="14"/>
  <c r="I79" i="15" s="1"/>
  <c r="I81" i="15"/>
  <c r="I94" i="15"/>
  <c r="I13" i="15"/>
  <c r="K15" i="14"/>
  <c r="L15" i="14" s="1"/>
  <c r="I9" i="15"/>
  <c r="K9" i="15" s="1"/>
  <c r="J9" i="15" s="1"/>
  <c r="J89" i="14"/>
  <c r="J108" i="14"/>
  <c r="J40" i="8"/>
  <c r="J40" i="14"/>
  <c r="I34" i="15" s="1"/>
  <c r="E79" i="13"/>
  <c r="J100" i="14"/>
  <c r="J10" i="14"/>
  <c r="J19" i="14"/>
  <c r="I4" i="15" l="1"/>
  <c r="J45" i="8"/>
  <c r="J33" i="8"/>
  <c r="J34" i="8"/>
  <c r="J17" i="8"/>
  <c r="E47" i="13"/>
  <c r="J64" i="8" l="1"/>
  <c r="G15" i="13"/>
  <c r="J48" i="8" l="1"/>
  <c r="J76" i="8"/>
  <c r="J91" i="8" l="1"/>
  <c r="K16" i="8" l="1"/>
  <c r="J15" i="8"/>
  <c r="K15" i="8" s="1"/>
  <c r="L15" i="8" s="1"/>
  <c r="K13" i="8"/>
  <c r="J12" i="8"/>
  <c r="K12" i="8" s="1"/>
  <c r="L12" i="8" s="1"/>
  <c r="J36" i="8"/>
  <c r="L11" i="8"/>
  <c r="J75" i="8"/>
  <c r="J77" i="8"/>
  <c r="J109" i="8"/>
  <c r="J110" i="8"/>
  <c r="J55" i="8"/>
  <c r="J53" i="8"/>
  <c r="J87" i="8"/>
  <c r="J85" i="8" s="1"/>
  <c r="J80" i="8"/>
  <c r="J35" i="8"/>
  <c r="J16" i="8"/>
  <c r="J11" i="8"/>
  <c r="J81" i="8"/>
  <c r="J13" i="8"/>
  <c r="J82" i="8"/>
  <c r="J98" i="8"/>
  <c r="J89" i="8" s="1"/>
  <c r="J54" i="8"/>
  <c r="J108" i="8" l="1"/>
  <c r="J47" i="8"/>
  <c r="J79" i="8" l="1"/>
  <c r="K11" i="8" l="1"/>
  <c r="L14" i="8" l="1"/>
  <c r="J65" i="8" l="1"/>
  <c r="J105" i="8"/>
  <c r="J74" i="8"/>
  <c r="J44" i="8"/>
  <c r="J104" i="8"/>
  <c r="J86" i="8"/>
  <c r="J32" i="8"/>
  <c r="J43" i="8"/>
  <c r="J31" i="8"/>
  <c r="J30" i="8"/>
  <c r="J29" i="8"/>
  <c r="J27" i="8"/>
  <c r="J66" i="8"/>
  <c r="J25" i="8"/>
  <c r="J61" i="8"/>
  <c r="J60" i="8"/>
  <c r="J58" i="8"/>
  <c r="J57" i="8"/>
  <c r="J24" i="8"/>
  <c r="J23" i="8"/>
  <c r="J22" i="8"/>
  <c r="J21" i="8"/>
  <c r="J20" i="8"/>
  <c r="J14" i="8"/>
  <c r="J10" i="8" s="1"/>
  <c r="J101" i="8" l="1"/>
  <c r="J103" i="8"/>
  <c r="J73" i="8"/>
  <c r="D14" i="13"/>
  <c r="F13" i="13"/>
  <c r="D13" i="13" s="1"/>
  <c r="F107" i="13"/>
  <c r="J26" i="8"/>
  <c r="J19" i="8" s="1"/>
  <c r="J102" i="8"/>
  <c r="D111" i="13"/>
  <c r="J70" i="8"/>
  <c r="J42" i="8"/>
  <c r="F78" i="13"/>
  <c r="D55" i="13"/>
  <c r="F54" i="13"/>
  <c r="D54" i="13"/>
  <c r="J68" i="8"/>
  <c r="J69" i="8"/>
  <c r="J67" i="8"/>
  <c r="J41" i="8"/>
  <c r="J71" i="8"/>
  <c r="C36" i="13"/>
  <c r="D36" i="13"/>
  <c r="D45" i="13"/>
  <c r="C122" i="13"/>
  <c r="C117" i="13"/>
  <c r="C111" i="13"/>
  <c r="F111" i="13" s="1"/>
  <c r="C102" i="13"/>
  <c r="F93" i="13"/>
  <c r="C93" i="13"/>
  <c r="C91" i="13"/>
  <c r="C85" i="13"/>
  <c r="C79" i="13"/>
  <c r="C74" i="13"/>
  <c r="C66" i="13"/>
  <c r="F66" i="13" s="1"/>
  <c r="C56" i="13"/>
  <c r="C50" i="13"/>
  <c r="C45" i="13"/>
  <c r="C26" i="13"/>
  <c r="C30" i="13" s="1"/>
  <c r="J50" i="8" l="1"/>
  <c r="J38" i="8" s="1"/>
  <c r="J50" i="14"/>
  <c r="J56" i="8"/>
  <c r="J57" i="14"/>
  <c r="J100" i="8"/>
  <c r="D30" i="13"/>
  <c r="J53" i="14" l="1"/>
  <c r="I51" i="15"/>
  <c r="I47" i="15" s="1"/>
  <c r="J38" i="14"/>
  <c r="J116" i="14" s="1"/>
  <c r="K116" i="14" s="1"/>
  <c r="I44" i="15"/>
  <c r="I32" i="15" s="1"/>
  <c r="I33" i="11"/>
  <c r="I32" i="11"/>
  <c r="I110" i="15" l="1"/>
  <c r="J110" i="15" s="1"/>
  <c r="I36" i="11"/>
  <c r="I120" i="11" l="1"/>
  <c r="I118" i="11"/>
  <c r="I86" i="11"/>
  <c r="I52" i="11"/>
  <c r="I51" i="11"/>
  <c r="I50" i="11"/>
  <c r="I49" i="11"/>
  <c r="I48" i="11"/>
  <c r="I47" i="11"/>
  <c r="I93" i="11"/>
  <c r="I89" i="11"/>
  <c r="I87" i="11"/>
  <c r="I88" i="11"/>
  <c r="I14" i="11"/>
  <c r="I45" i="11"/>
  <c r="I25" i="11"/>
  <c r="I90" i="11" l="1"/>
  <c r="I85" i="11"/>
  <c r="I84" i="11"/>
  <c r="I65" i="11"/>
  <c r="I107" i="11" l="1"/>
  <c r="I92" i="11"/>
  <c r="I91" i="11"/>
  <c r="I82" i="11"/>
  <c r="I78" i="11"/>
  <c r="I69" i="11"/>
  <c r="I24" i="11"/>
  <c r="I18" i="11" s="1"/>
  <c r="C118" i="12" l="1"/>
  <c r="E117" i="12" s="1"/>
  <c r="G117" i="12" s="1"/>
  <c r="C113" i="12"/>
  <c r="C107" i="12"/>
  <c r="E107" i="12" s="1"/>
  <c r="C98" i="12"/>
  <c r="E89" i="12"/>
  <c r="C89" i="12"/>
  <c r="C87" i="12"/>
  <c r="C81" i="12"/>
  <c r="E81" i="12" s="1"/>
  <c r="C75" i="12"/>
  <c r="C70" i="12"/>
  <c r="C62" i="12"/>
  <c r="E62" i="12" s="1"/>
  <c r="C52" i="12"/>
  <c r="C46" i="12"/>
  <c r="C41" i="12"/>
  <c r="C32" i="12"/>
  <c r="C26" i="12"/>
  <c r="C27" i="12" s="1"/>
  <c r="E27" i="12" s="1"/>
  <c r="I105" i="11" l="1"/>
  <c r="I104" i="11"/>
  <c r="I81" i="11"/>
  <c r="I80" i="11" s="1"/>
  <c r="I73" i="11"/>
  <c r="I44" i="11" l="1"/>
  <c r="I96" i="11"/>
  <c r="I125" i="11" l="1"/>
  <c r="D56" i="13" l="1"/>
  <c r="E57" i="13" s="1"/>
  <c r="J78" i="8" l="1"/>
  <c r="J63" i="8"/>
  <c r="D47" i="13"/>
  <c r="D105" i="13"/>
  <c r="F108" i="13" s="1"/>
  <c r="J83" i="8"/>
  <c r="J84" i="8"/>
  <c r="J52" i="8" l="1"/>
  <c r="L13" i="8"/>
  <c r="D52" i="13"/>
  <c r="D70" i="13"/>
  <c r="D99" i="13"/>
  <c r="D76" i="13"/>
  <c r="D6" i="13"/>
  <c r="F30" i="13" s="1"/>
  <c r="D87" i="13"/>
  <c r="D38" i="13"/>
  <c r="F38" i="13" s="1"/>
  <c r="D32" i="13"/>
  <c r="F32" i="13" s="1"/>
  <c r="D60" i="13"/>
  <c r="D78" i="13" l="1"/>
  <c r="F53" i="13"/>
  <c r="F56" i="13"/>
  <c r="D119" i="13"/>
  <c r="D77" i="13" l="1"/>
  <c r="I16" i="11" l="1"/>
  <c r="D79" i="13"/>
  <c r="J116" i="8" l="1"/>
  <c r="K116" i="8" s="1"/>
  <c r="K16" i="11"/>
  <c r="J16" i="11" s="1"/>
  <c r="I10" i="11"/>
  <c r="J123" i="8" l="1"/>
  <c r="J125" i="8" s="1"/>
  <c r="I117" i="11"/>
  <c r="I124" i="11" s="1"/>
  <c r="I126" i="11" s="1"/>
  <c r="I129" i="11"/>
</calcChain>
</file>

<file path=xl/sharedStrings.xml><?xml version="1.0" encoding="utf-8"?>
<sst xmlns="http://schemas.openxmlformats.org/spreadsheetml/2006/main" count="4070" uniqueCount="669">
  <si>
    <t>OBRAS</t>
  </si>
  <si>
    <t>Previsto</t>
  </si>
  <si>
    <t>Ex-Post</t>
  </si>
  <si>
    <t>Ex-Ante</t>
  </si>
  <si>
    <t>Sistema Nacional</t>
  </si>
  <si>
    <t>Licitação Pública Internacional por Lotes </t>
  </si>
  <si>
    <t>Processo Cancelado</t>
  </si>
  <si>
    <t>Assinatura do Contrato</t>
  </si>
  <si>
    <t>BENS</t>
  </si>
  <si>
    <t>SERVIÇOS QUE NÃO SÃO DE CONSULTORIA</t>
  </si>
  <si>
    <t>CONSULTORIAS FIRMAS</t>
  </si>
  <si>
    <t>CAPACITAÇÃO</t>
  </si>
  <si>
    <t>SUBPROJETOS</t>
  </si>
  <si>
    <t>Licitação Pública Internacional sem Pré-qualificação</t>
  </si>
  <si>
    <t>Seleção Baseada na Qualificação do Consultor (SQC)</t>
  </si>
  <si>
    <t>Status</t>
  </si>
  <si>
    <t>Consultoria Individual</t>
  </si>
  <si>
    <t>Contrato em Execução</t>
  </si>
  <si>
    <t>Comentários - para Sistema Nacional incluir método de Seleção</t>
  </si>
  <si>
    <t>BRASIL</t>
  </si>
  <si>
    <t xml:space="preserve">PLANO DE AQUISIÇÕES (PA) - 18 MESES </t>
  </si>
  <si>
    <t>Selecionar no menu suspenso</t>
  </si>
  <si>
    <t>Categoria</t>
  </si>
  <si>
    <t>Objeto</t>
  </si>
  <si>
    <t>Unidade Executora*</t>
  </si>
  <si>
    <t>Objeto*</t>
  </si>
  <si>
    <t>Montante Estimado *</t>
  </si>
  <si>
    <t>Datas Estimadas*</t>
  </si>
  <si>
    <t>Publicação do Anúncio/Convite</t>
  </si>
  <si>
    <t>Seleção Baseada na Qualidade e Custo  (SBQC)</t>
  </si>
  <si>
    <t>Seleção Baseada na Qualidade  (SBQ)</t>
  </si>
  <si>
    <t>Contratação Direta (CD)</t>
  </si>
  <si>
    <t>Seleção Baseada no Menor Custo  (SBMC)</t>
  </si>
  <si>
    <t>Seleção Baseado em Orçamento Fixo (SBOF)</t>
  </si>
  <si>
    <t>Sistema Nacional (SN)</t>
  </si>
  <si>
    <t>Licitação Pública Internacional (LPI)</t>
  </si>
  <si>
    <t>Licitação Pública Nacional (LPN)</t>
  </si>
  <si>
    <t>Comparação de Preços (CP)</t>
  </si>
  <si>
    <t>Nova Licitação</t>
  </si>
  <si>
    <t>Pregão Presencial</t>
  </si>
  <si>
    <t>Exemplos</t>
  </si>
  <si>
    <t>Seleção Baseada na Qualidade e Custo (SBQC)</t>
  </si>
  <si>
    <t>Seleção Baseada no Menor Custo (SBMC) </t>
  </si>
  <si>
    <t>Licitação Limitada Internacional  (LLI)</t>
  </si>
  <si>
    <t>Quantidade de Lotes</t>
  </si>
  <si>
    <t>Descrição Adicional</t>
  </si>
  <si>
    <t>Número do Processo</t>
  </si>
  <si>
    <t>Montante Estimado % Contrapartida</t>
  </si>
  <si>
    <t>Montante Estimado % BID</t>
  </si>
  <si>
    <t>Método de Revisão (Selecionar uma das opções)*</t>
  </si>
  <si>
    <t>Número PRISM</t>
  </si>
  <si>
    <t>CONSULTORIAS INDIVIDUAIS</t>
  </si>
  <si>
    <t>Categoria de Investimento</t>
  </si>
  <si>
    <t>Recusa de Propostas</t>
  </si>
  <si>
    <t>Consultoria Firmas</t>
  </si>
  <si>
    <t>Licitação Pública Internacional em 2 Etapas </t>
  </si>
  <si>
    <t>Bens, Obras e Serviços</t>
  </si>
  <si>
    <t xml:space="preserve">Métodos </t>
  </si>
  <si>
    <t>Processo em Curso</t>
  </si>
  <si>
    <t>Pregão Eletrônico/Ata</t>
  </si>
  <si>
    <t xml:space="preserve">Instruções Gerais </t>
  </si>
  <si>
    <t>Processos com 100% de contrapartida</t>
  </si>
  <si>
    <t>Colocar o Nº de componente associado</t>
  </si>
  <si>
    <t xml:space="preserve">Instruções </t>
  </si>
  <si>
    <t xml:space="preserve"> O novo formato de Plano de Aquisições para as operações financiadas pelo BID tem como objetivo facilitar o preenchimento, padronização e coleta de informações com a utilização de menus suspensos em varias colunas. Por favor seguir as instruções e opções disponíveis:</t>
  </si>
  <si>
    <t>Selecionar no Menu Suspenso</t>
  </si>
  <si>
    <t>Contrato Concluido</t>
  </si>
  <si>
    <t>Declaração de Aquisição Deserta</t>
  </si>
  <si>
    <t>Consultoria Firmas e Capacitacão</t>
  </si>
  <si>
    <t>Comparação de Qualificações (3 CV)</t>
  </si>
  <si>
    <t>Pregão Eletrônico</t>
  </si>
  <si>
    <t>Ata de Registro de Preços</t>
  </si>
  <si>
    <t>Tomada de Preços</t>
  </si>
  <si>
    <t>Carta Convite</t>
  </si>
  <si>
    <t>Método  de Revisão</t>
  </si>
  <si>
    <t>Contrato Concluído</t>
  </si>
  <si>
    <t>Seleção Baseada na Qualidade (SBQ)</t>
  </si>
  <si>
    <t>Seleção Baseada nas Qualificações do Consultor (SQC)</t>
  </si>
  <si>
    <t>Seleção Baseada em Orçamento Fixo (SBOF)</t>
  </si>
  <si>
    <t>Licitação Pública Internacional com Pré-qualificação</t>
  </si>
  <si>
    <t>Consultorias Individuais</t>
  </si>
  <si>
    <t xml:space="preserve">Comparação de Qualificações (3 CV) </t>
  </si>
  <si>
    <t>Contratação Direta</t>
  </si>
  <si>
    <t>Montante Estimado em US$ X 1000</t>
  </si>
  <si>
    <t>CONTRATO DE EMPRÉSTIMO: [indicar]</t>
  </si>
  <si>
    <r>
      <t>Data:</t>
    </r>
    <r>
      <rPr>
        <b/>
        <sz val="12"/>
        <color rgb="FFFF0000"/>
        <rFont val="Times New Roman"/>
        <family val="1"/>
      </rPr>
      <t>[indicar]</t>
    </r>
  </si>
  <si>
    <r>
      <t xml:space="preserve">Atualização Nº: </t>
    </r>
    <r>
      <rPr>
        <b/>
        <sz val="12"/>
        <color rgb="FFFF0000"/>
        <rFont val="Times New Roman"/>
        <family val="1"/>
      </rPr>
      <t>[indicar]</t>
    </r>
  </si>
  <si>
    <r>
      <t xml:space="preserve">Atualizado por: </t>
    </r>
    <r>
      <rPr>
        <b/>
        <sz val="12"/>
        <color rgb="FFFF0000"/>
        <rFont val="Times New Roman"/>
        <family val="1"/>
      </rPr>
      <t>[indicar]</t>
    </r>
  </si>
  <si>
    <t>FOLHA DE COMENTÁRIOS</t>
  </si>
  <si>
    <t>[A seguir é apresentado um exemplo de uma folha de Comentários sobre itens do Plano de Aquisições (PA) que necessitarem de maiores esclarecimentos]</t>
  </si>
  <si>
    <t>ATIVIDADE</t>
  </si>
  <si>
    <t>COMENTÁRIO</t>
  </si>
  <si>
    <t>1. Obras</t>
  </si>
  <si>
    <t>1.7 Construção do tronco Cidade Velha e adequação da rede de coleta de esgotos da região</t>
  </si>
  <si>
    <t>Item inserido na atualização do PA, desmembrado da atividade 1.5 que atenderá à implementação dos TDR para as ETES, Alegria e Sistema de Esgotamento Sanitário da Zona Leste.</t>
  </si>
  <si>
    <t>2. Bens</t>
  </si>
  <si>
    <t>2.3 Mobiliário e Equipamentos para Municípios Beneficiários (07 municípios)</t>
  </si>
  <si>
    <t>Método de Aquisição mudado para LPN, pois o valor da contratação excede o previsto para a modalidade CP.</t>
  </si>
  <si>
    <t>3. Serviços que Não São de consultoria</t>
  </si>
  <si>
    <t>3.6 Apoio Jurídico às ações de desapropriação</t>
  </si>
  <si>
    <t>Devido ao parcelamento das áreas de desapropriação, reduzindo a quantidade de lotes envolvidos, não mais será necessária a contratação de apoio jurídico, uma vez que os processos serão conduzidos pela Procuradoria Geral do Estado - PGE.</t>
  </si>
  <si>
    <t>4. Consultorias Firmas</t>
  </si>
  <si>
    <t>4.3 Elaboração de Estudos Complementares para a Implantação do Plano de Reassentamento</t>
  </si>
  <si>
    <t>O processo de aquisição deste serviço foi cancelado, dado que a UGP optou por elaborar os estudos internamente, com apoio de consultor, para cumprir com o cronograma físico financeiro.</t>
  </si>
  <si>
    <t>4.6 Detalhamento do Projeto de Recomposição de Matas Ciliares</t>
  </si>
  <si>
    <t>O processo de aquisição deste serviço foi cancelado, dado que a UGP optou por elaborar o detalhamento do projeto de recomposição de matas ciliares internamente, com equipe própria especializada.</t>
  </si>
  <si>
    <t>4.16 Elaboração de Estudos de Alternativas para Revisão da Implantação do Programa</t>
  </si>
  <si>
    <t xml:space="preserve">Conforme acordado na Missão de Supervisão, realizada em maio/2015, a UGP estudará a contratação de Empresa para realização de análise sobre a implantação da 1ªEtapa do Programa, bem como elaboração de proposta para a continuidade. </t>
  </si>
  <si>
    <t>5. Consultorias Individuais</t>
  </si>
  <si>
    <t>5.4 Apoio à elaboração dos PMSB de Jardins e Moura (resíduos e drenagem)</t>
  </si>
  <si>
    <t>Outros Serviços de Consultoria para o Fortalecimento Institucional dos Municípios (até 8).</t>
  </si>
  <si>
    <t>6. Capacitação</t>
  </si>
  <si>
    <t>6.2 Capacitações em formulação e execução de projetos nos municípios beneficiários (até 16)</t>
  </si>
  <si>
    <t>Serão realizadas diversas licitações para capacitações os 16 municípios durante o corrente ano.</t>
  </si>
  <si>
    <t>7. Subprojetos</t>
  </si>
  <si>
    <t>7.2 Aquisição de terrenos e imóveis</t>
  </si>
  <si>
    <t>A UGP deverá preparar um plano de aquisição para cada terreno ou imóvel, após a conclusão do Projeto Executivo. Serão efetuadas várias contratações diretas para a aquisição desses imóveis e terrenos</t>
  </si>
  <si>
    <t>(i) Colocar "Sistema Nacional" na coluna " Método" e  na coluna " Método de  Revisão".  (ii) Indicar o método (Pregão ou Ata) na coluna de "Comentário".  (iii) Não serão aceitos  processos utilizando um sistema nacional com revisão ex-ante nem ex-post</t>
  </si>
  <si>
    <t>(i) Colocar "Sistema Nacional" na coluna " Método" e  na coluna " Método de  Revisão". (ii) Indicar  "Contrapartida' e o método utilizado na coluna "Comentário"</t>
  </si>
  <si>
    <t>Categoria/ Componente</t>
  </si>
  <si>
    <t>Objeto da licitação</t>
  </si>
  <si>
    <t>Revisão/Supervisão</t>
  </si>
  <si>
    <t>Licitação  Limitada Internacional(LLI)</t>
  </si>
  <si>
    <t>Concorrencia Publica Nacional</t>
  </si>
  <si>
    <t>Metodos de Licitação N+A16acional</t>
  </si>
  <si>
    <t>4.2</t>
  </si>
  <si>
    <t>UGP</t>
  </si>
  <si>
    <t>4.5</t>
  </si>
  <si>
    <t>4.3</t>
  </si>
  <si>
    <t>4.7</t>
  </si>
  <si>
    <t>5.1</t>
  </si>
  <si>
    <t>4.6</t>
  </si>
  <si>
    <t>3.1</t>
  </si>
  <si>
    <t>4.1</t>
  </si>
  <si>
    <t>4.4</t>
  </si>
  <si>
    <t>Item</t>
  </si>
  <si>
    <t>1.1</t>
  </si>
  <si>
    <t>1.2</t>
  </si>
  <si>
    <t>1.3</t>
  </si>
  <si>
    <t>1.4</t>
  </si>
  <si>
    <t>2.1</t>
  </si>
  <si>
    <t>3.2</t>
  </si>
  <si>
    <t>4.8</t>
  </si>
  <si>
    <t>6.1</t>
  </si>
  <si>
    <t>7.1</t>
  </si>
  <si>
    <t>Atualizado por: PMM</t>
  </si>
  <si>
    <t xml:space="preserve">Plano de Aquisições (PA) - 18 Meses </t>
  </si>
  <si>
    <t>2.2</t>
  </si>
  <si>
    <t>4.9</t>
  </si>
  <si>
    <t>Apoio ao Gerenciamento do Programa</t>
  </si>
  <si>
    <t>Contrato de Empréstimo: BR-L 1421</t>
  </si>
  <si>
    <t>Atualização Nº: 0</t>
  </si>
  <si>
    <t>Programa de Desenvolvimento Urbano Integrado e Sustentável do Município de João Pessoa</t>
  </si>
  <si>
    <t>US$ 1,00 =</t>
  </si>
  <si>
    <t>Obras de construção das 675 Unidades habitacionais e dos equipamentos comunitários (quadras, CREI, escolas e PS)</t>
  </si>
  <si>
    <t xml:space="preserve">Obras de infraestrutura </t>
  </si>
  <si>
    <t>Obras de construção da infraestrutura do Parque do Jaguaripe</t>
  </si>
  <si>
    <t>Obras de remediação do Lixão do Roger</t>
  </si>
  <si>
    <t>Elaboração do Plano Diretor Municipal e revisão de legislação complementar</t>
  </si>
  <si>
    <t>Apoio as atividades sociais das obras de remediação do Lixão do Roger</t>
  </si>
  <si>
    <t>Implantação do PRI (Programa de Reassentamento Involuntário). Implantação dos Elos</t>
  </si>
  <si>
    <t>Elaboração Estudos de critérios urbanísticos para adensamento urbano</t>
  </si>
  <si>
    <t>Desenvolvimento de um modelo de habitação sustentável</t>
  </si>
  <si>
    <t>Revisão de procedimentos de licenciamento e controle do uso e ocupação do solo</t>
  </si>
  <si>
    <t>Plano de ação de desenvolvimento de uma economia de baixo carbono</t>
  </si>
  <si>
    <t>4.10</t>
  </si>
  <si>
    <t>4.11</t>
  </si>
  <si>
    <t>4.12</t>
  </si>
  <si>
    <t>4.13</t>
  </si>
  <si>
    <t>4.14</t>
  </si>
  <si>
    <t>4.15</t>
  </si>
  <si>
    <t>4.16</t>
  </si>
  <si>
    <t>4.17</t>
  </si>
  <si>
    <t>4.18</t>
  </si>
  <si>
    <t>4.19</t>
  </si>
  <si>
    <t>4.20</t>
  </si>
  <si>
    <t>4.21</t>
  </si>
  <si>
    <t>4.22</t>
  </si>
  <si>
    <t>4.23</t>
  </si>
  <si>
    <t>4.24</t>
  </si>
  <si>
    <t>Plano Municipal de redução de riscos mudanças climática</t>
  </si>
  <si>
    <t>Implantação do Centro de Cooperação da Cidade - CCC (Turn Key)</t>
  </si>
  <si>
    <t>Qualificação dos fiscais e técnicos da Secretaria de Meio Ambiente em legislação, pericia e melhores formas de comunicação.</t>
  </si>
  <si>
    <t xml:space="preserve">Consultoria especializada para elaborar o plano estratégico, definir o modelo de gestão por resultados, redesenhar os procesos de trabalho e definnir a estrutura organizacional das secretarias envolvidas </t>
  </si>
  <si>
    <t xml:space="preserve">Consultoria para atualização da Legislação de fiscalização de obras </t>
  </si>
  <si>
    <t xml:space="preserve"> Consultoria para redefinição da política urbanística. </t>
  </si>
  <si>
    <t>Consultoria especializada para implantar um programa de qualidade  na Secretaria da Receita .</t>
  </si>
  <si>
    <t>Consultoria para Reesttururação dos banco de dados da Secretaria de Habitação incluindo os arquivos digitalizados e dados das comunidades</t>
  </si>
  <si>
    <t>Consultoria para revisão do Caderno de encargo da Secretaria de Planejamento Urbano</t>
  </si>
  <si>
    <t>Consultoria para reallizar estudo e redefinição do modelo de gestão do Zooparque  visando sua sustentabilidade.</t>
  </si>
  <si>
    <t>Cnsultoria para definição do modelo de gestão dos materiais para descarte que podem contaminar o meio ambiente (Secrretaria de Meio Ambiente)</t>
  </si>
  <si>
    <t xml:space="preserve">Implantação e um sistema de georeferenciamento na Secretaria de Infraestrutura </t>
  </si>
  <si>
    <t xml:space="preserve">Consultoria para desenvolvimento do sistema de contratos </t>
  </si>
  <si>
    <t>6.2</t>
  </si>
  <si>
    <t>2.3</t>
  </si>
  <si>
    <t>2.4</t>
  </si>
  <si>
    <t>2.5</t>
  </si>
  <si>
    <t>1.5</t>
  </si>
  <si>
    <t>6.3</t>
  </si>
  <si>
    <t xml:space="preserve">Obras de construção de Unidades Habitacionais </t>
  </si>
  <si>
    <t>Produto Associado</t>
  </si>
  <si>
    <t xml:space="preserve">Obras de Infraestrutura na área de intervenção </t>
  </si>
  <si>
    <t>(Produto 1 - Unidades habitacionais construídas na região do médio rio Jaguaribe)</t>
  </si>
  <si>
    <t>(Produto 2 – Parque Linear Implantado)</t>
  </si>
  <si>
    <t>(Produto 5 - Lixão remediado)</t>
  </si>
  <si>
    <t xml:space="preserve">Execução pequenas Obras </t>
  </si>
  <si>
    <t xml:space="preserve">Produto 18 - Reestruturação Organizacional das Secretarias Envolvidas no Projeto </t>
  </si>
  <si>
    <t xml:space="preserve">Produto 5 - Lixão remediado </t>
  </si>
  <si>
    <t>Produto 3 – Elos implantados</t>
  </si>
  <si>
    <t>Produto 6 - Plano Diretor Municipal Atualizado</t>
  </si>
  <si>
    <t>Produto 7 - Critérios urbanísticos para adensamento urbano estabelecidos.</t>
  </si>
  <si>
    <t>Produto 8 - Modelos de Habitação Sustentável desenvolvidos.</t>
  </si>
  <si>
    <t>Produto 9 - Critérios de licenciamento e de controle do uso e ocupação do solo atualizados.</t>
  </si>
  <si>
    <t>Produto 10 - Plano de ação de desenvolvimento de uma economia de baixo carbono Elaborado</t>
  </si>
  <si>
    <t>Produto 11 - Plano Municipal de redução de riscos elaborado</t>
  </si>
  <si>
    <t>Produto 12 - Centro de Cooperação da Cidade – CCC em operação</t>
  </si>
  <si>
    <t>Consultoria para desenvolvimento de modelos de gestão</t>
  </si>
  <si>
    <t>Consultoria para atualização de legislação</t>
  </si>
  <si>
    <t>Consultoria para desenvolvimento de política urbanística</t>
  </si>
  <si>
    <t>Consultoria para desenvolver programa de qualidade</t>
  </si>
  <si>
    <t>Consultoria para desenvolver sistema de protocolo</t>
  </si>
  <si>
    <t xml:space="preserve">Consultoria para Integrar a Secretaria de Habitação ao Sistema de Protocolo da Prefeitura </t>
  </si>
  <si>
    <t>Consultoria para desenvolvimento de banco de dados</t>
  </si>
  <si>
    <t>Consultoria para desenvolver modelos de gestão</t>
  </si>
  <si>
    <t>Consultoria para implantação de sistema georeferênciamento</t>
  </si>
  <si>
    <t xml:space="preserve">Cursos de Capacitação Profisssional </t>
  </si>
  <si>
    <t xml:space="preserve">Capacitação de fiscais e técnicos da Secretaria de Meio Ambiente </t>
  </si>
  <si>
    <t>Produto 18 - Reestruturação Organizacional das Secretarias Envolvidas no Projeto</t>
  </si>
  <si>
    <t>fev/2019</t>
  </si>
  <si>
    <t>jun/2019</t>
  </si>
  <si>
    <t>jun/2018</t>
  </si>
  <si>
    <t>jan/2019</t>
  </si>
  <si>
    <t>jul/2019</t>
  </si>
  <si>
    <t>dez/2019</t>
  </si>
  <si>
    <t>set/2019</t>
  </si>
  <si>
    <t>jul/2018</t>
  </si>
  <si>
    <t>maio/2019</t>
  </si>
  <si>
    <t>nov/2019</t>
  </si>
  <si>
    <t>abril/2020</t>
  </si>
  <si>
    <t>nov/2018</t>
  </si>
  <si>
    <t>dez/2018</t>
  </si>
  <si>
    <t>4.25</t>
  </si>
  <si>
    <t>4.33</t>
  </si>
  <si>
    <t>4.34</t>
  </si>
  <si>
    <t>4.35</t>
  </si>
  <si>
    <t>4.36</t>
  </si>
  <si>
    <t>4.37</t>
  </si>
  <si>
    <t>4.38</t>
  </si>
  <si>
    <t>4.40</t>
  </si>
  <si>
    <t>4.41</t>
  </si>
  <si>
    <t>4.42</t>
  </si>
  <si>
    <t>4.43</t>
  </si>
  <si>
    <t>4.44</t>
  </si>
  <si>
    <t>4.46</t>
  </si>
  <si>
    <t>4.47</t>
  </si>
  <si>
    <t>4.48</t>
  </si>
  <si>
    <t>6.4</t>
  </si>
  <si>
    <t>6.5</t>
  </si>
  <si>
    <t>2.6</t>
  </si>
  <si>
    <t>2.7</t>
  </si>
  <si>
    <t>Aquisição de móveis e utensílios</t>
  </si>
  <si>
    <t>2.8</t>
  </si>
  <si>
    <t>2.9</t>
  </si>
  <si>
    <t>2.10</t>
  </si>
  <si>
    <t>2.11</t>
  </si>
  <si>
    <t>2.12</t>
  </si>
  <si>
    <t>Aquisição de equipamento para o setor de veterinária do Zooparque.</t>
  </si>
  <si>
    <t xml:space="preserve">Estruturação do laboratório de efluentes na Secretaria de Meio Ambiente </t>
  </si>
  <si>
    <t>3.3</t>
  </si>
  <si>
    <t>3.4</t>
  </si>
  <si>
    <t>3.5</t>
  </si>
  <si>
    <t>3.6</t>
  </si>
  <si>
    <t>Adequação da rede eletrica e lógica do Centro Administrativo para atender as novas demandas na secretartia das Administração e Receita.</t>
  </si>
  <si>
    <t xml:space="preserve">Adquirir software para elaboração de projetos de engenharia para a Secretaria de Planejamento Urbano </t>
  </si>
  <si>
    <t>1.6</t>
  </si>
  <si>
    <t>Adequação de espaços físicos da Secretaria de  Infraestrutura  que permita o fluxo de veículos, máquinas e equipamentos.</t>
  </si>
  <si>
    <t>Produto 19 - Planta Genérica de Valores atualizada</t>
  </si>
  <si>
    <t>Produto 20 - Modelo de Gestão dos Contribuintes implantado</t>
  </si>
  <si>
    <t>2.13</t>
  </si>
  <si>
    <t>2.14</t>
  </si>
  <si>
    <t>2.15</t>
  </si>
  <si>
    <t>Aquisição de ferramenta de bussiness inteligence moderna e que opere em ambiente WEB.</t>
  </si>
  <si>
    <t>Produto 21 – Modelos de Cobrança Implantado</t>
  </si>
  <si>
    <t> Contratação de consultoria para desenvolver um sistema de cobrança e protesto cartorário</t>
  </si>
  <si>
    <t>Produto 22 - Sistema de Administração Tributário Implantado</t>
  </si>
  <si>
    <t>Contratação de consultoria especializada para escrever o novo sistema de administração tributária, em plataforma WEB, inclusive com treinamento do corpo funcional.</t>
  </si>
  <si>
    <t>Contratação de fábrica se software .</t>
  </si>
  <si>
    <t>Contratação de fábrica se software</t>
  </si>
  <si>
    <t>Produto 23 – Modelo de Gestão Patrimonial implantado</t>
  </si>
  <si>
    <t>Consultoria especializada objetivando: analise e diagnostico situacional do patrimônio municipal, sistema informatizado único que viabilize a integração das informações entre os entes municipais, oportunizando meios, equipamentos e praticas modernas de tombamento.</t>
  </si>
  <si>
    <t>Produto 24 - Escola de Governo e gestão Pública implantada</t>
  </si>
  <si>
    <t xml:space="preserve">Consultoria para levantamento das necesidades de capacitação e elaboração do  Plano de Capacitação do Município  </t>
  </si>
  <si>
    <t xml:space="preserve">Execução do Plano de Capacitação do Município </t>
  </si>
  <si>
    <t>Produto 25 - Modelo de Gestão de Compras Municipal implantado</t>
  </si>
  <si>
    <t>Aquisição de equipamentos de informática e softwares</t>
  </si>
  <si>
    <t>Produto 26 - Plano de Educação Fiscal publicado</t>
  </si>
  <si>
    <t xml:space="preserve">Contratação de consultoria para a elaboração de material didático destinado à formação de disseminadores </t>
  </si>
  <si>
    <t>Produto 27 - Modelo de Inteligência fiscal implantado</t>
  </si>
  <si>
    <t>Consultoria em tecnologia da informação para desenvolver: ferrammenta de planejamento e  monitoramento da ação fiscal; ferramenta de  monitoramento e auditoria do ISS.</t>
  </si>
  <si>
    <t>Produto 28 – Processo eletrônico implantado</t>
  </si>
  <si>
    <t>Consultoria para Informatização / virtualização dos processos administrativo. Implantação do sistema de gerenciamento eletrônico de documentos</t>
  </si>
  <si>
    <t>Aquisição de ferramenta informatizada de GED</t>
  </si>
  <si>
    <t>Produto 29 - Módulo de gestão financeira e contábil implantado</t>
  </si>
  <si>
    <t>Consultoria para desenhar e desenvolvimento do Sistema financeiro e contábil</t>
  </si>
  <si>
    <t>Aquisição de equipamentos de informática</t>
  </si>
  <si>
    <t xml:space="preserve">Aquisição de equipamentos de informática </t>
  </si>
  <si>
    <t>Produto 30 - Redefinição do modelo de assistência social do município</t>
  </si>
  <si>
    <t>Execução do Programa de cursos em alimentação e nutrição utilizando os equipamentos das cozinhas comunitárias/restaurantes.</t>
  </si>
  <si>
    <t>Consultoria redefinição do modelo de assisstencia social no município (planejamento estratégico, sistema integrado de informaçoes, revisão da estrutura organizacional, modelo de gestão dos restaurantes e para desecentralização dos seviços)</t>
  </si>
  <si>
    <t xml:space="preserve">Produto 31 - Adequação do modelo de atuação da Defesa Civil </t>
  </si>
  <si>
    <t>Aquisição de equipamentos para defesa civil</t>
  </si>
  <si>
    <t>Equipamentos de preparação e respostas aos desastres: veículos 4x4, escavadeiras hidráulicas, retroescavadeiras, caçambas  Basculantes, pequenas embarcações fluviais, rádio de comunicação</t>
  </si>
  <si>
    <t xml:space="preserve">Aquisição de um DRONE para Defesa Civil </t>
  </si>
  <si>
    <t xml:space="preserve">Equipamentos de proteção individual para os Técnicos da Defesa civil </t>
  </si>
  <si>
    <t>Atualização dos mapas geológicos e de ocupação urbana</t>
  </si>
  <si>
    <t>Produto 32 - Infraestrutura física de TI aperfeiçoada</t>
  </si>
  <si>
    <t>Capacitação em gerenciamento de rede</t>
  </si>
  <si>
    <t>Capacitação em gerenciamento de rede e implantação de cabeamento estruturado</t>
  </si>
  <si>
    <t>Consultoria para definição e implantação do projeto de cabeamento estruturado</t>
  </si>
  <si>
    <t>Aquisiçao de Equipamentos de Informática</t>
  </si>
  <si>
    <t>Produto 33 - Modelo de gerenciamento de serviços de TI implantado que contemple um software de gerenciamento</t>
  </si>
  <si>
    <t>Cursos de COBIT e ITIL, Gestão de Projetos (PMBOK)</t>
  </si>
  <si>
    <t>Consultoria para elaboração do  Plano Diretor de Informática</t>
  </si>
  <si>
    <t>Ferramenta de gerenciamento de serviços de TI</t>
  </si>
  <si>
    <t>produto 34 - Data Center implantado</t>
  </si>
  <si>
    <t>Aquisição de Equipamentos de Informática</t>
  </si>
  <si>
    <t>Aquisição de equipamentos de informática (Switcher de acesso, Ponto de acesso de rede sem fio, Controladora de rede Lan e Wlan , Rack, Equipamentos para implantação da Plataforma de segurança de rede (soluções de firewall, IPS, Antivírus, VPN, filtro de conteúdo, controle de aplicação e filtragem web.)</t>
  </si>
  <si>
    <t>mar/2020</t>
  </si>
  <si>
    <t>jul/2020</t>
  </si>
  <si>
    <t>abril/2019</t>
  </si>
  <si>
    <t>ago/2019</t>
  </si>
  <si>
    <t>mar/2018</t>
  </si>
  <si>
    <t>set/2018</t>
  </si>
  <si>
    <t>Atualizado em: 05/05/2017</t>
  </si>
  <si>
    <t>Contratação de empresa de consultoria para prestação de apoio técnico à UGP</t>
  </si>
  <si>
    <t>Admistração do Programa</t>
  </si>
  <si>
    <t>Jan/2018</t>
  </si>
  <si>
    <t>Maio/2018</t>
  </si>
  <si>
    <t>Consultor Individual de apoio a UPG nas atividades de Meio Ambiente</t>
  </si>
  <si>
    <t>Consultor para acompanhar e orientar a UGP nas atividades ambientais do Programa</t>
  </si>
  <si>
    <t>Administração do Programa</t>
  </si>
  <si>
    <t>5.2</t>
  </si>
  <si>
    <t>Consultor Individual de apoio a UPG nas atividades de sociais</t>
  </si>
  <si>
    <t>Consultor para acompanhar e orientar a UGP nas atividades sociais do Programa</t>
  </si>
  <si>
    <t>Contratação de empresa de consultoria para prestação de serviço em supervisão de obras</t>
  </si>
  <si>
    <t>Atividades de Monitoramento para o Componente II - DEL</t>
  </si>
  <si>
    <t>Jan/2019</t>
  </si>
  <si>
    <t>5.3</t>
  </si>
  <si>
    <t>5.4</t>
  </si>
  <si>
    <t>Consultor Individual para realizar a avaliação intermediária do Programa</t>
  </si>
  <si>
    <t>Consultor Individual para realizar a avaliação Final do Programa</t>
  </si>
  <si>
    <t>Consultoria em Supervisão de Obras e Serviços de Engenharia</t>
  </si>
  <si>
    <t>Consultoria para Monitoramento para o Componente II - DEL</t>
  </si>
  <si>
    <t>Consultoria para elaboração dos projetos básicos e executivos do Complexo Beira Rio e Linha Ferrea</t>
  </si>
  <si>
    <t>fev/2018</t>
  </si>
  <si>
    <t>Consultoria para elaboração dos projetos básicos e executivos para remediação do Lixão do Roger</t>
  </si>
  <si>
    <t>Ago/2018</t>
  </si>
  <si>
    <t>Consultoria para elaboração do Projeto de Habitação Sustentável</t>
  </si>
  <si>
    <t>Dez/2018</t>
  </si>
  <si>
    <t>Mai/2019</t>
  </si>
  <si>
    <t>Consultoria para elaborar o Plano de Manejo da Mata do Buraquinho e o Plano de Proteção e Recuperação de Mangues nas áreas afetadas</t>
  </si>
  <si>
    <t>Aquisição de equipamento</t>
  </si>
  <si>
    <t>Aquisição de equipamentos para a Secretaria de Meio Ambinete .</t>
  </si>
  <si>
    <t xml:space="preserve">Aquisição de equipamentos para laboratório da Secretaria de Meio Ambiente </t>
  </si>
  <si>
    <t>Aquisição de ferramenta tecnológica</t>
  </si>
  <si>
    <t>Serviços de adequação da rede eletrica e lógica na secretartia das Administração e Receita.</t>
  </si>
  <si>
    <t xml:space="preserve">Software para elaboração de projetos de engenharia para a Secretaria de Planejamento Urbano </t>
  </si>
  <si>
    <t>Serviços de digitalização de processos de licitação</t>
  </si>
  <si>
    <t>Empresa para digitalização de processos de licitação</t>
  </si>
  <si>
    <t xml:space="preserve">Impressão e confecção de folders, banners, cartilhas, vídeos, jogos, jogos eletrônicos, paginas interativas, entre outros). </t>
  </si>
  <si>
    <t xml:space="preserve">Serviços de confecção e impressão de material de comunicação. </t>
  </si>
  <si>
    <t>Serviços de desenvolvimento de gerenciamento de serviços de TI</t>
  </si>
  <si>
    <t>Serviços de atualização dos mapas geológicos e de ocupação urbana</t>
  </si>
  <si>
    <t>Consultoria de Serviço  para elaboração de Planos</t>
  </si>
  <si>
    <t>Consultoria de Serviços para realizar as atividades sociais do reassentamento</t>
  </si>
  <si>
    <t>Consultoria de Serviços para realizar as atividades sociais de remediação do Lixão do Roger</t>
  </si>
  <si>
    <t>Consultoria ambiental para elaboração de planos de ação ambiental</t>
  </si>
  <si>
    <t>Consultoria para elaboração dos projetos básicos e executivos</t>
  </si>
  <si>
    <t>Consultoria de Serviço para elaboração de critérios rubanísticos</t>
  </si>
  <si>
    <t>Consultoria de Serviço elaboração de Planos</t>
  </si>
  <si>
    <t>Consultoria de Serviço em legislação ambiental</t>
  </si>
  <si>
    <t>Consultoria de Serviço de arquitetura</t>
  </si>
  <si>
    <t>Contratação de consultoria especializada para efetuar a atualização da Planta Genêrica de Valores - PGV</t>
  </si>
  <si>
    <t>Consultoria para atualização da Planta Genêrica de Valores - PGV</t>
  </si>
  <si>
    <t>Consultoria para o desenvolvimento de sistema</t>
  </si>
  <si>
    <t>Consultoria para desenvolver um sistema de cobrança e protesto cartorário</t>
  </si>
  <si>
    <t>Consultoria especializada para realizar o recadastramento dos contribuintes.</t>
  </si>
  <si>
    <t>Consultoria para desenvolvimento de sistemas</t>
  </si>
  <si>
    <t>Consultoria desenvolvimento de sistemas</t>
  </si>
  <si>
    <t xml:space="preserve">Consultoria para elaboração do  Plano de Capacitação do Município  </t>
  </si>
  <si>
    <t>Consultoria para a elaboração de material didático</t>
  </si>
  <si>
    <t>Consultoria em tecnologia da informação para desenvolver sistemas</t>
  </si>
  <si>
    <t>Consultoria para Informatização de processos administrativo.</t>
  </si>
  <si>
    <t xml:space="preserve">Consultoria para desenvolvimento de Sistema </t>
  </si>
  <si>
    <t>Consultotia desenvolver Sistema</t>
  </si>
  <si>
    <t xml:space="preserve">Consultoria em gestão administrativa </t>
  </si>
  <si>
    <t>Consultoria para elaboração de  Plano</t>
  </si>
  <si>
    <t xml:space="preserve">Aquisição de equipamentos de informática e softwares para: Secretaria de Infraestrutura; Aquisição de sistema de monitoramento para o Zooparque; Implantação do EAD; Programa de educação fiscal; equipar a Defesa civil </t>
  </si>
  <si>
    <t>Consultotia para desenhar e desenvolver Sistema de acompanhamento da Dívida Pública e de Contratos e Convênios.</t>
  </si>
  <si>
    <t xml:space="preserve">(Servidores, Storage, Switcher de Data Center, Ferramentas de BK, Ferramentas de Monitoramento, Notebooks, UPS, Sofware de Virtualização (licenças) Banco de Dados (Licenças), Sistema Operacional (Licenças), Delphi (licenças), Ferramenta de Design Gráfico, Software de aplicativos, </t>
  </si>
  <si>
    <t>Sala Segura, Contêiner Data Center</t>
  </si>
  <si>
    <t xml:space="preserve">Contratação de consultoria para desenhar e imlantar o novo Modelod e Gestão do Contribuinte incluindo: o redesenho do sistema de atendimento e modernização das unidades de serviço, dotando-as de uma infraestrutura que propicie conforto aos usuários; o novo Portal do Contribuinte com novas funcionalidades, implantação dos terminais de autoatendimento em pontos estratégicos da cidade; relatórios gerenciais, envolvendo treinamento de servidores. </t>
  </si>
  <si>
    <t xml:space="preserve">Consultoria para desenvolver e implantar o novo Modelo de Gestão do Contribuinte </t>
  </si>
  <si>
    <t>Consultoria organizacional</t>
  </si>
  <si>
    <t>4.27</t>
  </si>
  <si>
    <t>4.45</t>
  </si>
  <si>
    <t>Consultor para apoiar e assessorar a UEP nas atividades gerais do Programa</t>
  </si>
  <si>
    <t>5.5</t>
  </si>
  <si>
    <r>
      <t xml:space="preserve">Método 
</t>
    </r>
    <r>
      <rPr>
        <b/>
        <i/>
        <sz val="12"/>
        <color indexed="9"/>
        <rFont val="Times New Roman"/>
        <family val="1"/>
      </rPr>
      <t>(Selecionar uma das Opções)</t>
    </r>
    <r>
      <rPr>
        <b/>
        <sz val="12"/>
        <color indexed="9"/>
        <rFont val="Times New Roman"/>
        <family val="1"/>
      </rPr>
      <t>*</t>
    </r>
  </si>
  <si>
    <t>Contratação de consultoria especializada para realizar o recadastramento dos contribuintes do segmento mobiliário, com o redesenho da base do cadastro mercantil.</t>
  </si>
  <si>
    <t>Aquisição de infraestrutura (transporte) de fiscalização e controle da Secretaria de Meio Ambiente .</t>
  </si>
  <si>
    <t>com a mudança da formatação do DATA CENTER esse produto ainda é necessário?</t>
  </si>
  <si>
    <t>Produto 15 - Projetos Básicos e Executivos previstos para o programa.</t>
  </si>
  <si>
    <t>mar/2019</t>
  </si>
  <si>
    <t>mai/2020</t>
  </si>
  <si>
    <t>Consultor Individual de apoio a UPG nas atividades de implantação do CCC</t>
  </si>
  <si>
    <t>Consultor para acompanhar e orientar a UGP nas atividades de implantação do CCC</t>
  </si>
  <si>
    <t>valor previsto no antigo PA</t>
  </si>
  <si>
    <t>Valor UHs contra partidas (B)</t>
  </si>
  <si>
    <t>Valor total programa</t>
  </si>
  <si>
    <t>Valor total estimado (A)</t>
  </si>
  <si>
    <t>diferença</t>
  </si>
  <si>
    <t>2.16</t>
  </si>
  <si>
    <t>Desapropriação de Terrenos (para os dois Conjuntos Habitacionais)</t>
  </si>
  <si>
    <t>3.7</t>
  </si>
  <si>
    <t>Regularização Fundiária (Elaboração e Execução de Projeto de Regularização Fundiária de 8 comunidades. Do total de edificações do CBR (1.866) -761 edificações desconstruidas = 1.105 casos para regularização fundiaria a R$ 1.000 cada)</t>
  </si>
  <si>
    <t>(Produto 2 - Infraestrutura</t>
  </si>
  <si>
    <t>Obras para implantação Parque Linear</t>
  </si>
  <si>
    <t>Consultor Individual de Aquisições</t>
  </si>
  <si>
    <t>4.49</t>
  </si>
  <si>
    <t>Consultoria para elaborar e executar o projeto de Regularização Fundiária Urbana nas comunidades do Complexo Beira Rio</t>
  </si>
  <si>
    <t>Processo de Regularização Fundiária</t>
  </si>
  <si>
    <t>4.26</t>
  </si>
  <si>
    <t>Consultoria para elaboração da proposta pedagógica da Escola de Governo e Gestão Pública</t>
  </si>
  <si>
    <t>4.28</t>
  </si>
  <si>
    <t>Consultoria para definir modelo de EAD.</t>
  </si>
  <si>
    <t>4.29</t>
  </si>
  <si>
    <t>Consultoria para definição do modelo de compras.</t>
  </si>
  <si>
    <t>Consultoria para definição do modelo de conpras e seus manuais: contendo - políticas municipal de compras, diretrizes, preços, qualidade e padronização dos bens e serviços.</t>
  </si>
  <si>
    <t>4.30</t>
  </si>
  <si>
    <t>Criação do Portal de Compras da PMJP</t>
  </si>
  <si>
    <t>4.31</t>
  </si>
  <si>
    <t>Consultoria para implementação do banco de preços centralizado</t>
  </si>
  <si>
    <t>4.32</t>
  </si>
  <si>
    <t>Consultoria para aprimoramento da legislação.</t>
  </si>
  <si>
    <t>Consultoria para aprimoramento da legislação e normatização com regulamentações que determinem, sobretudo metas e padronizações</t>
  </si>
  <si>
    <t>fev/2020</t>
  </si>
  <si>
    <t>5.6</t>
  </si>
  <si>
    <t xml:space="preserve">Produto 18 - Reestruturação Organizacional das Secretarias Envolvidas no Projeto Produto 24 - Escola de Governo e gestão Pública implantada
Produto 25 - Modelo de Gestão de Compras Municipal implantado
Produto 26 - Plano de Educação Fiscal publicado
Produto 31 - Adequação do modelo de atuação da Defesa Civil </t>
  </si>
  <si>
    <t>4.50</t>
  </si>
  <si>
    <t>Plano de ação para desenvolvimento econômico das Comunidades da Região do Beira Rio</t>
  </si>
  <si>
    <t>Consultoria para elaborar e executar o Plano de Desenvovimento Econômico das Comunidades do Beira Rio</t>
  </si>
  <si>
    <t>Plano de ação para desenvolvimento econômico das Comunidades da Região do Beira Rio elaborado</t>
  </si>
  <si>
    <t>jan/2023</t>
  </si>
  <si>
    <t>mar/2023</t>
  </si>
  <si>
    <t>COMPONENTES</t>
  </si>
  <si>
    <t>VALORES U$</t>
  </si>
  <si>
    <t>Reestruturação Organizacional das Secretarias Envolvidas no Projeto</t>
  </si>
  <si>
    <t>TOTAL</t>
  </si>
  <si>
    <t xml:space="preserve">FALTANDO </t>
  </si>
  <si>
    <t>A INSERIR</t>
  </si>
  <si>
    <t>Modelo de Gestão dos Contribuintes implantado.</t>
  </si>
  <si>
    <t>Modelo de Gestão de Compras Municipais implantado.</t>
  </si>
  <si>
    <t xml:space="preserve">Processos eletrônico implantado. </t>
  </si>
  <si>
    <t>Modelo de Gestão financeira e contábil implantado</t>
  </si>
  <si>
    <t>Adequação do modelo de atuação da Defesa Civil aos parâmetros estabelecidos pela Lei.</t>
  </si>
  <si>
    <t xml:space="preserve">Infraestrutura física de TI aperfeiçoada </t>
  </si>
  <si>
    <t>Novo sistema de administração tributária implantado.</t>
  </si>
  <si>
    <t xml:space="preserve">Programa de Educação Fiscal implantado </t>
  </si>
  <si>
    <t>Modelo de gerenciamento de serviços de TI implantado que contemple um software de gerenciamento.</t>
  </si>
  <si>
    <t>4.1 CONSULTORIA PARA REALIZAR ASSENTAMENTOS</t>
  </si>
  <si>
    <t>4.2  A SER INSERIDO NO PA</t>
  </si>
  <si>
    <t>OK LANÇADO NO ITEM 4.1 FICANDO 4.246.275</t>
  </si>
  <si>
    <t xml:space="preserve">    Recuperação do Lixão do Roger</t>
  </si>
  <si>
    <t>Novo Modelo de cobrança implantado.</t>
  </si>
  <si>
    <t>Escola de Governo e gestão Pública implantada</t>
  </si>
  <si>
    <t xml:space="preserve">Redefinição do modelo de assistência social do município </t>
  </si>
  <si>
    <t>Consultores individuais</t>
  </si>
  <si>
    <t>ITENS 5.1 A 5.6</t>
  </si>
  <si>
    <t>A ACRESCENTAR EM CADA UM DOS ITENS PARA FECHAR VALOR</t>
  </si>
  <si>
    <t>OK INSERIDO NOS 06 ITENS</t>
  </si>
  <si>
    <t>Avaliação e Monitoramento</t>
  </si>
  <si>
    <t>inserido no item 4.43</t>
  </si>
  <si>
    <t xml:space="preserve">Obras do Parque Socioambiental e recuperação do Lixão do Roger </t>
  </si>
  <si>
    <t xml:space="preserve">Implantação CCC - TURN KEY </t>
  </si>
  <si>
    <t>valor estimado p/ 18 meses 08/02/19</t>
  </si>
  <si>
    <t>dolar</t>
  </si>
  <si>
    <t>PEP PREVISÃO (08/02/19)</t>
  </si>
  <si>
    <t>Equipe local ( C )</t>
  </si>
  <si>
    <t>valor total do PA (atualizado) 08/02/2019. (A+B+C)</t>
  </si>
  <si>
    <t>4.51</t>
  </si>
  <si>
    <t>PLANO DE AQUISIÇÕES - 18 MESES - PROGRAMA JOÃO PESSOA SUSTENTÁVEL - VERSÃO 18.02.2019</t>
  </si>
  <si>
    <t>PEP 16 02 19</t>
  </si>
  <si>
    <t>4.34  Modelo de Inteligência fiscal implantado</t>
  </si>
  <si>
    <t>3.7 mudou p/ 4.51</t>
  </si>
  <si>
    <r>
      <t xml:space="preserve">Modelo de gerenciamento de serviços de TI implantado que contemple um software de gerenciamento. </t>
    </r>
    <r>
      <rPr>
        <b/>
        <sz val="11"/>
        <color rgb="FF00B0F0"/>
        <rFont val="Calibri"/>
        <family val="2"/>
        <scheme val="minor"/>
      </rPr>
      <t>(Sistema de Serviços de monitoramento e segurança para implantação de um firewall na PMJP implementado.)</t>
    </r>
  </si>
  <si>
    <r>
      <t xml:space="preserve">Redefinição do modelo de assistência social do município  </t>
    </r>
    <r>
      <rPr>
        <b/>
        <sz val="11"/>
        <color rgb="FF00B0F0"/>
        <rFont val="Calibri"/>
        <family val="2"/>
        <scheme val="minor"/>
      </rPr>
      <t>(foi incluído no item Secretarias com plano de reestruturação implementados</t>
    </r>
  </si>
  <si>
    <t>ok</t>
  </si>
  <si>
    <t>Consultoria Ambiental para implementação de ações do MGAS</t>
  </si>
  <si>
    <t>valor total do PA (atualizado) 18/02/2019. (A+B+C)</t>
  </si>
  <si>
    <t>Consultoria para apoiar na implementação das ações do MGAS (Elaboração, divulgação e consultas do RAA´s, Plano de Comunicação Social, Educação Ambiental e Sanitária).</t>
  </si>
  <si>
    <t>4.38 TRANSFERIDO PARA REORGAN SECRETARIAS</t>
  </si>
  <si>
    <t>6.3 TRANSFERIDO PARA REORGAN SECRETARIAS</t>
  </si>
  <si>
    <t>Reestruturação Organizacional das Secretarias Envolvidas no Projeto (100% BID)</t>
  </si>
  <si>
    <r>
      <t>Modelo de Gestão dos Contribuintes implantado.</t>
    </r>
    <r>
      <rPr>
        <b/>
        <sz val="11"/>
        <color rgb="FF00B0F0"/>
        <rFont val="Calibri"/>
        <family val="2"/>
        <scheme val="minor"/>
      </rPr>
      <t xml:space="preserve"> (Novo Modelo de Inteligência Fiscal (planejamento, cruzamento de dados, monitoramento e execução das auditorias) implantado.) (100% BID)</t>
    </r>
  </si>
  <si>
    <t>Modelo de Gestão de Compras Municipais implantado. (100% BID)</t>
  </si>
  <si>
    <t>Processos eletrônico implantado.  (100% BID)</t>
  </si>
  <si>
    <t>Modelo de Gestão financeira e contábil implantado (100% BID)</t>
  </si>
  <si>
    <t>Adequação do modelo de atuação da Defesa Civil aos parâmetros estabelecidos pela Lei. (100% BID)</t>
  </si>
  <si>
    <t>Infraestrutura física de TI aperfeiçoada (100% BID)</t>
  </si>
  <si>
    <t>jan/2021</t>
  </si>
  <si>
    <t>jun/2020</t>
  </si>
  <si>
    <t>set/2021</t>
  </si>
  <si>
    <t>dez/2021</t>
  </si>
  <si>
    <t>out/2019</t>
  </si>
  <si>
    <t>ago/2021</t>
  </si>
  <si>
    <t>Consultoria para elaboração do Projeto de Habitação Sustentável (Projeto Conjuntos Habitacionais do CBR)</t>
  </si>
  <si>
    <t>Plano de ação para desenvolvimento econômico das Comunidades da Região do Beira Rio (Projeto de Reurbanização para reassentamento rotativo - Item 3)</t>
  </si>
  <si>
    <t>Obras de infraestrutura e implantação de Parque Linear</t>
  </si>
  <si>
    <t>Consultoria para elaboração dos projetos básicos e executivos de Infraestrutura</t>
  </si>
  <si>
    <t>Consultoria para elaboração dos projetos básicos e executivos do Complexo Linha Ferrea</t>
  </si>
  <si>
    <t>5.7</t>
  </si>
  <si>
    <t>Consultor Individual de apoio a preparação do Plano Diretor</t>
  </si>
  <si>
    <t>Consultor para apoiar e assessorar a UEP nas atividades para contratar empresa de revisão do Plano Diretor</t>
  </si>
  <si>
    <t>5.8</t>
  </si>
  <si>
    <t>Consultor Individual de apoio a preparação do Plano de Risco e Desastre</t>
  </si>
  <si>
    <t>Consultor para apoiar e assessorar a UEP nas atividades para contratar empresa de revisão do Plano de Risco e Desastre</t>
  </si>
  <si>
    <t>Aquisição de equipamentos para a Secretaria de Meio Ambiente</t>
  </si>
  <si>
    <t xml:space="preserve">Aquisição de infraestrutura (transporte) de fiscalização e controle da Secretaria de Meio Ambiente </t>
  </si>
  <si>
    <r>
      <t xml:space="preserve">Método 
</t>
    </r>
    <r>
      <rPr>
        <b/>
        <i/>
        <sz val="18"/>
        <rFont val="Arial"/>
        <family val="2"/>
      </rPr>
      <t>(Selecionar uma das Opções)</t>
    </r>
    <r>
      <rPr>
        <b/>
        <sz val="18"/>
        <rFont val="Arial"/>
        <family val="2"/>
      </rPr>
      <t>*</t>
    </r>
  </si>
  <si>
    <t>maio/2021</t>
  </si>
  <si>
    <t>Consultoria para Reestururação dos banco de dados da Secretaria de Habitação incluindo os arquivos digitalizados e dados das comunidades</t>
  </si>
  <si>
    <t>Apoio ao Gerenciamento do Programa (GERENCIADORA)</t>
  </si>
  <si>
    <t>Apoio ao Gerenciamento do Programa Financeiro (SISTEMA FINANCEIRO)</t>
  </si>
  <si>
    <t>dez/2020</t>
  </si>
  <si>
    <t>4.39</t>
  </si>
  <si>
    <t>Consultoria para definição do modelo de compras e seus manuais: contendo - políticas municipal de compras, diretrizes, preços, qualidade e padronização dos bens e serviços.</t>
  </si>
  <si>
    <t>Montante Estimado em US$</t>
  </si>
  <si>
    <t>Pregão eletrônico</t>
  </si>
  <si>
    <t>Desapropriação de utilidade pública</t>
  </si>
  <si>
    <t>Contratação de fábrica de software</t>
  </si>
  <si>
    <t>Contratação de fábrica de software .</t>
  </si>
  <si>
    <t xml:space="preserve">Consultoria para atualização (processos) de fiscalização de obras </t>
  </si>
  <si>
    <t>Consultoria para atualização de processos</t>
  </si>
  <si>
    <t>Será atendido no GED</t>
  </si>
  <si>
    <t>Incorporado ao Modelo Tributário na Missão Arranque</t>
  </si>
  <si>
    <t>foi incoporado na missão de arranque a reestruturação das secretarias</t>
  </si>
  <si>
    <t>serviço incluído na gerenciadora</t>
  </si>
  <si>
    <t>3.8</t>
  </si>
  <si>
    <t>3.9</t>
  </si>
  <si>
    <t>3.10</t>
  </si>
  <si>
    <t>3.11</t>
  </si>
  <si>
    <t>Serviço  para elaboração de Planos</t>
  </si>
  <si>
    <t>Elaboração de Estudo de Geotcnia e Topografia para os terrenos dos Conjuntos Habitacionais do CBR</t>
  </si>
  <si>
    <t>3.12</t>
  </si>
  <si>
    <t>Serviços para realizar as atividades sociais do reassentamento</t>
  </si>
  <si>
    <t>UEP</t>
  </si>
  <si>
    <t xml:space="preserve"> - </t>
  </si>
  <si>
    <t>Serviço elaboração de Planos</t>
  </si>
  <si>
    <t>Regularização Fundiária (Elaboração e Execução de Projeto de Regularização Fundiária de 8 comunidades. Do total de edificações do CBR (1.866) - 761 edificações desconstruidas = 1.105 casos para regularização fundiaria a R$ 1.000 cada)</t>
  </si>
  <si>
    <t>Elaboração e Execução do Projeto de Regularização Fundiária Urbana nas comunidades do Complexo Beira Rio.</t>
  </si>
  <si>
    <t>DESPESAS COM PESSOAL LOCAL</t>
  </si>
  <si>
    <t>7.2</t>
  </si>
  <si>
    <t>Equipe Local Administração</t>
  </si>
  <si>
    <t>Equipe Local da Unidade Executora do Programa</t>
  </si>
  <si>
    <t>Equipe Local CCC</t>
  </si>
  <si>
    <t>Equipe Local do CCC</t>
  </si>
  <si>
    <t>Estudos / Monitoramento / Avaliação - Item 2</t>
  </si>
  <si>
    <t>Projeto de Reurbanização para reassentamento rotativo - Item 3</t>
  </si>
  <si>
    <t>Consultoria para elaboração dos projetos de Reurbanização para reassentamento rotativo</t>
  </si>
  <si>
    <t>Consultoria para elaboração dos projetos básicos e executivos de infraestrutura do Complexo Beira Rio</t>
  </si>
  <si>
    <t>Conjuntos Habitacionais Integrais para Familias Vulneráveis</t>
  </si>
  <si>
    <t>Conjunto Habitacional - Colinas de Gramame, Saturnino de Brito (habitação + infraestrutura), Conjunto Habitacional São José com infraestrutura, Implantação do Residencial Vista Alegre.</t>
  </si>
  <si>
    <t>Desapropriação de Terrenos</t>
  </si>
  <si>
    <t>Desapropriação de Terrenos para construção dos Conjuntos Habitacionais</t>
  </si>
  <si>
    <t>Consultor Individual de apoio a UEP nas atividades de sociais</t>
  </si>
  <si>
    <t>Consultor para acompanhar e orientar a UEP nas atividades sociais do Programa</t>
  </si>
  <si>
    <t xml:space="preserve"> -</t>
  </si>
  <si>
    <t>Consultor Individual para Estudos / Monitoramento / Avaliação</t>
  </si>
  <si>
    <t>Consultor Individual de apoio a UEP  nas atividades de Meio Ambiente</t>
  </si>
  <si>
    <t>Consultor para acompanhar e orientar a UEP nas atividades ambientais do Programa</t>
  </si>
  <si>
    <t>Contratação de empresa de consultoria para prestação de apoio técnico à UEP</t>
  </si>
  <si>
    <t>Aquisição de Imóveis / Indenizações.</t>
  </si>
  <si>
    <t>Aquisição de Imóveis / Indenizações - Item 6  (Aquisição de imóveis (235 imóveis x R$ 65.000,00) + ( 26 indenizações x 65.000)</t>
  </si>
  <si>
    <t>Consultor para acompanhar e orientar a UEP nas atividades de implantação do CCC</t>
  </si>
  <si>
    <t>Consultor Individual de apoio a UEP nas atividades de implantação do CCC</t>
  </si>
  <si>
    <t>o consultor estimou de acordo com a demanda para todas as secretarias</t>
  </si>
  <si>
    <t>SEMAN</t>
  </si>
  <si>
    <t>SEINFRA</t>
  </si>
  <si>
    <t>EXISTEM 2 PRODUTOS ANTES DO INICIO DA ATIVIDADE: SIST. TRIBUTARIO E FERRAMENTA DATA MIN</t>
  </si>
  <si>
    <t>Pregão Eletrônico (Registro de Preços)</t>
  </si>
  <si>
    <t>Equipamentos de preparação e respostas aos desastres: veículos 4x4, pequenas embarcações fluviais, rádio de comunicação</t>
  </si>
  <si>
    <t>SEAD</t>
  </si>
  <si>
    <t>Consultoria especializada para elaborar o plano estratégico, definir o modelo de gestão por resultados, redesenhar os procesos de trabalho, definnir a estrutura organizacional das secretarias envolvidas e implantar programa de qualidade  na Secretaria da Receita .</t>
  </si>
  <si>
    <t>será cintemplado no GED, SEPLAN</t>
  </si>
  <si>
    <t>Contratação de consultoria especializada para efetuar a atualização da Planta Genêrica de Valores - PGV, cadastro multifinalitário</t>
  </si>
  <si>
    <t>PLANO DE AQUISIÇÕES - TOTAL - PROGRAMA JOÃO PESSOA SUSTENTÁVEL - VERSÃO REVISADA 01.04.2019</t>
  </si>
  <si>
    <t>SALA ABAIXO DA SEMAN</t>
  </si>
  <si>
    <t xml:space="preserve">Execução de Obras </t>
  </si>
  <si>
    <t>Sala Segura, Data Center</t>
  </si>
  <si>
    <t>Adequação de espaços físicos da Sala Segura, Data Center</t>
  </si>
  <si>
    <t>Dispensa de Licitação</t>
  </si>
  <si>
    <t>Elaboração de Estudo de Geotecnia e Topografia</t>
  </si>
  <si>
    <t xml:space="preserve">Serviço para desenvolvimento de Sistema </t>
  </si>
  <si>
    <t>Serviço para desenvolver Sistema</t>
  </si>
  <si>
    <t>Contratação para desenvolvimento e implantação do Sistema financeiro e contábil</t>
  </si>
  <si>
    <t>Contratação para desenvolvimento e implantação do Sistema de acompanhamento da Dívida Pública e de Contratos e Convênios.</t>
  </si>
  <si>
    <t>CONSULTORIAS PESSOA JURÍDICA</t>
  </si>
  <si>
    <t>Consultoria para definição do modelo de gestão dos materiais para descarte que podem contaminar o meio ambiente (Secretaria de Meio Ambiente)</t>
  </si>
  <si>
    <t>Consultoria para elaboração da proposta pedagógica da Escola de Governo e Gestão Pública e definição modelo de EAD.</t>
  </si>
  <si>
    <t>jan/2022</t>
  </si>
  <si>
    <t>fev/2022</t>
  </si>
  <si>
    <t>Produto 12 - Secretarias com Plano de Reestruturação Implementado</t>
  </si>
  <si>
    <t>(Produto 2 - Infraestrutura complementar construída na Região do CBR).</t>
  </si>
  <si>
    <t>(Produto 1 - Unidades habitacionais construídas)</t>
  </si>
  <si>
    <t>(Produto 5 - Lixão do Róger Reabilitado)</t>
  </si>
  <si>
    <t>(Produto 12 - Secretarias com Plano de Reestruturação Implementado)</t>
  </si>
  <si>
    <t>(Produto 10 - Centro de Cooperação da Cidade – CCC em operação)</t>
  </si>
  <si>
    <t>(Produto 26 - Data Center construído e em Funcionamento)</t>
  </si>
  <si>
    <t>(Produto 14 - Modelo de Gestão dos Contribuintes Implantado)</t>
  </si>
  <si>
    <t>Produto 12 - Secretarias com Plano de Reestruturação Implementado; Produto 18 - Escola de Governo EAD Implementada; Produto 19 - Modelo de Gestão de Compras Municipal Implementado; Produto 20 - Programa de Educação Fiscal Ampliado;
Produto 23 - Sistema de Atuação da Defesa Civil Implementada.</t>
  </si>
  <si>
    <t>Produto 21 – Sistema Eletrônico de Tramitação de Documentos Implementado em JP.</t>
  </si>
  <si>
    <t>Produto 22 - Sistema de Gestão Financeira e Contábil Implementado.</t>
  </si>
  <si>
    <t>Produto 23 - Sistema de Atuação da Defesa Civil Implementada.</t>
  </si>
  <si>
    <t>Produto 24 - Infraestrutura Física de TI Aperfeiçoada</t>
  </si>
  <si>
    <t>(Produto 1 - Unidades habitacionais construídas/à Construir)</t>
  </si>
  <si>
    <t>Produto 16 - Sistema de Administração Tributário Implemmentado.</t>
  </si>
  <si>
    <t>Produto 19 - Modelo de Gestão de Compras Implementado.</t>
  </si>
  <si>
    <t>Produto 20 - Programa de Educação Fiscal Ampliado</t>
  </si>
  <si>
    <t>Produto 25 - Sistema de Serviços de Monitoramento e Segurança para Implantação de um Firewall na PMJP Implementado.</t>
  </si>
  <si>
    <t>Produto 3 – Escritórios Locais de assistência social (ELOS) em funcionamento.</t>
  </si>
  <si>
    <t>Produto 11 - Projetos Básicos e Executivos Previstos para o Programa.</t>
  </si>
  <si>
    <t>Produto 4 - Processo de Regularização Fundiária Implantado.</t>
  </si>
  <si>
    <t>Produto 13 - Planta Genérica de Valores Atualizada; Produto 14 - Modelo de Gestão dos Contribuintes Implementado;  Produto 15 – Modelos de Cobrança Implementado.</t>
  </si>
  <si>
    <t>Produto 8 - Estratégia de Desenvolvimento de Economia de Baixo Carbono Elaborado.</t>
  </si>
  <si>
    <t>Produto 6 - Plano Diretor Municipal Atualizado e Revisão de Legislação Complementar.</t>
  </si>
  <si>
    <t>Produto 9 - Plano Municipal de Redução de Riscos Elaborado.</t>
  </si>
  <si>
    <t>Produto 12 - Secretarias com Plano de Reestruturação Implementado.</t>
  </si>
  <si>
    <t>Produto 16 - Sistema de Administração Tributário Implementado.</t>
  </si>
  <si>
    <t>Produto 17 – Modelo de Gestão Patrimonial implementado</t>
  </si>
  <si>
    <t>Produto 18 - Escola de Governo EAD Implementada</t>
  </si>
  <si>
    <t>Produto 14 - Modelo de Gestão dos Contribuintes Implementado</t>
  </si>
  <si>
    <t>Produto 21 – Sistema eletrônico de tramitação de documentos implementado em JP.</t>
  </si>
  <si>
    <t>Produto 2 - Infraestrutura Complementar Construída na Região do Complexo Beira Rio.</t>
  </si>
  <si>
    <t>Produto 24 - Infraestrutura Física de TI Aperfeiçoada.</t>
  </si>
  <si>
    <t xml:space="preserve">Produto 12 - Secretarias com Plano de Reestrutruação Implementados </t>
  </si>
  <si>
    <t>Produto 18 - Escola de Governo EAD implementada</t>
  </si>
  <si>
    <t>Produto 10 - Centro de Cooperação da Cidade – CCC em Operação</t>
  </si>
  <si>
    <t>Serviço para atualização da Planta Genêrica de Valores - PGV</t>
  </si>
  <si>
    <t>PA 01/04/2019</t>
  </si>
  <si>
    <t>abr/2019</t>
  </si>
  <si>
    <t>aumentou 4 milhoes de reais, proveniente Novo Modelo de Inteligência Fiscal (planejamento, cruzamento de dados, monitoramento e execução das auditorias) implantado. Incluido R$ 2 milhões da escola de governo</t>
  </si>
  <si>
    <t>4.40 remanejado para 4.39</t>
  </si>
  <si>
    <t>4.28 remanejado para 4.26</t>
  </si>
  <si>
    <t>4.21 remanejado para 4.20</t>
  </si>
  <si>
    <t>4.18 remanejado para 4.20</t>
  </si>
  <si>
    <t>4.12  remanejado p 4.9</t>
  </si>
  <si>
    <t>4.11 remanejado p 4.9</t>
  </si>
  <si>
    <t>4.13  remanejado p 4.9</t>
  </si>
  <si>
    <t>4.15 remanejado p 4.9</t>
  </si>
  <si>
    <t>1.7</t>
  </si>
  <si>
    <t>2.17</t>
  </si>
  <si>
    <t>5.9</t>
  </si>
  <si>
    <t>6.6</t>
  </si>
  <si>
    <t>L</t>
  </si>
  <si>
    <t>Contratação de Empresa para efetuar serviço de atualização da Planta Genêrica de Valores - PGV, cadastro multifinalitário</t>
  </si>
  <si>
    <t>3.13</t>
  </si>
  <si>
    <t xml:space="preserve">PLANO DE AQUISIÇÕES - TOTAL - PROGRAMA JOÃO PESSOA SUSTENTÁVEL </t>
  </si>
  <si>
    <t xml:space="preserve">PLANO DE AQUISIÇÕES - 18 MESES - PROGRAMA JOÃO PESSOA SUSTENTÁVEL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</si>
</sst>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R$&quot;\ #,##0.00;[Red]\-&quot;R$&quot;\ #,##0.00"/>
    <numFmt numFmtId="165" formatCode="_-&quot;R$&quot;\ * #,##0.00_-;\-&quot;R$&quot;\ * #,##0.00_-;_-&quot;R$&quot;\ * &quot;-&quot;??_-;_-@_-"/>
    <numFmt numFmtId="166" formatCode="_-* #,##0_-;\-* #,##0_-;_-* &quot;-&quot;??_-;_-@_-"/>
    <numFmt numFmtId="167" formatCode="_-* #,##0.0000_-;\-* #,##0.0000_-;_-* &quot;-&quot;??_-;_-@_-"/>
    <numFmt numFmtId="168" formatCode="_-* #,##0.000_-;\-* #,##0.000_-;_-* &quot;-&quot;??_-;_-@_-"/>
  </numFmts>
  <fonts count="64" x14ac:knownFonts="1">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theme="1"/>
      <name val="Times New Roman"/>
      <family val="1"/>
    </font>
    <font>
      <b/>
      <sz val="12"/>
      <color theme="1"/>
      <name val="Times New Roman"/>
      <family val="1"/>
    </font>
    <font>
      <sz val="12"/>
      <name val="Times New Roman"/>
      <family val="1"/>
    </font>
    <font>
      <b/>
      <sz val="12"/>
      <name val="Times New Roman"/>
      <family val="1"/>
    </font>
    <font>
      <b/>
      <sz val="12"/>
      <color rgb="FF000000"/>
      <name val="Times New Roman"/>
      <family val="1"/>
    </font>
    <font>
      <b/>
      <sz val="12"/>
      <color rgb="FFFF0000"/>
      <name val="Times New Roman"/>
      <family val="1"/>
    </font>
    <font>
      <sz val="11"/>
      <color theme="1"/>
      <name val="Calibri"/>
      <family val="2"/>
      <scheme val="minor"/>
    </font>
    <font>
      <sz val="12"/>
      <color theme="0"/>
      <name val="Times New Roman"/>
      <family val="1"/>
    </font>
    <font>
      <sz val="12"/>
      <color indexed="9"/>
      <name val="Times New Roman"/>
      <family val="1"/>
    </font>
    <font>
      <sz val="12"/>
      <color rgb="FFFF0000"/>
      <name val="Times New Roman"/>
      <family val="1"/>
    </font>
    <font>
      <sz val="11"/>
      <color theme="1"/>
      <name val="Times New Roman"/>
      <family val="1"/>
    </font>
    <font>
      <sz val="14"/>
      <color theme="0"/>
      <name val="Times New Roman"/>
      <family val="1"/>
    </font>
    <font>
      <sz val="10"/>
      <color theme="1"/>
      <name val="Times New Roman"/>
      <family val="1"/>
    </font>
    <font>
      <sz val="10"/>
      <color indexed="9"/>
      <name val="Times New Roman"/>
      <family val="1"/>
    </font>
    <font>
      <sz val="10"/>
      <name val="Times New Roman"/>
      <family val="1"/>
    </font>
    <font>
      <b/>
      <sz val="12"/>
      <color theme="0"/>
      <name val="Times New Roman"/>
      <family val="1"/>
    </font>
    <font>
      <b/>
      <sz val="12"/>
      <color indexed="9"/>
      <name val="Times New Roman"/>
      <family val="1"/>
    </font>
    <font>
      <b/>
      <i/>
      <sz val="12"/>
      <color indexed="9"/>
      <name val="Times New Roman"/>
      <family val="1"/>
    </font>
    <font>
      <b/>
      <sz val="8"/>
      <color theme="1"/>
      <name val="Times New Roman"/>
      <family val="1"/>
    </font>
    <font>
      <b/>
      <sz val="14"/>
      <color theme="1"/>
      <name val="Times New Roman"/>
      <family val="1"/>
    </font>
    <font>
      <sz val="14"/>
      <color theme="1"/>
      <name val="Times New Roman"/>
      <family val="1"/>
    </font>
    <font>
      <b/>
      <sz val="14"/>
      <name val="Times New Roman"/>
      <family val="1"/>
    </font>
    <font>
      <sz val="11"/>
      <color rgb="FFFF0000"/>
      <name val="Calibri"/>
      <family val="2"/>
      <scheme val="minor"/>
    </font>
    <font>
      <b/>
      <sz val="11"/>
      <color theme="1"/>
      <name val="Calibri"/>
      <family val="2"/>
      <scheme val="minor"/>
    </font>
    <font>
      <b/>
      <sz val="11"/>
      <name val="Times New Roman"/>
      <family val="1"/>
    </font>
    <font>
      <b/>
      <sz val="11"/>
      <color rgb="FFFF0000"/>
      <name val="Calibri"/>
      <family val="2"/>
      <scheme val="minor"/>
    </font>
    <font>
      <sz val="11"/>
      <color rgb="FF00B0F0"/>
      <name val="Calibri"/>
      <family val="2"/>
      <scheme val="minor"/>
    </font>
    <font>
      <b/>
      <sz val="12"/>
      <color theme="1"/>
      <name val="Arial"/>
      <family val="2"/>
    </font>
    <font>
      <b/>
      <sz val="14"/>
      <color theme="1"/>
      <name val="Arial"/>
      <family val="2"/>
    </font>
    <font>
      <b/>
      <sz val="8"/>
      <name val="Times New Roman"/>
      <family val="1"/>
    </font>
    <font>
      <b/>
      <sz val="11"/>
      <color rgb="FF00B0F0"/>
      <name val="Calibri"/>
      <family val="2"/>
      <scheme val="minor"/>
    </font>
    <font>
      <sz val="11"/>
      <color rgb="FF00B050"/>
      <name val="Calibri"/>
      <family val="2"/>
      <scheme val="minor"/>
    </font>
    <font>
      <b/>
      <sz val="18"/>
      <color rgb="FFFF0000"/>
      <name val="Arial"/>
      <family val="2"/>
    </font>
    <font>
      <sz val="18"/>
      <name val="Arial"/>
      <family val="2"/>
    </font>
    <font>
      <b/>
      <sz val="18"/>
      <name val="Arial"/>
      <family val="2"/>
    </font>
    <font>
      <b/>
      <i/>
      <sz val="18"/>
      <name val="Arial"/>
      <family val="2"/>
    </font>
    <font>
      <b/>
      <sz val="18"/>
      <color theme="6" tint="-0.249977111117893"/>
      <name val="Arial"/>
      <family val="2"/>
    </font>
    <font>
      <b/>
      <sz val="18"/>
      <color rgb="FF3366FF"/>
      <name val="Arial"/>
      <family val="2"/>
    </font>
    <font>
      <b/>
      <sz val="12"/>
      <color rgb="FF3366FF"/>
      <name val="Times New Roman"/>
      <family val="1"/>
    </font>
    <font>
      <sz val="12"/>
      <color rgb="FF3366FF"/>
      <name val="Times New Roman"/>
      <family val="1"/>
    </font>
    <font>
      <b/>
      <sz val="18"/>
      <color theme="1"/>
      <name val="Arial"/>
      <family val="2"/>
    </font>
    <font>
      <sz val="11"/>
      <color rgb="FF3366FF"/>
      <name val="Calibri"/>
      <family val="2"/>
      <scheme val="minor"/>
    </font>
    <font>
      <sz val="11"/>
      <name val="Calibri"/>
      <family val="2"/>
      <scheme val="minor"/>
    </font>
    <font>
      <b/>
      <sz val="11"/>
      <name val="Calibri"/>
      <family val="2"/>
      <scheme val="minor"/>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8"/>
        <bgColor indexed="64"/>
      </patternFill>
    </fill>
    <fill>
      <patternFill patternType="solid">
        <fgColor rgb="FF0070C0"/>
        <bgColor indexed="64"/>
      </patternFill>
    </fill>
    <fill>
      <patternFill patternType="solid">
        <fgColor theme="4"/>
        <bgColor indexed="64"/>
      </patternFill>
    </fill>
    <fill>
      <patternFill patternType="solid">
        <fgColor theme="3" tint="0.39997558519241921"/>
        <bgColor indexed="64"/>
      </patternFill>
    </fill>
    <fill>
      <patternFill patternType="solid">
        <fgColor rgb="FF3366FF"/>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00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00B050"/>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0" fontId="1"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1" fillId="0" borderId="0"/>
    <xf numFmtId="0" fontId="1" fillId="23" borderId="7" applyNumberFormat="0" applyFont="0" applyAlignment="0" applyProtection="0"/>
    <xf numFmtId="43" fontId="26" fillId="0" borderId="0" applyFont="0" applyFill="0" applyBorder="0" applyAlignment="0" applyProtection="0"/>
    <xf numFmtId="165" fontId="26" fillId="0" borderId="0" applyFont="0" applyFill="0" applyBorder="0" applyAlignment="0" applyProtection="0"/>
    <xf numFmtId="9" fontId="26" fillId="0" borderId="0" applyFont="0" applyFill="0" applyBorder="0" applyAlignment="0" applyProtection="0"/>
  </cellStyleXfs>
  <cellXfs count="520">
    <xf numFmtId="0" fontId="0" fillId="0" borderId="0" xfId="0"/>
    <xf numFmtId="0" fontId="20" fillId="0" borderId="0" xfId="0" applyFont="1" applyAlignment="1">
      <alignment horizontal="justify" vertical="center"/>
    </xf>
    <xf numFmtId="0" fontId="20" fillId="0" borderId="0" xfId="0" applyFont="1"/>
    <xf numFmtId="4" fontId="20" fillId="0" borderId="0" xfId="0" applyNumberFormat="1" applyFont="1"/>
    <xf numFmtId="10" fontId="20" fillId="0" borderId="0" xfId="0" applyNumberFormat="1" applyFont="1"/>
    <xf numFmtId="0" fontId="21" fillId="0" borderId="0" xfId="0" applyFont="1" applyAlignment="1">
      <alignment vertical="center"/>
    </xf>
    <xf numFmtId="0" fontId="22" fillId="0" borderId="0" xfId="0" applyFont="1" applyAlignment="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23" fillId="0" borderId="0" xfId="0" applyFont="1" applyAlignment="1">
      <alignment vertical="center"/>
    </xf>
    <xf numFmtId="0" fontId="24" fillId="0" borderId="0" xfId="0" applyFont="1" applyAlignment="1">
      <alignment horizontal="left" vertical="center"/>
    </xf>
    <xf numFmtId="0" fontId="20" fillId="0" borderId="0" xfId="0" applyFont="1" applyAlignment="1">
      <alignment horizontal="left" vertical="center"/>
    </xf>
    <xf numFmtId="14" fontId="23" fillId="0" borderId="0" xfId="0" applyNumberFormat="1" applyFont="1" applyAlignment="1">
      <alignment horizontal="left" vertical="center"/>
    </xf>
    <xf numFmtId="0" fontId="25" fillId="0" borderId="0" xfId="0" applyFont="1" applyAlignment="1">
      <alignment horizontal="left" vertical="center"/>
    </xf>
    <xf numFmtId="0" fontId="23" fillId="0" borderId="0" xfId="38" applyFont="1" applyAlignment="1">
      <alignment vertical="center" wrapText="1"/>
    </xf>
    <xf numFmtId="0" fontId="22" fillId="0" borderId="0" xfId="38" applyFont="1"/>
    <xf numFmtId="0" fontId="23" fillId="0" borderId="0" xfId="38" applyFont="1" applyAlignment="1">
      <alignment horizontal="left" vertical="center" wrapText="1"/>
    </xf>
    <xf numFmtId="0" fontId="22" fillId="0" borderId="21" xfId="38" applyFont="1" applyBorder="1"/>
    <xf numFmtId="0" fontId="20" fillId="0" borderId="21" xfId="0" applyFont="1" applyBorder="1"/>
    <xf numFmtId="0" fontId="20" fillId="0" borderId="0" xfId="0" applyFont="1" applyAlignment="1">
      <alignment horizontal="center" vertical="center"/>
    </xf>
    <xf numFmtId="0" fontId="30" fillId="0" borderId="0" xfId="0" applyFont="1"/>
    <xf numFmtId="0" fontId="32" fillId="0" borderId="0" xfId="0" applyFont="1"/>
    <xf numFmtId="0" fontId="27" fillId="27" borderId="23" xfId="0" applyFont="1" applyFill="1" applyBorder="1" applyAlignment="1">
      <alignment horizontal="center" vertical="center"/>
    </xf>
    <xf numFmtId="0" fontId="28" fillId="27" borderId="24" xfId="44" applyFont="1" applyFill="1" applyBorder="1" applyAlignment="1">
      <alignment horizontal="left" vertical="center" wrapText="1"/>
    </xf>
    <xf numFmtId="0" fontId="20" fillId="0" borderId="11" xfId="0" applyFont="1" applyBorder="1" applyAlignment="1">
      <alignment horizontal="left" vertical="center" wrapText="1"/>
    </xf>
    <xf numFmtId="0" fontId="28" fillId="27" borderId="18" xfId="44" applyFont="1" applyFill="1" applyBorder="1" applyAlignment="1">
      <alignment horizontal="left" vertical="center" wrapText="1"/>
    </xf>
    <xf numFmtId="0" fontId="20" fillId="0" borderId="25" xfId="0" applyFont="1" applyBorder="1" applyAlignment="1">
      <alignment horizontal="left" vertical="center" wrapText="1"/>
    </xf>
    <xf numFmtId="0" fontId="33" fillId="0" borderId="17" xfId="44" applyFont="1" applyBorder="1" applyAlignment="1">
      <alignment horizontal="left" vertical="center" wrapText="1"/>
    </xf>
    <xf numFmtId="0" fontId="32" fillId="0" borderId="17" xfId="0" applyFont="1" applyBorder="1" applyAlignment="1">
      <alignment horizontal="left" vertical="center" wrapText="1"/>
    </xf>
    <xf numFmtId="0" fontId="33" fillId="0" borderId="0" xfId="44" applyFont="1" applyAlignment="1">
      <alignment horizontal="left" vertical="center" wrapText="1"/>
    </xf>
    <xf numFmtId="0" fontId="32" fillId="0" borderId="0" xfId="0" applyFont="1" applyAlignment="1">
      <alignment horizontal="left" vertical="center" wrapText="1"/>
    </xf>
    <xf numFmtId="0" fontId="28" fillId="27" borderId="19" xfId="44" applyFont="1" applyFill="1" applyBorder="1" applyAlignment="1">
      <alignment horizontal="left" vertical="center" wrapText="1"/>
    </xf>
    <xf numFmtId="0" fontId="20" fillId="0" borderId="26" xfId="0" applyFont="1" applyBorder="1" applyAlignment="1">
      <alignment horizontal="left" vertical="center" wrapText="1"/>
    </xf>
    <xf numFmtId="0" fontId="28" fillId="27" borderId="14" xfId="44" applyFont="1" applyFill="1" applyBorder="1" applyAlignment="1">
      <alignment horizontal="left" vertical="center" wrapText="1"/>
    </xf>
    <xf numFmtId="0" fontId="20" fillId="0" borderId="13" xfId="0" applyFont="1" applyBorder="1" applyAlignment="1">
      <alignment horizontal="left" vertical="center" wrapText="1"/>
    </xf>
    <xf numFmtId="0" fontId="22" fillId="0" borderId="11" xfId="1" applyFont="1" applyBorder="1" applyAlignment="1">
      <alignment vertical="center" wrapText="1"/>
    </xf>
    <xf numFmtId="0" fontId="22" fillId="0" borderId="12" xfId="1" applyFont="1" applyBorder="1" applyAlignment="1">
      <alignment vertical="center" wrapText="1"/>
    </xf>
    <xf numFmtId="0" fontId="22" fillId="0" borderId="13" xfId="0" applyFont="1" applyBorder="1"/>
    <xf numFmtId="0" fontId="27" fillId="0" borderId="0" xfId="0" applyFont="1" applyAlignment="1">
      <alignment horizontal="center" vertical="center" wrapText="1"/>
    </xf>
    <xf numFmtId="0" fontId="22" fillId="0" borderId="13" xfId="1" applyFont="1" applyBorder="1" applyAlignment="1">
      <alignment vertical="center" wrapText="1"/>
    </xf>
    <xf numFmtId="0" fontId="22" fillId="0" borderId="22" xfId="1" applyFont="1" applyBorder="1" applyAlignment="1">
      <alignment vertical="center" wrapText="1"/>
    </xf>
    <xf numFmtId="0" fontId="22" fillId="0" borderId="10" xfId="1" applyFont="1" applyBorder="1" applyAlignment="1">
      <alignment vertical="center" wrapText="1"/>
    </xf>
    <xf numFmtId="0" fontId="34" fillId="0" borderId="0" xfId="1" applyFont="1" applyAlignment="1">
      <alignment vertical="center" wrapText="1"/>
    </xf>
    <xf numFmtId="0" fontId="20" fillId="30" borderId="0" xfId="0" applyFont="1" applyFill="1" applyAlignment="1">
      <alignment horizontal="center" vertical="center"/>
    </xf>
    <xf numFmtId="0" fontId="23" fillId="30" borderId="0" xfId="0" applyFont="1" applyFill="1" applyAlignment="1">
      <alignment horizontal="left" vertical="center"/>
    </xf>
    <xf numFmtId="0" fontId="24" fillId="30" borderId="0" xfId="0" applyFont="1" applyFill="1" applyAlignment="1">
      <alignment horizontal="left" vertical="center"/>
    </xf>
    <xf numFmtId="0" fontId="25" fillId="30" borderId="0" xfId="0" applyFont="1" applyFill="1" applyAlignment="1">
      <alignment horizontal="center" vertical="center"/>
    </xf>
    <xf numFmtId="0" fontId="23" fillId="29" borderId="31" xfId="38" applyFont="1" applyFill="1" applyBorder="1" applyAlignment="1">
      <alignment vertical="center" wrapText="1"/>
    </xf>
    <xf numFmtId="0" fontId="23" fillId="29" borderId="32" xfId="38" applyFont="1" applyFill="1" applyBorder="1" applyAlignment="1">
      <alignment vertical="center" wrapText="1"/>
    </xf>
    <xf numFmtId="0" fontId="23" fillId="0" borderId="10" xfId="38" applyFont="1" applyBorder="1" applyAlignment="1">
      <alignment horizontal="justify" vertical="center" wrapText="1"/>
    </xf>
    <xf numFmtId="166" fontId="23" fillId="29" borderId="31" xfId="46" applyNumberFormat="1" applyFont="1" applyFill="1" applyBorder="1" applyAlignment="1">
      <alignment vertical="center" wrapText="1"/>
    </xf>
    <xf numFmtId="166" fontId="36" fillId="24" borderId="10" xfId="46" applyNumberFormat="1" applyFont="1" applyFill="1" applyBorder="1" applyAlignment="1">
      <alignment horizontal="center" vertical="center" wrapText="1"/>
    </xf>
    <xf numFmtId="10" fontId="36" fillId="24" borderId="10" xfId="38" applyNumberFormat="1" applyFont="1" applyFill="1" applyBorder="1" applyAlignment="1">
      <alignment horizontal="center" vertical="center" wrapText="1"/>
    </xf>
    <xf numFmtId="0" fontId="23" fillId="29" borderId="16" xfId="0" applyFont="1" applyFill="1" applyBorder="1" applyAlignment="1">
      <alignment horizontal="center" vertical="center"/>
    </xf>
    <xf numFmtId="0" fontId="23" fillId="0" borderId="10" xfId="0" applyFont="1" applyBorder="1" applyAlignment="1">
      <alignment horizontal="center" vertical="center"/>
    </xf>
    <xf numFmtId="0" fontId="23" fillId="0" borderId="10" xfId="38" applyFont="1" applyBorder="1" applyAlignment="1">
      <alignment horizontal="center" vertical="center" wrapText="1"/>
    </xf>
    <xf numFmtId="0" fontId="23" fillId="0" borderId="10" xfId="38" applyFont="1" applyBorder="1" applyAlignment="1">
      <alignment horizontal="left" vertical="center" wrapText="1"/>
    </xf>
    <xf numFmtId="166" fontId="23" fillId="0" borderId="10" xfId="46" applyNumberFormat="1" applyFont="1" applyBorder="1" applyAlignment="1">
      <alignment horizontal="center" vertical="center" wrapText="1"/>
    </xf>
    <xf numFmtId="10" fontId="23" fillId="0" borderId="10" xfId="38" applyNumberFormat="1" applyFont="1" applyBorder="1" applyAlignment="1">
      <alignment horizontal="center" vertical="center" wrapText="1"/>
    </xf>
    <xf numFmtId="0" fontId="23" fillId="30" borderId="10" xfId="38" applyFont="1" applyFill="1" applyBorder="1" applyAlignment="1">
      <alignment horizontal="center" vertical="center" wrapText="1"/>
    </xf>
    <xf numFmtId="17" fontId="23" fillId="0" borderId="10" xfId="38" applyNumberFormat="1" applyFont="1" applyBorder="1" applyAlignment="1">
      <alignment horizontal="center" vertical="center" wrapText="1"/>
    </xf>
    <xf numFmtId="49" fontId="23" fillId="0" borderId="10" xfId="0" applyNumberFormat="1" applyFont="1" applyBorder="1" applyAlignment="1">
      <alignment horizontal="center" vertical="center" wrapText="1"/>
    </xf>
    <xf numFmtId="49" fontId="23" fillId="30" borderId="10" xfId="0" applyNumberFormat="1" applyFont="1" applyFill="1" applyBorder="1" applyAlignment="1">
      <alignment horizontal="center" vertical="center" wrapText="1"/>
    </xf>
    <xf numFmtId="0" fontId="23" fillId="0" borderId="10" xfId="0" applyFont="1" applyBorder="1" applyAlignment="1">
      <alignment horizontal="left" vertical="center" wrapText="1"/>
    </xf>
    <xf numFmtId="0" fontId="23" fillId="0" borderId="10" xfId="38" applyFont="1" applyBorder="1" applyAlignment="1">
      <alignment vertical="center" wrapText="1"/>
    </xf>
    <xf numFmtId="166" fontId="23" fillId="0" borderId="10" xfId="46" applyNumberFormat="1" applyFont="1" applyBorder="1" applyAlignment="1">
      <alignment vertical="center" wrapText="1"/>
    </xf>
    <xf numFmtId="0" fontId="23" fillId="30" borderId="10" xfId="38" applyFont="1" applyFill="1" applyBorder="1" applyAlignment="1">
      <alignment horizontal="justify" vertical="center" wrapText="1"/>
    </xf>
    <xf numFmtId="0" fontId="23" fillId="0" borderId="10" xfId="0" applyFont="1" applyBorder="1" applyAlignment="1">
      <alignment horizontal="justify" vertical="center"/>
    </xf>
    <xf numFmtId="0" fontId="23" fillId="30" borderId="0" xfId="0" applyFont="1" applyFill="1" applyAlignment="1">
      <alignment horizontal="center" vertical="center"/>
    </xf>
    <xf numFmtId="166" fontId="23" fillId="0" borderId="10" xfId="46" applyNumberFormat="1" applyFont="1" applyBorder="1" applyAlignment="1">
      <alignment horizontal="center" vertical="center"/>
    </xf>
    <xf numFmtId="0" fontId="23" fillId="30" borderId="10" xfId="0" applyFont="1" applyFill="1" applyBorder="1" applyAlignment="1">
      <alignment horizontal="left" vertical="center" wrapText="1"/>
    </xf>
    <xf numFmtId="0" fontId="23" fillId="0" borderId="10" xfId="0" applyFont="1" applyBorder="1" applyAlignment="1">
      <alignment horizontal="justify" vertical="center" wrapText="1"/>
    </xf>
    <xf numFmtId="0" fontId="23" fillId="0" borderId="0" xfId="0" applyFont="1" applyAlignment="1">
      <alignment vertical="center" wrapText="1"/>
    </xf>
    <xf numFmtId="4" fontId="23" fillId="0" borderId="10" xfId="38" applyNumberFormat="1" applyFont="1" applyBorder="1" applyAlignment="1">
      <alignment horizontal="center" vertical="center" wrapText="1"/>
    </xf>
    <xf numFmtId="0" fontId="23" fillId="0" borderId="0" xfId="0" applyFont="1" applyAlignment="1">
      <alignment horizontal="center" vertical="center"/>
    </xf>
    <xf numFmtId="0" fontId="23" fillId="0" borderId="0" xfId="38" applyFont="1" applyAlignment="1">
      <alignment horizontal="justify" vertical="center" wrapText="1"/>
    </xf>
    <xf numFmtId="166" fontId="23" fillId="0" borderId="0" xfId="46" applyNumberFormat="1" applyFont="1" applyAlignment="1">
      <alignment vertical="center" wrapText="1"/>
    </xf>
    <xf numFmtId="4" fontId="23" fillId="0" borderId="0" xfId="38" applyNumberFormat="1" applyFont="1" applyAlignment="1">
      <alignment horizontal="center" vertical="center" wrapText="1"/>
    </xf>
    <xf numFmtId="10" fontId="23" fillId="0" borderId="0" xfId="38" applyNumberFormat="1" applyFont="1" applyAlignment="1">
      <alignment horizontal="center" vertical="center" wrapText="1"/>
    </xf>
    <xf numFmtId="17" fontId="23" fillId="0" borderId="0" xfId="38" applyNumberFormat="1" applyFont="1" applyAlignment="1">
      <alignment horizontal="center" vertical="center" wrapText="1"/>
    </xf>
    <xf numFmtId="10" fontId="23" fillId="0" borderId="10" xfId="38" applyNumberFormat="1" applyFont="1" applyBorder="1" applyAlignment="1">
      <alignment vertical="center" wrapText="1"/>
    </xf>
    <xf numFmtId="0" fontId="21" fillId="0" borderId="0" xfId="0" applyFont="1" applyAlignment="1">
      <alignment horizontal="center" vertical="center"/>
    </xf>
    <xf numFmtId="0" fontId="23" fillId="0" borderId="0" xfId="1" applyFont="1" applyAlignment="1">
      <alignment horizontal="justify" vertical="center" wrapText="1"/>
    </xf>
    <xf numFmtId="0" fontId="20" fillId="30" borderId="0" xfId="0" applyFont="1" applyFill="1" applyAlignment="1">
      <alignment horizontal="justify" vertical="center"/>
    </xf>
    <xf numFmtId="0" fontId="20" fillId="30" borderId="0" xfId="0" applyFont="1" applyFill="1" applyAlignment="1">
      <alignment vertical="center"/>
    </xf>
    <xf numFmtId="166" fontId="20" fillId="30" borderId="0" xfId="46" applyNumberFormat="1" applyFont="1" applyFill="1" applyAlignment="1">
      <alignment vertical="center"/>
    </xf>
    <xf numFmtId="10" fontId="20" fillId="30" borderId="0" xfId="0" applyNumberFormat="1" applyFont="1" applyFill="1" applyAlignment="1">
      <alignment horizontal="center" vertical="center"/>
    </xf>
    <xf numFmtId="0" fontId="20" fillId="31" borderId="0" xfId="0" applyFont="1" applyFill="1" applyAlignment="1">
      <alignment horizontal="center" vertical="center"/>
    </xf>
    <xf numFmtId="10" fontId="20" fillId="30" borderId="0" xfId="48" applyNumberFormat="1" applyFont="1" applyFill="1" applyAlignment="1">
      <alignment horizontal="center" vertical="center"/>
    </xf>
    <xf numFmtId="165" fontId="20" fillId="30" borderId="0" xfId="0" applyNumberFormat="1" applyFont="1" applyFill="1" applyAlignment="1">
      <alignment horizontal="center" vertical="center"/>
    </xf>
    <xf numFmtId="165" fontId="20" fillId="30" borderId="0" xfId="47" applyFont="1" applyFill="1" applyAlignment="1">
      <alignment vertical="center"/>
    </xf>
    <xf numFmtId="0" fontId="22" fillId="30" borderId="0" xfId="38" applyFont="1" applyFill="1" applyAlignment="1">
      <alignment vertical="center"/>
    </xf>
    <xf numFmtId="0" fontId="20" fillId="0" borderId="0" xfId="0" applyFont="1" applyAlignment="1">
      <alignment vertical="center"/>
    </xf>
    <xf numFmtId="0" fontId="22" fillId="30" borderId="0" xfId="0" applyFont="1" applyFill="1" applyAlignment="1">
      <alignment vertical="center"/>
    </xf>
    <xf numFmtId="0" fontId="29" fillId="30" borderId="0" xfId="0" applyFont="1" applyFill="1" applyAlignment="1">
      <alignment vertical="center"/>
    </xf>
    <xf numFmtId="0" fontId="29" fillId="0" borderId="0" xfId="0" applyFont="1" applyAlignment="1">
      <alignment vertical="center"/>
    </xf>
    <xf numFmtId="10" fontId="20" fillId="0" borderId="0" xfId="0" applyNumberFormat="1" applyFont="1" applyAlignment="1">
      <alignment horizontal="center" vertical="center"/>
    </xf>
    <xf numFmtId="166" fontId="20" fillId="0" borderId="0" xfId="46" applyNumberFormat="1" applyFont="1" applyAlignment="1">
      <alignment vertical="center"/>
    </xf>
    <xf numFmtId="166" fontId="23" fillId="0" borderId="10" xfId="46" applyNumberFormat="1" applyFont="1" applyBorder="1" applyAlignment="1">
      <alignment vertical="center"/>
    </xf>
    <xf numFmtId="0" fontId="23" fillId="30" borderId="10" xfId="38" applyFont="1" applyFill="1" applyBorder="1" applyAlignment="1">
      <alignment vertical="center" wrapText="1"/>
    </xf>
    <xf numFmtId="166" fontId="23" fillId="30" borderId="10" xfId="46" applyNumberFormat="1" applyFont="1" applyFill="1" applyBorder="1" applyAlignment="1">
      <alignment vertical="center" wrapText="1"/>
    </xf>
    <xf numFmtId="10" fontId="23" fillId="30" borderId="10" xfId="38" applyNumberFormat="1" applyFont="1" applyFill="1" applyBorder="1" applyAlignment="1">
      <alignment horizontal="center" vertical="center" wrapText="1"/>
    </xf>
    <xf numFmtId="17" fontId="23" fillId="30" borderId="10" xfId="38" applyNumberFormat="1" applyFont="1" applyFill="1" applyBorder="1" applyAlignment="1">
      <alignment horizontal="center" vertical="center" wrapText="1"/>
    </xf>
    <xf numFmtId="0" fontId="23" fillId="30" borderId="10" xfId="38" applyFont="1" applyFill="1" applyBorder="1" applyAlignment="1">
      <alignment horizontal="left" vertical="center" wrapText="1"/>
    </xf>
    <xf numFmtId="166" fontId="23" fillId="30" borderId="10" xfId="46" applyNumberFormat="1" applyFont="1" applyFill="1" applyBorder="1" applyAlignment="1">
      <alignment horizontal="center" vertical="center" wrapText="1"/>
    </xf>
    <xf numFmtId="166" fontId="23" fillId="30" borderId="10" xfId="46" applyNumberFormat="1" applyFont="1" applyFill="1" applyBorder="1" applyAlignment="1">
      <alignment horizontal="center" vertical="center"/>
    </xf>
    <xf numFmtId="10" fontId="23" fillId="30" borderId="10" xfId="48" applyNumberFormat="1" applyFont="1" applyFill="1" applyBorder="1" applyAlignment="1">
      <alignment horizontal="center" vertical="center" wrapText="1"/>
    </xf>
    <xf numFmtId="0" fontId="23" fillId="30" borderId="10" xfId="0" applyFont="1" applyFill="1" applyBorder="1" applyAlignment="1">
      <alignment horizontal="justify" vertical="center" wrapText="1"/>
    </xf>
    <xf numFmtId="49" fontId="38" fillId="30" borderId="10" xfId="0" applyNumberFormat="1" applyFont="1" applyFill="1" applyBorder="1" applyAlignment="1">
      <alignment horizontal="center" vertical="center" wrapText="1"/>
    </xf>
    <xf numFmtId="0" fontId="23" fillId="30" borderId="10" xfId="0" applyFont="1" applyFill="1" applyBorder="1" applyAlignment="1">
      <alignment horizontal="justify" vertical="center"/>
    </xf>
    <xf numFmtId="0" fontId="21" fillId="0" borderId="10" xfId="0" applyFont="1" applyBorder="1" applyAlignment="1">
      <alignment horizontal="justify" vertical="center"/>
    </xf>
    <xf numFmtId="0" fontId="21" fillId="0" borderId="10" xfId="0" applyFont="1" applyBorder="1" applyAlignment="1">
      <alignment horizontal="center" vertical="center"/>
    </xf>
    <xf numFmtId="0" fontId="21" fillId="0" borderId="10" xfId="0" applyFont="1" applyBorder="1" applyAlignment="1">
      <alignment vertical="center"/>
    </xf>
    <xf numFmtId="166" fontId="25" fillId="0" borderId="10" xfId="46" applyNumberFormat="1" applyFont="1" applyBorder="1" applyAlignment="1">
      <alignment vertical="center"/>
    </xf>
    <xf numFmtId="0" fontId="39" fillId="0" borderId="10" xfId="0" applyFont="1" applyBorder="1" applyAlignment="1">
      <alignment horizontal="justify" vertical="center"/>
    </xf>
    <xf numFmtId="0" fontId="40" fillId="0" borderId="10" xfId="0" applyFont="1" applyBorder="1" applyAlignment="1">
      <alignment horizontal="center" vertical="center"/>
    </xf>
    <xf numFmtId="0" fontId="40" fillId="0" borderId="10" xfId="0" applyFont="1" applyBorder="1" applyAlignment="1">
      <alignment vertical="center"/>
    </xf>
    <xf numFmtId="166" fontId="39" fillId="0" borderId="10" xfId="46" applyNumberFormat="1" applyFont="1" applyBorder="1" applyAlignment="1">
      <alignment vertical="center"/>
    </xf>
    <xf numFmtId="0" fontId="39" fillId="0" borderId="10" xfId="0" applyFont="1" applyBorder="1" applyAlignment="1">
      <alignment horizontal="center" vertical="center"/>
    </xf>
    <xf numFmtId="0" fontId="39" fillId="0" borderId="10" xfId="0" applyFont="1" applyBorder="1" applyAlignment="1">
      <alignment vertical="center"/>
    </xf>
    <xf numFmtId="166" fontId="41" fillId="0" borderId="10" xfId="46" applyNumberFormat="1" applyFont="1" applyBorder="1" applyAlignment="1">
      <alignment vertical="center"/>
    </xf>
    <xf numFmtId="0" fontId="39" fillId="31" borderId="10" xfId="0" applyFont="1" applyFill="1" applyBorder="1" applyAlignment="1">
      <alignment horizontal="justify" vertical="center"/>
    </xf>
    <xf numFmtId="0" fontId="39" fillId="31" borderId="10" xfId="0" applyFont="1" applyFill="1" applyBorder="1" applyAlignment="1">
      <alignment horizontal="center" vertical="center"/>
    </xf>
    <xf numFmtId="0" fontId="39" fillId="31" borderId="10" xfId="0" applyFont="1" applyFill="1" applyBorder="1" applyAlignment="1">
      <alignment vertical="center"/>
    </xf>
    <xf numFmtId="166" fontId="41" fillId="31" borderId="10" xfId="46" applyNumberFormat="1" applyFont="1" applyFill="1" applyBorder="1" applyAlignment="1">
      <alignment vertical="center"/>
    </xf>
    <xf numFmtId="0" fontId="21" fillId="30" borderId="0" xfId="0" applyFont="1" applyFill="1" applyAlignment="1">
      <alignment horizontal="justify" vertical="center"/>
    </xf>
    <xf numFmtId="0" fontId="21" fillId="30" borderId="0" xfId="0" applyFont="1" applyFill="1" applyAlignment="1">
      <alignment vertical="center"/>
    </xf>
    <xf numFmtId="166" fontId="21" fillId="30" borderId="0" xfId="46" applyNumberFormat="1" applyFont="1" applyFill="1" applyAlignment="1">
      <alignment vertical="center"/>
    </xf>
    <xf numFmtId="10" fontId="21" fillId="30" borderId="0" xfId="0" applyNumberFormat="1" applyFont="1" applyFill="1" applyAlignment="1">
      <alignment horizontal="center" vertical="center"/>
    </xf>
    <xf numFmtId="0" fontId="23" fillId="30" borderId="10" xfId="0" applyFont="1" applyFill="1" applyBorder="1" applyAlignment="1">
      <alignment vertical="center" wrapText="1"/>
    </xf>
    <xf numFmtId="166" fontId="23" fillId="30" borderId="10" xfId="46" applyNumberFormat="1" applyFont="1" applyFill="1" applyBorder="1" applyAlignment="1">
      <alignment vertical="center"/>
    </xf>
    <xf numFmtId="0" fontId="23" fillId="0" borderId="10" xfId="0" applyFont="1" applyBorder="1" applyAlignment="1">
      <alignment vertical="center" wrapText="1"/>
    </xf>
    <xf numFmtId="0" fontId="23" fillId="30" borderId="0" xfId="0" applyFont="1" applyFill="1" applyAlignment="1">
      <alignment horizontal="justify" vertical="center"/>
    </xf>
    <xf numFmtId="0" fontId="23" fillId="30" borderId="0" xfId="0" applyFont="1" applyFill="1" applyAlignment="1">
      <alignment vertical="center"/>
    </xf>
    <xf numFmtId="166" fontId="23" fillId="30" borderId="0" xfId="46" applyNumberFormat="1" applyFont="1" applyFill="1" applyAlignment="1">
      <alignment vertical="center"/>
    </xf>
    <xf numFmtId="10" fontId="23" fillId="30" borderId="0" xfId="0" applyNumberFormat="1" applyFont="1" applyFill="1" applyAlignment="1">
      <alignment horizontal="center" vertical="center"/>
    </xf>
    <xf numFmtId="3" fontId="23" fillId="0" borderId="0" xfId="0" applyNumberFormat="1" applyFont="1" applyAlignment="1">
      <alignment vertical="center" wrapText="1"/>
    </xf>
    <xf numFmtId="0" fontId="21" fillId="0" borderId="0" xfId="0" applyFont="1" applyAlignment="1">
      <alignment horizontal="justify" vertical="center"/>
    </xf>
    <xf numFmtId="10" fontId="21" fillId="0" borderId="0" xfId="0" applyNumberFormat="1" applyFont="1" applyAlignment="1">
      <alignment horizontal="center" vertical="center"/>
    </xf>
    <xf numFmtId="166" fontId="21" fillId="0" borderId="0" xfId="46" applyNumberFormat="1" applyFont="1" applyAlignment="1">
      <alignment vertical="center"/>
    </xf>
    <xf numFmtId="43" fontId="23" fillId="0" borderId="10" xfId="46" applyFont="1" applyBorder="1" applyAlignment="1">
      <alignment vertical="center" wrapText="1"/>
    </xf>
    <xf numFmtId="43" fontId="41" fillId="0" borderId="10" xfId="46" applyFont="1" applyBorder="1" applyAlignment="1">
      <alignment vertical="center"/>
    </xf>
    <xf numFmtId="0" fontId="22" fillId="0" borderId="10" xfId="44" applyFont="1" applyBorder="1" applyAlignment="1">
      <alignment horizontal="center" vertical="center" wrapText="1"/>
    </xf>
    <xf numFmtId="0" fontId="22" fillId="0" borderId="10" xfId="44" applyFont="1" applyBorder="1" applyAlignment="1">
      <alignment vertical="center" wrapText="1"/>
    </xf>
    <xf numFmtId="10" fontId="22" fillId="0" borderId="10" xfId="44" applyNumberFormat="1" applyFont="1" applyBorder="1" applyAlignment="1">
      <alignment horizontal="center" vertical="center" wrapText="1"/>
    </xf>
    <xf numFmtId="49" fontId="22" fillId="30" borderId="10" xfId="0" applyNumberFormat="1" applyFont="1" applyFill="1" applyBorder="1" applyAlignment="1">
      <alignment horizontal="center" vertical="center" wrapText="1"/>
    </xf>
    <xf numFmtId="0" fontId="39" fillId="28" borderId="10" xfId="0" applyFont="1" applyFill="1" applyBorder="1" applyAlignment="1">
      <alignment horizontal="center" vertical="center" wrapText="1"/>
    </xf>
    <xf numFmtId="0" fontId="39" fillId="28" borderId="10" xfId="0" applyFont="1" applyFill="1" applyBorder="1" applyAlignment="1">
      <alignment horizontal="center" vertical="center"/>
    </xf>
    <xf numFmtId="166" fontId="39" fillId="28" borderId="10" xfId="46" applyNumberFormat="1" applyFont="1" applyFill="1" applyBorder="1" applyAlignment="1">
      <alignment vertical="center"/>
    </xf>
    <xf numFmtId="0" fontId="43" fillId="33" borderId="10" xfId="0" applyFont="1" applyFill="1" applyBorder="1" applyAlignment="1">
      <alignment horizontal="center" vertical="center" wrapText="1"/>
    </xf>
    <xf numFmtId="0" fontId="43" fillId="33" borderId="10" xfId="0" applyFont="1" applyFill="1" applyBorder="1" applyAlignment="1">
      <alignment horizontal="center" vertical="center"/>
    </xf>
    <xf numFmtId="0" fontId="0" fillId="0" borderId="0" xfId="0" applyAlignment="1">
      <alignment vertical="center"/>
    </xf>
    <xf numFmtId="0" fontId="44" fillId="0" borderId="10" xfId="0" applyFont="1" applyBorder="1" applyAlignment="1">
      <alignment horizontal="justify" vertical="center" wrapText="1"/>
    </xf>
    <xf numFmtId="166" fontId="44" fillId="0" borderId="10" xfId="46" applyNumberFormat="1" applyFont="1" applyBorder="1" applyAlignment="1">
      <alignment vertical="center"/>
    </xf>
    <xf numFmtId="0" fontId="0" fillId="0" borderId="10" xfId="0" applyBorder="1" applyAlignment="1">
      <alignment horizontal="justify" vertical="center" wrapText="1"/>
    </xf>
    <xf numFmtId="3" fontId="0" fillId="0" borderId="10" xfId="0" applyNumberFormat="1" applyBorder="1" applyAlignment="1">
      <alignment vertical="center"/>
    </xf>
    <xf numFmtId="0" fontId="42" fillId="0" borderId="10" xfId="0" applyFont="1" applyBorder="1" applyAlignment="1">
      <alignment horizontal="justify" vertical="center" wrapText="1"/>
    </xf>
    <xf numFmtId="3" fontId="42" fillId="0" borderId="10" xfId="0" applyNumberFormat="1" applyFont="1" applyBorder="1" applyAlignment="1">
      <alignment vertical="center"/>
    </xf>
    <xf numFmtId="0" fontId="43" fillId="0" borderId="10" xfId="0" applyFont="1" applyBorder="1" applyAlignment="1">
      <alignment horizontal="center" vertical="center" wrapText="1"/>
    </xf>
    <xf numFmtId="166" fontId="43" fillId="0" borderId="10" xfId="0" applyNumberFormat="1" applyFont="1" applyBorder="1" applyAlignment="1">
      <alignment vertical="center"/>
    </xf>
    <xf numFmtId="0" fontId="45" fillId="31" borderId="0" xfId="0" applyFont="1" applyFill="1" applyAlignment="1">
      <alignment vertical="center"/>
    </xf>
    <xf numFmtId="3" fontId="45" fillId="31" borderId="0" xfId="0" applyNumberFormat="1" applyFont="1" applyFill="1" applyAlignment="1">
      <alignment vertical="center"/>
    </xf>
    <xf numFmtId="0" fontId="43" fillId="0" borderId="10" xfId="0" applyFont="1" applyBorder="1" applyAlignment="1">
      <alignment horizontal="justify" vertical="center" wrapText="1"/>
    </xf>
    <xf numFmtId="0" fontId="43" fillId="0" borderId="10" xfId="0" applyFont="1" applyBorder="1" applyAlignment="1">
      <alignment vertical="center"/>
    </xf>
    <xf numFmtId="0" fontId="43" fillId="33" borderId="10" xfId="0" applyFont="1" applyFill="1" applyBorder="1" applyAlignment="1">
      <alignment horizontal="justify" vertical="center" wrapText="1"/>
    </xf>
    <xf numFmtId="3" fontId="43" fillId="33" borderId="10" xfId="0" applyNumberFormat="1" applyFont="1" applyFill="1" applyBorder="1" applyAlignment="1">
      <alignment vertical="center"/>
    </xf>
    <xf numFmtId="3" fontId="0" fillId="33" borderId="10" xfId="0" applyNumberFormat="1" applyFill="1" applyBorder="1" applyAlignment="1">
      <alignment vertical="center"/>
    </xf>
    <xf numFmtId="166" fontId="43" fillId="33" borderId="10" xfId="0" applyNumberFormat="1" applyFont="1" applyFill="1" applyBorder="1" applyAlignment="1">
      <alignment vertical="center"/>
    </xf>
    <xf numFmtId="0" fontId="0" fillId="0" borderId="10" xfId="0" applyBorder="1" applyAlignment="1">
      <alignment vertical="center"/>
    </xf>
    <xf numFmtId="0" fontId="0" fillId="33" borderId="10" xfId="0" applyFill="1" applyBorder="1" applyAlignment="1">
      <alignment vertical="center"/>
    </xf>
    <xf numFmtId="3" fontId="43" fillId="0" borderId="10" xfId="0" applyNumberFormat="1" applyFont="1" applyBorder="1" applyAlignment="1">
      <alignment vertical="center"/>
    </xf>
    <xf numFmtId="0" fontId="46" fillId="0" borderId="0" xfId="0" applyFont="1" applyAlignment="1">
      <alignment vertical="center"/>
    </xf>
    <xf numFmtId="3" fontId="43" fillId="33" borderId="10" xfId="0" applyNumberFormat="1" applyFont="1" applyFill="1" applyBorder="1" applyAlignment="1">
      <alignment vertical="center" wrapText="1"/>
    </xf>
    <xf numFmtId="3" fontId="0" fillId="0" borderId="0" xfId="0" applyNumberFormat="1" applyAlignment="1">
      <alignment vertical="center"/>
    </xf>
    <xf numFmtId="2" fontId="0" fillId="0" borderId="0" xfId="0" applyNumberFormat="1" applyAlignment="1">
      <alignment vertical="center"/>
    </xf>
    <xf numFmtId="0" fontId="22" fillId="30" borderId="0" xfId="44" applyFont="1" applyFill="1" applyAlignment="1">
      <alignment vertical="center"/>
    </xf>
    <xf numFmtId="0" fontId="40" fillId="0" borderId="0" xfId="0" applyFont="1" applyAlignment="1">
      <alignment horizontal="justify" vertical="center"/>
    </xf>
    <xf numFmtId="0" fontId="40" fillId="0" borderId="0" xfId="0" applyFont="1" applyAlignment="1">
      <alignment horizontal="center" vertical="center"/>
    </xf>
    <xf numFmtId="0" fontId="40" fillId="0" borderId="0" xfId="0" applyFont="1" applyAlignment="1">
      <alignment vertical="center"/>
    </xf>
    <xf numFmtId="166" fontId="40" fillId="0" borderId="0" xfId="46" applyNumberFormat="1" applyFont="1" applyAlignment="1">
      <alignment vertical="center"/>
    </xf>
    <xf numFmtId="43" fontId="21" fillId="0" borderId="0" xfId="0" applyNumberFormat="1" applyFont="1" applyAlignment="1">
      <alignment horizontal="center" vertical="center"/>
    </xf>
    <xf numFmtId="0" fontId="29" fillId="30" borderId="0" xfId="38" applyFont="1" applyFill="1" applyAlignment="1">
      <alignment vertical="center"/>
    </xf>
    <xf numFmtId="10" fontId="23" fillId="0" borderId="10" xfId="48" applyNumberFormat="1" applyFont="1" applyBorder="1" applyAlignment="1">
      <alignment horizontal="center" vertical="center" wrapText="1"/>
    </xf>
    <xf numFmtId="0" fontId="47" fillId="30" borderId="0" xfId="0" applyFont="1" applyFill="1" applyAlignment="1">
      <alignment horizontal="justify" vertical="center"/>
    </xf>
    <xf numFmtId="0" fontId="48" fillId="30" borderId="0" xfId="0" applyFont="1" applyFill="1" applyAlignment="1">
      <alignment horizontal="justify" vertical="center"/>
    </xf>
    <xf numFmtId="0" fontId="21" fillId="30" borderId="0" xfId="0" applyFont="1" applyFill="1" applyAlignment="1">
      <alignment horizontal="center" vertical="center"/>
    </xf>
    <xf numFmtId="0" fontId="23" fillId="30" borderId="0" xfId="0" applyFont="1" applyFill="1" applyAlignment="1">
      <alignment horizontal="left" vertical="center" wrapText="1"/>
    </xf>
    <xf numFmtId="0" fontId="36" fillId="24" borderId="10" xfId="38" applyFont="1" applyFill="1" applyBorder="1" applyAlignment="1">
      <alignment horizontal="center" vertical="center" wrapText="1"/>
    </xf>
    <xf numFmtId="0" fontId="23" fillId="0" borderId="10" xfId="1" applyFont="1" applyBorder="1" applyAlignment="1">
      <alignment horizontal="justify" vertical="center" wrapText="1"/>
    </xf>
    <xf numFmtId="0" fontId="21" fillId="30" borderId="0" xfId="0" applyFont="1" applyFill="1" applyAlignment="1">
      <alignment horizontal="left" vertical="center"/>
    </xf>
    <xf numFmtId="0" fontId="23" fillId="0" borderId="0" xfId="38" applyFont="1" applyAlignment="1">
      <alignment horizontal="center" vertical="center" wrapText="1"/>
    </xf>
    <xf numFmtId="167" fontId="23" fillId="0" borderId="10" xfId="46" applyNumberFormat="1" applyFont="1" applyBorder="1" applyAlignment="1">
      <alignment horizontal="center" vertical="center" wrapText="1"/>
    </xf>
    <xf numFmtId="0" fontId="22" fillId="0" borderId="0" xfId="38" applyFont="1" applyAlignment="1">
      <alignment vertical="center"/>
    </xf>
    <xf numFmtId="49" fontId="49" fillId="0" borderId="10" xfId="0" applyNumberFormat="1" applyFont="1" applyBorder="1" applyAlignment="1">
      <alignment horizontal="center" vertical="center" wrapText="1"/>
    </xf>
    <xf numFmtId="166" fontId="21" fillId="0" borderId="0" xfId="0" applyNumberFormat="1" applyFont="1" applyAlignment="1">
      <alignment horizontal="center" vertical="center"/>
    </xf>
    <xf numFmtId="0" fontId="23" fillId="0" borderId="10" xfId="44" applyFont="1" applyBorder="1" applyAlignment="1">
      <alignment horizontal="center" vertical="center" wrapText="1"/>
    </xf>
    <xf numFmtId="0" fontId="23" fillId="0" borderId="10" xfId="44" applyFont="1" applyBorder="1" applyAlignment="1">
      <alignment horizontal="justify" vertical="center" wrapText="1"/>
    </xf>
    <xf numFmtId="0" fontId="23" fillId="0" borderId="10" xfId="44" applyFont="1" applyBorder="1" applyAlignment="1">
      <alignment vertical="center" wrapText="1"/>
    </xf>
    <xf numFmtId="10" fontId="23" fillId="0" borderId="10" xfId="44" applyNumberFormat="1" applyFont="1" applyBorder="1" applyAlignment="1">
      <alignment horizontal="center" vertical="center" wrapText="1"/>
    </xf>
    <xf numFmtId="0" fontId="22" fillId="30" borderId="0" xfId="0" applyFont="1" applyFill="1" applyAlignment="1">
      <alignment horizontal="center" vertical="center"/>
    </xf>
    <xf numFmtId="0" fontId="22" fillId="0" borderId="0" xfId="0" applyFont="1" applyAlignment="1">
      <alignment horizontal="center" vertical="center"/>
    </xf>
    <xf numFmtId="0" fontId="39" fillId="32" borderId="10" xfId="0" applyFont="1" applyFill="1" applyBorder="1" applyAlignment="1">
      <alignment horizontal="justify" vertical="center"/>
    </xf>
    <xf numFmtId="0" fontId="39" fillId="32" borderId="10" xfId="0" applyFont="1" applyFill="1" applyBorder="1" applyAlignment="1">
      <alignment horizontal="center" vertical="center"/>
    </xf>
    <xf numFmtId="0" fontId="39" fillId="32" borderId="10" xfId="0" applyFont="1" applyFill="1" applyBorder="1" applyAlignment="1">
      <alignment vertical="center"/>
    </xf>
    <xf numFmtId="166" fontId="39" fillId="32" borderId="10" xfId="46" applyNumberFormat="1" applyFont="1" applyFill="1" applyBorder="1" applyAlignment="1">
      <alignment vertical="center"/>
    </xf>
    <xf numFmtId="0" fontId="23" fillId="31" borderId="10" xfId="0" applyFont="1" applyFill="1" applyBorder="1" applyAlignment="1">
      <alignment horizontal="center" vertical="center"/>
    </xf>
    <xf numFmtId="0" fontId="23" fillId="34" borderId="10" xfId="0" applyFont="1" applyFill="1" applyBorder="1" applyAlignment="1">
      <alignment horizontal="center" vertical="center"/>
    </xf>
    <xf numFmtId="0" fontId="23" fillId="34" borderId="10" xfId="38" applyFont="1" applyFill="1" applyBorder="1" applyAlignment="1">
      <alignment horizontal="center" vertical="center" wrapText="1"/>
    </xf>
    <xf numFmtId="0" fontId="23" fillId="34" borderId="10" xfId="38" applyFont="1" applyFill="1" applyBorder="1" applyAlignment="1">
      <alignment horizontal="justify" vertical="center" wrapText="1"/>
    </xf>
    <xf numFmtId="0" fontId="23" fillId="34" borderId="10" xfId="38" applyFont="1" applyFill="1" applyBorder="1" applyAlignment="1">
      <alignment vertical="center" wrapText="1"/>
    </xf>
    <xf numFmtId="10" fontId="23" fillId="34" borderId="10" xfId="38" applyNumberFormat="1" applyFont="1" applyFill="1" applyBorder="1" applyAlignment="1">
      <alignment horizontal="center" vertical="center" wrapText="1"/>
    </xf>
    <xf numFmtId="0" fontId="23" fillId="31" borderId="10" xfId="38" applyFont="1" applyFill="1" applyBorder="1" applyAlignment="1">
      <alignment horizontal="center" vertical="center" wrapText="1"/>
    </xf>
    <xf numFmtId="0" fontId="23" fillId="31" borderId="10" xfId="38" applyFont="1" applyFill="1" applyBorder="1" applyAlignment="1">
      <alignment horizontal="justify" vertical="center" wrapText="1"/>
    </xf>
    <xf numFmtId="0" fontId="23" fillId="31" borderId="10" xfId="38" applyFont="1" applyFill="1" applyBorder="1" applyAlignment="1">
      <alignment vertical="center" wrapText="1"/>
    </xf>
    <xf numFmtId="10" fontId="23" fillId="31" borderId="10" xfId="38" applyNumberFormat="1" applyFont="1" applyFill="1" applyBorder="1" applyAlignment="1">
      <alignment horizontal="center" vertical="center" wrapText="1"/>
    </xf>
    <xf numFmtId="17" fontId="23" fillId="31" borderId="10" xfId="38" applyNumberFormat="1" applyFont="1" applyFill="1" applyBorder="1" applyAlignment="1">
      <alignment horizontal="center" vertical="center" wrapText="1"/>
    </xf>
    <xf numFmtId="168" fontId="23" fillId="31" borderId="10" xfId="46" applyNumberFormat="1" applyFont="1" applyFill="1" applyBorder="1" applyAlignment="1">
      <alignment vertical="center" wrapText="1"/>
    </xf>
    <xf numFmtId="0" fontId="23" fillId="31" borderId="10" xfId="38" applyFont="1" applyFill="1" applyBorder="1" applyAlignment="1">
      <alignment horizontal="left" vertical="center" wrapText="1"/>
    </xf>
    <xf numFmtId="166" fontId="23" fillId="31" borderId="10" xfId="46" applyNumberFormat="1" applyFont="1" applyFill="1" applyBorder="1" applyAlignment="1">
      <alignment horizontal="center" vertical="center" wrapText="1"/>
    </xf>
    <xf numFmtId="10" fontId="23" fillId="31" borderId="10" xfId="48" applyNumberFormat="1" applyFont="1" applyFill="1" applyBorder="1" applyAlignment="1">
      <alignment horizontal="center" vertical="center" wrapText="1"/>
    </xf>
    <xf numFmtId="49" fontId="23" fillId="31" borderId="10" xfId="0" applyNumberFormat="1" applyFont="1" applyFill="1" applyBorder="1" applyAlignment="1">
      <alignment horizontal="center" vertical="center" wrapText="1"/>
    </xf>
    <xf numFmtId="43" fontId="23" fillId="34" borderId="10" xfId="46" applyFont="1" applyFill="1" applyBorder="1" applyAlignment="1">
      <alignment vertical="center" wrapText="1"/>
    </xf>
    <xf numFmtId="17" fontId="23" fillId="34" borderId="10" xfId="38" applyNumberFormat="1" applyFont="1" applyFill="1" applyBorder="1" applyAlignment="1">
      <alignment horizontal="center" vertical="center" wrapText="1"/>
    </xf>
    <xf numFmtId="0" fontId="22" fillId="34" borderId="0" xfId="38" applyFont="1" applyFill="1" applyAlignment="1">
      <alignment vertical="center"/>
    </xf>
    <xf numFmtId="0" fontId="22" fillId="34" borderId="0" xfId="0" applyFont="1" applyFill="1" applyAlignment="1">
      <alignment vertical="center"/>
    </xf>
    <xf numFmtId="0" fontId="43" fillId="0" borderId="10" xfId="0" applyFont="1" applyBorder="1" applyAlignment="1">
      <alignment horizontal="center" vertical="center"/>
    </xf>
    <xf numFmtId="3" fontId="46" fillId="0" borderId="10" xfId="0" applyNumberFormat="1" applyFont="1" applyBorder="1" applyAlignment="1">
      <alignment vertical="center"/>
    </xf>
    <xf numFmtId="3" fontId="46" fillId="0" borderId="0" xfId="0" applyNumberFormat="1" applyFont="1" applyAlignment="1">
      <alignment vertical="center"/>
    </xf>
    <xf numFmtId="3" fontId="50" fillId="31" borderId="0" xfId="0" applyNumberFormat="1" applyFont="1" applyFill="1" applyAlignment="1">
      <alignment vertical="center"/>
    </xf>
    <xf numFmtId="4" fontId="0" fillId="0" borderId="10" xfId="0" applyNumberFormat="1" applyBorder="1" applyAlignment="1">
      <alignment vertical="center"/>
    </xf>
    <xf numFmtId="0" fontId="46" fillId="0" borderId="10" xfId="0" applyFont="1" applyBorder="1" applyAlignment="1">
      <alignment horizontal="justify" vertical="center" wrapText="1"/>
    </xf>
    <xf numFmtId="166" fontId="0" fillId="0" borderId="0" xfId="0" applyNumberFormat="1" applyAlignment="1">
      <alignment vertical="center"/>
    </xf>
    <xf numFmtId="10" fontId="0" fillId="0" borderId="0" xfId="48" applyNumberFormat="1" applyFont="1" applyAlignment="1">
      <alignment vertical="center"/>
    </xf>
    <xf numFmtId="0" fontId="51" fillId="0" borderId="0" xfId="0" applyFont="1" applyAlignment="1">
      <alignment vertical="center"/>
    </xf>
    <xf numFmtId="0" fontId="52" fillId="0" borderId="0" xfId="0" applyFont="1" applyAlignment="1">
      <alignment horizontal="center" vertical="center"/>
    </xf>
    <xf numFmtId="0" fontId="52" fillId="0" borderId="0" xfId="1" applyFont="1" applyAlignment="1">
      <alignment horizontal="justify" vertical="center" wrapText="1"/>
    </xf>
    <xf numFmtId="0" fontId="53" fillId="30" borderId="0" xfId="0" applyFont="1" applyFill="1" applyAlignment="1">
      <alignment horizontal="center" vertical="center"/>
    </xf>
    <xf numFmtId="0" fontId="54" fillId="30" borderId="0" xfId="0" applyFont="1" applyFill="1" applyAlignment="1">
      <alignment horizontal="center" vertical="center"/>
    </xf>
    <xf numFmtId="0" fontId="54" fillId="29" borderId="16" xfId="0" applyFont="1" applyFill="1" applyBorder="1" applyAlignment="1">
      <alignment horizontal="center" vertical="center"/>
    </xf>
    <xf numFmtId="166" fontId="54" fillId="29" borderId="31" xfId="46" applyNumberFormat="1" applyFont="1" applyFill="1" applyBorder="1" applyAlignment="1">
      <alignment vertical="center" wrapText="1"/>
    </xf>
    <xf numFmtId="0" fontId="54" fillId="29" borderId="31" xfId="38" applyFont="1" applyFill="1" applyBorder="1" applyAlignment="1">
      <alignment vertical="center" wrapText="1"/>
    </xf>
    <xf numFmtId="0" fontId="54" fillId="0" borderId="10" xfId="0" applyFont="1" applyBorder="1" applyAlignment="1">
      <alignment horizontal="center" vertical="center"/>
    </xf>
    <xf numFmtId="0" fontId="54" fillId="0" borderId="10" xfId="38" applyFont="1" applyBorder="1" applyAlignment="1">
      <alignment horizontal="center" vertical="center" wrapText="1"/>
    </xf>
    <xf numFmtId="10" fontId="54" fillId="0" borderId="10" xfId="38" applyNumberFormat="1" applyFont="1" applyBorder="1" applyAlignment="1">
      <alignment horizontal="center" vertical="center" wrapText="1"/>
    </xf>
    <xf numFmtId="166" fontId="54" fillId="0" borderId="10" xfId="46" applyNumberFormat="1" applyFont="1" applyBorder="1" applyAlignment="1">
      <alignment vertical="center" wrapText="1"/>
    </xf>
    <xf numFmtId="0" fontId="54" fillId="0" borderId="10" xfId="38" applyFont="1" applyBorder="1" applyAlignment="1">
      <alignment horizontal="justify" vertical="center" wrapText="1"/>
    </xf>
    <xf numFmtId="0" fontId="54" fillId="0" borderId="10" xfId="0" applyFont="1" applyBorder="1" applyAlignment="1">
      <alignment horizontal="justify" vertical="center"/>
    </xf>
    <xf numFmtId="0" fontId="54" fillId="31" borderId="10" xfId="0" applyFont="1" applyFill="1" applyBorder="1" applyAlignment="1">
      <alignment horizontal="center" vertical="center"/>
    </xf>
    <xf numFmtId="0" fontId="54" fillId="0" borderId="0" xfId="0" applyFont="1" applyAlignment="1">
      <alignment horizontal="center" vertical="center"/>
    </xf>
    <xf numFmtId="0" fontId="54" fillId="0" borderId="0" xfId="38" applyFont="1" applyAlignment="1">
      <alignment horizontal="center" vertical="center" wrapText="1"/>
    </xf>
    <xf numFmtId="0" fontId="54" fillId="0" borderId="0" xfId="38" applyFont="1" applyAlignment="1">
      <alignment horizontal="justify" vertical="center" wrapText="1"/>
    </xf>
    <xf numFmtId="166" fontId="54" fillId="0" borderId="0" xfId="46" applyNumberFormat="1" applyFont="1" applyAlignment="1">
      <alignment vertical="center" wrapText="1"/>
    </xf>
    <xf numFmtId="4" fontId="54" fillId="0" borderId="0" xfId="38" applyNumberFormat="1" applyFont="1" applyAlignment="1">
      <alignment horizontal="center" vertical="center" wrapText="1"/>
    </xf>
    <xf numFmtId="10" fontId="54" fillId="0" borderId="0" xfId="38" applyNumberFormat="1" applyFont="1" applyAlignment="1">
      <alignment horizontal="center" vertical="center" wrapText="1"/>
    </xf>
    <xf numFmtId="17" fontId="54" fillId="0" borderId="0" xfId="38" applyNumberFormat="1" applyFont="1" applyAlignment="1">
      <alignment horizontal="center" vertical="center" wrapText="1"/>
    </xf>
    <xf numFmtId="4" fontId="54" fillId="0" borderId="10" xfId="38" applyNumberFormat="1" applyFont="1" applyBorder="1" applyAlignment="1">
      <alignment horizontal="center" vertical="center" wrapText="1"/>
    </xf>
    <xf numFmtId="10" fontId="54" fillId="0" borderId="10" xfId="38" applyNumberFormat="1" applyFont="1" applyBorder="1" applyAlignment="1">
      <alignment vertical="center" wrapText="1"/>
    </xf>
    <xf numFmtId="0" fontId="54" fillId="0" borderId="10" xfId="0" applyFont="1" applyBorder="1" applyAlignment="1">
      <alignment vertical="center"/>
    </xf>
    <xf numFmtId="166" fontId="54" fillId="0" borderId="10" xfId="46" applyNumberFormat="1" applyFont="1" applyBorder="1" applyAlignment="1">
      <alignment vertical="center"/>
    </xf>
    <xf numFmtId="0" fontId="54" fillId="0" borderId="10" xfId="1" applyFont="1" applyBorder="1" applyAlignment="1">
      <alignment horizontal="justify" vertical="center" wrapText="1"/>
    </xf>
    <xf numFmtId="0" fontId="53" fillId="0" borderId="10" xfId="0" applyFont="1" applyBorder="1" applyAlignment="1">
      <alignment horizontal="center" vertical="center"/>
    </xf>
    <xf numFmtId="0" fontId="53" fillId="0" borderId="10" xfId="0" applyFont="1" applyBorder="1" applyAlignment="1">
      <alignment vertical="center"/>
    </xf>
    <xf numFmtId="43" fontId="54" fillId="0" borderId="10" xfId="46" applyFont="1" applyBorder="1" applyAlignment="1">
      <alignment vertical="center"/>
    </xf>
    <xf numFmtId="0" fontId="54" fillId="31" borderId="10" xfId="0" applyFont="1" applyFill="1" applyBorder="1" applyAlignment="1">
      <alignment horizontal="justify" vertical="center"/>
    </xf>
    <xf numFmtId="0" fontId="54" fillId="31" borderId="10" xfId="0" applyFont="1" applyFill="1" applyBorder="1" applyAlignment="1">
      <alignment vertical="center"/>
    </xf>
    <xf numFmtId="166" fontId="54" fillId="31" borderId="10" xfId="46" applyNumberFormat="1" applyFont="1" applyFill="1" applyBorder="1" applyAlignment="1">
      <alignment vertical="center"/>
    </xf>
    <xf numFmtId="0" fontId="56" fillId="29" borderId="31" xfId="38" applyFont="1" applyFill="1" applyBorder="1" applyAlignment="1">
      <alignment vertical="center" wrapText="1"/>
    </xf>
    <xf numFmtId="0" fontId="52" fillId="0" borderId="10" xfId="1" applyFont="1" applyBorder="1" applyAlignment="1">
      <alignment horizontal="justify" vertical="center" wrapText="1"/>
    </xf>
    <xf numFmtId="166" fontId="54" fillId="35" borderId="10" xfId="46" applyNumberFormat="1" applyFont="1" applyFill="1" applyBorder="1" applyAlignment="1">
      <alignment horizontal="center" vertical="center" wrapText="1"/>
    </xf>
    <xf numFmtId="10" fontId="54" fillId="35" borderId="10" xfId="38" applyNumberFormat="1" applyFont="1" applyFill="1" applyBorder="1" applyAlignment="1">
      <alignment horizontal="center" vertical="center" wrapText="1"/>
    </xf>
    <xf numFmtId="0" fontId="54" fillId="35" borderId="10" xfId="38" applyFont="1" applyFill="1" applyBorder="1" applyAlignment="1">
      <alignment horizontal="center" vertical="center" wrapText="1"/>
    </xf>
    <xf numFmtId="0" fontId="22" fillId="30" borderId="0" xfId="0" applyFont="1" applyFill="1" applyAlignment="1">
      <alignment horizontal="justify" vertical="center"/>
    </xf>
    <xf numFmtId="166" fontId="22" fillId="30" borderId="0" xfId="46" applyNumberFormat="1" applyFont="1" applyFill="1" applyAlignment="1">
      <alignment vertical="center"/>
    </xf>
    <xf numFmtId="10" fontId="22" fillId="30" borderId="0" xfId="0" applyNumberFormat="1" applyFont="1" applyFill="1" applyAlignment="1">
      <alignment horizontal="center" vertical="center"/>
    </xf>
    <xf numFmtId="0" fontId="22" fillId="31" borderId="0" xfId="0" applyFont="1" applyFill="1" applyAlignment="1">
      <alignment horizontal="center" vertical="center"/>
    </xf>
    <xf numFmtId="10" fontId="22" fillId="30" borderId="0" xfId="48" applyNumberFormat="1" applyFont="1" applyFill="1" applyAlignment="1">
      <alignment horizontal="center" vertical="center"/>
    </xf>
    <xf numFmtId="165" fontId="22" fillId="30" borderId="0" xfId="0" applyNumberFormat="1" applyFont="1" applyFill="1" applyAlignment="1">
      <alignment horizontal="center" vertical="center"/>
    </xf>
    <xf numFmtId="165" fontId="22" fillId="30" borderId="0" xfId="47" applyFont="1" applyFill="1" applyAlignment="1">
      <alignment vertical="center"/>
    </xf>
    <xf numFmtId="0" fontId="53" fillId="30" borderId="0" xfId="0" applyFont="1" applyFill="1" applyAlignment="1">
      <alignment horizontal="justify" vertical="center"/>
    </xf>
    <xf numFmtId="0" fontId="54" fillId="30" borderId="0" xfId="0" applyFont="1" applyFill="1" applyAlignment="1">
      <alignment horizontal="justify" vertical="center"/>
    </xf>
    <xf numFmtId="0" fontId="53" fillId="30" borderId="0" xfId="0" applyFont="1" applyFill="1" applyAlignment="1">
      <alignment vertical="center"/>
    </xf>
    <xf numFmtId="166" fontId="53" fillId="30" borderId="0" xfId="46" applyNumberFormat="1" applyFont="1" applyFill="1" applyAlignment="1">
      <alignment vertical="center"/>
    </xf>
    <xf numFmtId="10" fontId="53" fillId="30" borderId="0" xfId="0" applyNumberFormat="1" applyFont="1" applyFill="1" applyAlignment="1">
      <alignment horizontal="center" vertical="center"/>
    </xf>
    <xf numFmtId="0" fontId="54" fillId="30" borderId="0" xfId="0" applyFont="1" applyFill="1" applyAlignment="1">
      <alignment vertical="center"/>
    </xf>
    <xf numFmtId="166" fontId="54" fillId="30" borderId="0" xfId="46" applyNumberFormat="1" applyFont="1" applyFill="1" applyAlignment="1">
      <alignment vertical="center"/>
    </xf>
    <xf numFmtId="10" fontId="54" fillId="30" borderId="0" xfId="0" applyNumberFormat="1" applyFont="1" applyFill="1" applyAlignment="1">
      <alignment horizontal="center" vertical="center"/>
    </xf>
    <xf numFmtId="0" fontId="59" fillId="36" borderId="0" xfId="0" applyFont="1" applyFill="1" applyAlignment="1">
      <alignment vertical="center"/>
    </xf>
    <xf numFmtId="0" fontId="22" fillId="31" borderId="0" xfId="38" applyFont="1" applyFill="1" applyAlignment="1">
      <alignment vertical="center"/>
    </xf>
    <xf numFmtId="0" fontId="22" fillId="31" borderId="0" xfId="0" applyFont="1" applyFill="1" applyAlignment="1">
      <alignment vertical="center"/>
    </xf>
    <xf numFmtId="0" fontId="54" fillId="30" borderId="0" xfId="0" applyFont="1" applyFill="1" applyAlignment="1">
      <alignment horizontal="left" vertical="center"/>
    </xf>
    <xf numFmtId="0" fontId="54" fillId="0" borderId="0" xfId="0" applyFont="1" applyAlignment="1">
      <alignment horizontal="justify" vertical="center"/>
    </xf>
    <xf numFmtId="10" fontId="54" fillId="0" borderId="0" xfId="0" applyNumberFormat="1" applyFont="1" applyAlignment="1">
      <alignment horizontal="center" vertical="center"/>
    </xf>
    <xf numFmtId="0" fontId="54" fillId="0" borderId="0" xfId="0" applyFont="1" applyAlignment="1">
      <alignment vertical="center"/>
    </xf>
    <xf numFmtId="0" fontId="53" fillId="0" borderId="0" xfId="0" applyFont="1" applyAlignment="1">
      <alignment horizontal="justify" vertical="center"/>
    </xf>
    <xf numFmtId="0" fontId="53" fillId="0" borderId="0" xfId="0" applyFont="1" applyAlignment="1">
      <alignment horizontal="center" vertical="center"/>
    </xf>
    <xf numFmtId="0" fontId="53" fillId="0" borderId="0" xfId="0" applyFont="1" applyAlignment="1">
      <alignment vertical="center"/>
    </xf>
    <xf numFmtId="166" fontId="53" fillId="0" borderId="0" xfId="46" applyNumberFormat="1" applyFont="1" applyAlignment="1">
      <alignment vertical="center"/>
    </xf>
    <xf numFmtId="10" fontId="53" fillId="0" borderId="0" xfId="0" applyNumberFormat="1" applyFont="1" applyAlignment="1">
      <alignment horizontal="center" vertical="center"/>
    </xf>
    <xf numFmtId="166" fontId="54" fillId="0" borderId="0" xfId="46" applyNumberFormat="1" applyFont="1" applyAlignment="1">
      <alignment vertical="center"/>
    </xf>
    <xf numFmtId="43" fontId="54" fillId="0" borderId="0" xfId="0" applyNumberFormat="1" applyFont="1" applyAlignment="1">
      <alignment horizontal="center" vertical="center"/>
    </xf>
    <xf numFmtId="0" fontId="52" fillId="0" borderId="0" xfId="0" applyFont="1" applyAlignment="1">
      <alignment horizontal="justify" vertical="center"/>
    </xf>
    <xf numFmtId="0" fontId="52" fillId="0" borderId="0" xfId="0" applyFont="1" applyAlignment="1">
      <alignment vertical="center"/>
    </xf>
    <xf numFmtId="166" fontId="52" fillId="0" borderId="0" xfId="46" applyNumberFormat="1" applyFont="1" applyAlignment="1">
      <alignment vertical="center"/>
    </xf>
    <xf numFmtId="10" fontId="52" fillId="0" borderId="0" xfId="0" applyNumberFormat="1" applyFont="1" applyAlignment="1">
      <alignment horizontal="center" vertical="center"/>
    </xf>
    <xf numFmtId="0" fontId="22" fillId="0" borderId="0" xfId="0" applyFont="1" applyAlignment="1">
      <alignment horizontal="justify" vertical="center"/>
    </xf>
    <xf numFmtId="166" fontId="22" fillId="0" borderId="0" xfId="46" applyNumberFormat="1" applyFont="1" applyAlignment="1">
      <alignment vertical="center"/>
    </xf>
    <xf numFmtId="10" fontId="22" fillId="0" borderId="0" xfId="0" applyNumberFormat="1" applyFont="1" applyAlignment="1">
      <alignment horizontal="center" vertical="center"/>
    </xf>
    <xf numFmtId="0" fontId="53" fillId="30" borderId="16" xfId="0" applyFont="1" applyFill="1" applyBorder="1" applyAlignment="1">
      <alignment vertical="center"/>
    </xf>
    <xf numFmtId="0" fontId="54" fillId="30" borderId="31" xfId="38" applyFont="1" applyFill="1" applyBorder="1" applyAlignment="1">
      <alignment horizontal="justify" vertical="center" wrapText="1"/>
    </xf>
    <xf numFmtId="0" fontId="54" fillId="30" borderId="31" xfId="38" applyFont="1" applyFill="1" applyBorder="1" applyAlignment="1">
      <alignment horizontal="center" vertical="center" wrapText="1"/>
    </xf>
    <xf numFmtId="166" fontId="54" fillId="0" borderId="31" xfId="46" applyNumberFormat="1" applyFont="1" applyBorder="1" applyAlignment="1">
      <alignment vertical="center" wrapText="1"/>
    </xf>
    <xf numFmtId="10" fontId="54" fillId="0" borderId="31" xfId="38" applyNumberFormat="1" applyFont="1" applyBorder="1" applyAlignment="1">
      <alignment horizontal="center" vertical="center" wrapText="1"/>
    </xf>
    <xf numFmtId="0" fontId="54" fillId="0" borderId="31" xfId="38" applyFont="1" applyBorder="1" applyAlignment="1">
      <alignment horizontal="center" vertical="center" wrapText="1"/>
    </xf>
    <xf numFmtId="17" fontId="54" fillId="30" borderId="31" xfId="38" applyNumberFormat="1" applyFont="1" applyFill="1" applyBorder="1" applyAlignment="1">
      <alignment horizontal="center" vertical="center" wrapText="1"/>
    </xf>
    <xf numFmtId="0" fontId="23" fillId="30" borderId="31" xfId="38" applyFont="1" applyFill="1" applyBorder="1" applyAlignment="1">
      <alignment horizontal="center" vertical="center" wrapText="1"/>
    </xf>
    <xf numFmtId="0" fontId="23" fillId="30" borderId="31" xfId="38" applyFont="1" applyFill="1" applyBorder="1" applyAlignment="1">
      <alignment vertical="center" wrapText="1"/>
    </xf>
    <xf numFmtId="0" fontId="23" fillId="0" borderId="32" xfId="38" applyFont="1" applyBorder="1" applyAlignment="1">
      <alignment horizontal="center" vertical="center" wrapText="1"/>
    </xf>
    <xf numFmtId="0" fontId="57" fillId="0" borderId="10" xfId="38" applyFont="1" applyBorder="1" applyAlignment="1">
      <alignment horizontal="center" vertical="center" wrapText="1"/>
    </xf>
    <xf numFmtId="0" fontId="57" fillId="0" borderId="10" xfId="38" applyFont="1" applyBorder="1" applyAlignment="1">
      <alignment horizontal="justify" vertical="center" wrapText="1"/>
    </xf>
    <xf numFmtId="49" fontId="57" fillId="0" borderId="10" xfId="0" applyNumberFormat="1" applyFont="1" applyBorder="1" applyAlignment="1">
      <alignment horizontal="center" vertical="center" wrapText="1"/>
    </xf>
    <xf numFmtId="0" fontId="58" fillId="0" borderId="10" xfId="38" applyFont="1" applyBorder="1" applyAlignment="1">
      <alignment horizontal="center" vertical="center" wrapText="1"/>
    </xf>
    <xf numFmtId="17" fontId="57" fillId="0" borderId="10" xfId="38" applyNumberFormat="1" applyFont="1" applyBorder="1" applyAlignment="1">
      <alignment horizontal="center" vertical="center" wrapText="1"/>
    </xf>
    <xf numFmtId="0" fontId="52" fillId="29" borderId="31" xfId="38" applyFont="1" applyFill="1" applyBorder="1" applyAlignment="1">
      <alignment vertical="center" wrapText="1"/>
    </xf>
    <xf numFmtId="166" fontId="54" fillId="0" borderId="0" xfId="0" applyNumberFormat="1" applyFont="1" applyAlignment="1">
      <alignment horizontal="center" vertical="center"/>
    </xf>
    <xf numFmtId="0" fontId="54" fillId="0" borderId="30" xfId="38" applyFont="1" applyBorder="1" applyAlignment="1">
      <alignment horizontal="justify" vertical="center" wrapText="1"/>
    </xf>
    <xf numFmtId="166" fontId="44" fillId="0" borderId="0" xfId="46" applyNumberFormat="1" applyFont="1" applyAlignment="1">
      <alignment vertical="center"/>
    </xf>
    <xf numFmtId="166" fontId="43" fillId="0" borderId="0" xfId="0" applyNumberFormat="1" applyFont="1" applyAlignment="1">
      <alignment vertical="center"/>
    </xf>
    <xf numFmtId="3" fontId="43" fillId="33" borderId="0" xfId="0" applyNumberFormat="1" applyFont="1" applyFill="1" applyAlignment="1">
      <alignment vertical="center"/>
    </xf>
    <xf numFmtId="3" fontId="43" fillId="0" borderId="0" xfId="0" applyNumberFormat="1" applyFont="1" applyAlignment="1">
      <alignment vertical="center"/>
    </xf>
    <xf numFmtId="3" fontId="43" fillId="33" borderId="0" xfId="0" applyNumberFormat="1" applyFont="1" applyFill="1" applyAlignment="1">
      <alignment vertical="center" wrapText="1"/>
    </xf>
    <xf numFmtId="0" fontId="29" fillId="36" borderId="0" xfId="38" applyFont="1" applyFill="1" applyAlignment="1">
      <alignment vertical="center"/>
    </xf>
    <xf numFmtId="0" fontId="29" fillId="36" borderId="0" xfId="0" applyFont="1" applyFill="1" applyAlignment="1">
      <alignment vertical="center"/>
    </xf>
    <xf numFmtId="0" fontId="57" fillId="0" borderId="10" xfId="0" applyFont="1" applyBorder="1" applyAlignment="1">
      <alignment horizontal="center" vertical="center"/>
    </xf>
    <xf numFmtId="0" fontId="59" fillId="0" borderId="0" xfId="38" applyFont="1" applyAlignment="1">
      <alignment vertical="center"/>
    </xf>
    <xf numFmtId="0" fontId="59" fillId="0" borderId="0" xfId="0" applyFont="1" applyAlignment="1">
      <alignment vertical="center"/>
    </xf>
    <xf numFmtId="10" fontId="57" fillId="0" borderId="10" xfId="38" applyNumberFormat="1" applyFont="1" applyBorder="1" applyAlignment="1">
      <alignment horizontal="center" vertical="center" wrapText="1"/>
    </xf>
    <xf numFmtId="0" fontId="57" fillId="0" borderId="10" xfId="0" applyFont="1" applyBorder="1" applyAlignment="1">
      <alignment horizontal="justify" vertical="center" wrapText="1"/>
    </xf>
    <xf numFmtId="166" fontId="54" fillId="0" borderId="10" xfId="46" applyNumberFormat="1" applyFont="1" applyBorder="1" applyAlignment="1">
      <alignment horizontal="center" vertical="center" wrapText="1"/>
    </xf>
    <xf numFmtId="0" fontId="58" fillId="0" borderId="10" xfId="38" applyFont="1" applyBorder="1" applyAlignment="1">
      <alignment vertical="center" wrapText="1"/>
    </xf>
    <xf numFmtId="17" fontId="54" fillId="0" borderId="10" xfId="38" applyNumberFormat="1" applyFont="1" applyBorder="1" applyAlignment="1">
      <alignment horizontal="center" vertical="center" wrapText="1"/>
    </xf>
    <xf numFmtId="166" fontId="57" fillId="0" borderId="10" xfId="46" applyNumberFormat="1" applyFont="1" applyBorder="1" applyAlignment="1">
      <alignment horizontal="justify" vertical="center" wrapText="1"/>
    </xf>
    <xf numFmtId="0" fontId="57" fillId="0" borderId="10" xfId="0" applyFont="1" applyBorder="1" applyAlignment="1">
      <alignment horizontal="justify" vertical="center"/>
    </xf>
    <xf numFmtId="166" fontId="54" fillId="0" borderId="10" xfId="46" applyNumberFormat="1" applyFont="1" applyBorder="1" applyAlignment="1">
      <alignment horizontal="center" vertical="center"/>
    </xf>
    <xf numFmtId="0" fontId="57" fillId="0" borderId="10" xfId="44" applyFont="1" applyBorder="1" applyAlignment="1">
      <alignment horizontal="justify" vertical="center" wrapText="1"/>
    </xf>
    <xf numFmtId="10" fontId="57" fillId="0" borderId="10" xfId="44" applyNumberFormat="1" applyFont="1" applyBorder="1" applyAlignment="1">
      <alignment horizontal="center" vertical="center" wrapText="1"/>
    </xf>
    <xf numFmtId="0" fontId="57" fillId="0" borderId="10" xfId="44" applyFont="1" applyBorder="1" applyAlignment="1">
      <alignment horizontal="center" vertical="center" wrapText="1"/>
    </xf>
    <xf numFmtId="0" fontId="58" fillId="0" borderId="10" xfId="44" applyFont="1" applyBorder="1" applyAlignment="1">
      <alignment horizontal="center" vertical="center" wrapText="1"/>
    </xf>
    <xf numFmtId="0" fontId="58" fillId="0" borderId="10" xfId="44" applyFont="1" applyBorder="1" applyAlignment="1">
      <alignment vertical="center" wrapText="1"/>
    </xf>
    <xf numFmtId="0" fontId="54" fillId="0" borderId="10" xfId="0" applyFont="1" applyBorder="1" applyAlignment="1">
      <alignment horizontal="justify" vertical="center" wrapText="1"/>
    </xf>
    <xf numFmtId="10" fontId="54" fillId="0" borderId="10" xfId="48" applyNumberFormat="1" applyFont="1" applyBorder="1" applyAlignment="1">
      <alignment horizontal="center" vertical="center" wrapText="1"/>
    </xf>
    <xf numFmtId="167" fontId="54" fillId="0" borderId="10" xfId="46" applyNumberFormat="1" applyFont="1" applyBorder="1" applyAlignment="1">
      <alignment horizontal="justify" vertical="center" wrapText="1"/>
    </xf>
    <xf numFmtId="49" fontId="54" fillId="0" borderId="10" xfId="0" applyNumberFormat="1" applyFont="1" applyBorder="1" applyAlignment="1">
      <alignment horizontal="center" vertical="center" wrapText="1"/>
    </xf>
    <xf numFmtId="10" fontId="54" fillId="0" borderId="10" xfId="48" applyNumberFormat="1" applyFont="1" applyBorder="1" applyAlignment="1">
      <alignment horizontal="justify" vertical="center" wrapText="1"/>
    </xf>
    <xf numFmtId="0" fontId="22" fillId="0" borderId="0" xfId="38" applyFont="1" applyAlignment="1">
      <alignment horizontal="left" vertical="center" wrapText="1"/>
    </xf>
    <xf numFmtId="166" fontId="54" fillId="0" borderId="10" xfId="46" applyNumberFormat="1" applyFont="1" applyBorder="1" applyAlignment="1">
      <alignment horizontal="justify" vertical="center" wrapText="1"/>
    </xf>
    <xf numFmtId="0" fontId="60" fillId="0" borderId="10" xfId="0" applyFont="1" applyBorder="1" applyAlignment="1">
      <alignment horizontal="center" vertical="center"/>
    </xf>
    <xf numFmtId="0" fontId="60" fillId="0" borderId="10" xfId="38" applyFont="1" applyBorder="1" applyAlignment="1">
      <alignment horizontal="center" vertical="center" wrapText="1"/>
    </xf>
    <xf numFmtId="0" fontId="60" fillId="0" borderId="10" xfId="0" applyFont="1" applyBorder="1" applyAlignment="1">
      <alignment horizontal="justify" vertical="center"/>
    </xf>
    <xf numFmtId="0" fontId="60" fillId="0" borderId="10" xfId="38" applyFont="1" applyBorder="1" applyAlignment="1">
      <alignment horizontal="justify" vertical="center" wrapText="1"/>
    </xf>
    <xf numFmtId="10" fontId="60" fillId="0" borderId="10" xfId="38" applyNumberFormat="1" applyFont="1" applyBorder="1" applyAlignment="1">
      <alignment horizontal="center" vertical="center" wrapText="1"/>
    </xf>
    <xf numFmtId="17" fontId="60" fillId="0" borderId="10" xfId="38" applyNumberFormat="1" applyFont="1" applyBorder="1" applyAlignment="1">
      <alignment horizontal="center" vertical="center" wrapText="1"/>
    </xf>
    <xf numFmtId="0" fontId="21" fillId="0" borderId="10" xfId="38" applyFont="1" applyBorder="1" applyAlignment="1">
      <alignment horizontal="center" vertical="center" wrapText="1"/>
    </xf>
    <xf numFmtId="0" fontId="21" fillId="0" borderId="10" xfId="38" applyFont="1" applyBorder="1" applyAlignment="1">
      <alignment vertical="center" wrapText="1"/>
    </xf>
    <xf numFmtId="0" fontId="20" fillId="0" borderId="0" xfId="38" applyFont="1" applyAlignment="1">
      <alignment vertical="center"/>
    </xf>
    <xf numFmtId="0" fontId="60" fillId="0" borderId="10" xfId="0" applyFont="1" applyBorder="1" applyAlignment="1">
      <alignment horizontal="justify" vertical="center" wrapText="1"/>
    </xf>
    <xf numFmtId="3" fontId="60" fillId="0" borderId="10" xfId="0" applyNumberFormat="1" applyFont="1" applyBorder="1" applyAlignment="1">
      <alignment horizontal="justify" vertical="center" wrapText="1"/>
    </xf>
    <xf numFmtId="49" fontId="60" fillId="0" borderId="10" xfId="0" applyNumberFormat="1" applyFont="1" applyBorder="1" applyAlignment="1">
      <alignment horizontal="center" vertical="center" wrapText="1"/>
    </xf>
    <xf numFmtId="0" fontId="20" fillId="36" borderId="0" xfId="38" applyFont="1" applyFill="1" applyAlignment="1">
      <alignment vertical="center"/>
    </xf>
    <xf numFmtId="0" fontId="20" fillId="36" borderId="0" xfId="0" applyFont="1" applyFill="1" applyAlignment="1">
      <alignment vertical="center"/>
    </xf>
    <xf numFmtId="167" fontId="60" fillId="0" borderId="10" xfId="46" applyNumberFormat="1" applyFont="1" applyBorder="1" applyAlignment="1">
      <alignment horizontal="justify" vertical="center" wrapText="1"/>
    </xf>
    <xf numFmtId="166" fontId="60" fillId="0" borderId="10" xfId="46" applyNumberFormat="1" applyFont="1" applyBorder="1" applyAlignment="1">
      <alignment horizontal="justify" vertical="center" wrapText="1"/>
    </xf>
    <xf numFmtId="0" fontId="20" fillId="30" borderId="0" xfId="38" applyFont="1" applyFill="1" applyAlignment="1">
      <alignment vertical="center"/>
    </xf>
    <xf numFmtId="0" fontId="54" fillId="0" borderId="10" xfId="44" applyFont="1" applyBorder="1" applyAlignment="1">
      <alignment horizontal="justify" vertical="center" wrapText="1"/>
    </xf>
    <xf numFmtId="10" fontId="54" fillId="0" borderId="10" xfId="44" applyNumberFormat="1" applyFont="1" applyBorder="1" applyAlignment="1">
      <alignment horizontal="center" vertical="center" wrapText="1"/>
    </xf>
    <xf numFmtId="0" fontId="54" fillId="0" borderId="10" xfId="44" applyFont="1" applyBorder="1" applyAlignment="1">
      <alignment horizontal="center" vertical="center" wrapText="1"/>
    </xf>
    <xf numFmtId="166" fontId="54" fillId="37" borderId="10" xfId="46" applyNumberFormat="1" applyFont="1" applyFill="1" applyBorder="1" applyAlignment="1">
      <alignment horizontal="center" vertical="center" wrapText="1"/>
    </xf>
    <xf numFmtId="166" fontId="60" fillId="37" borderId="10" xfId="46" applyNumberFormat="1" applyFont="1" applyFill="1" applyBorder="1" applyAlignment="1">
      <alignment vertical="center" wrapText="1"/>
    </xf>
    <xf numFmtId="166" fontId="54" fillId="37" borderId="10" xfId="46" applyNumberFormat="1" applyFont="1" applyFill="1" applyBorder="1" applyAlignment="1">
      <alignment vertical="center" wrapText="1"/>
    </xf>
    <xf numFmtId="166" fontId="54" fillId="37" borderId="10" xfId="46" applyNumberFormat="1" applyFont="1" applyFill="1" applyBorder="1" applyAlignment="1">
      <alignment vertical="center"/>
    </xf>
    <xf numFmtId="3" fontId="0" fillId="37" borderId="0" xfId="0" applyNumberFormat="1" applyFill="1" applyAlignment="1">
      <alignment vertical="center"/>
    </xf>
    <xf numFmtId="3" fontId="0" fillId="37" borderId="10" xfId="0" applyNumberFormat="1" applyFill="1" applyBorder="1" applyAlignment="1">
      <alignment vertical="center"/>
    </xf>
    <xf numFmtId="3" fontId="61" fillId="37" borderId="10" xfId="0" applyNumberFormat="1" applyFont="1" applyFill="1" applyBorder="1" applyAlignment="1">
      <alignment vertical="center"/>
    </xf>
    <xf numFmtId="3" fontId="62" fillId="37" borderId="10" xfId="0" applyNumberFormat="1" applyFont="1" applyFill="1" applyBorder="1" applyAlignment="1">
      <alignment vertical="center"/>
    </xf>
    <xf numFmtId="166" fontId="60" fillId="37" borderId="10" xfId="46" applyNumberFormat="1" applyFont="1" applyFill="1" applyBorder="1" applyAlignment="1">
      <alignment horizontal="center" vertical="center" wrapText="1"/>
    </xf>
    <xf numFmtId="0" fontId="45" fillId="0" borderId="0" xfId="0" applyFont="1" applyAlignment="1">
      <alignment vertical="center"/>
    </xf>
    <xf numFmtId="3" fontId="63" fillId="0" borderId="0" xfId="0" applyNumberFormat="1" applyFont="1" applyAlignment="1">
      <alignment vertical="center"/>
    </xf>
    <xf numFmtId="3" fontId="45" fillId="0" borderId="0" xfId="0" applyNumberFormat="1" applyFont="1" applyAlignment="1">
      <alignment vertical="center"/>
    </xf>
    <xf numFmtId="0" fontId="54" fillId="0" borderId="0" xfId="0" applyFont="1" applyAlignment="1">
      <alignment horizontal="justify" vertical="center" wrapText="1"/>
    </xf>
    <xf numFmtId="166" fontId="60" fillId="37" borderId="10" xfId="46" applyNumberFormat="1" applyFont="1" applyFill="1" applyBorder="1" applyAlignment="1">
      <alignment horizontal="center" vertical="center"/>
    </xf>
    <xf numFmtId="166" fontId="54" fillId="37" borderId="10" xfId="46" applyNumberFormat="1" applyFont="1" applyFill="1" applyBorder="1" applyAlignment="1">
      <alignment horizontal="center" vertical="center"/>
    </xf>
    <xf numFmtId="3" fontId="62" fillId="37" borderId="0" xfId="0" applyNumberFormat="1" applyFont="1" applyFill="1" applyAlignment="1">
      <alignment vertical="center"/>
    </xf>
    <xf numFmtId="4" fontId="0" fillId="37" borderId="10" xfId="0" applyNumberFormat="1" applyFill="1" applyBorder="1" applyAlignment="1">
      <alignment vertical="center"/>
    </xf>
    <xf numFmtId="0" fontId="22" fillId="36" borderId="0" xfId="38" applyFont="1" applyFill="1" applyAlignment="1">
      <alignment vertical="center"/>
    </xf>
    <xf numFmtId="0" fontId="22" fillId="36" borderId="0" xfId="0" applyFont="1" applyFill="1" applyAlignment="1">
      <alignment vertical="center"/>
    </xf>
    <xf numFmtId="166" fontId="60" fillId="37" borderId="10" xfId="46" applyNumberFormat="1" applyFont="1" applyFill="1" applyBorder="1" applyAlignment="1">
      <alignment vertical="center"/>
    </xf>
    <xf numFmtId="43" fontId="60" fillId="31" borderId="10" xfId="46" applyFont="1" applyFill="1" applyBorder="1" applyAlignment="1">
      <alignment vertical="center" wrapText="1"/>
    </xf>
    <xf numFmtId="43" fontId="54" fillId="37" borderId="10" xfId="46" applyFont="1" applyFill="1" applyBorder="1" applyAlignment="1">
      <alignment vertical="center" wrapText="1"/>
    </xf>
    <xf numFmtId="3" fontId="54" fillId="0" borderId="10" xfId="0" applyNumberFormat="1" applyFont="1" applyBorder="1" applyAlignment="1">
      <alignment horizontal="justify" vertical="center" wrapText="1"/>
    </xf>
    <xf numFmtId="0" fontId="54" fillId="0" borderId="0" xfId="1" applyFont="1" applyAlignment="1">
      <alignment horizontal="justify" vertical="center" wrapText="1"/>
    </xf>
    <xf numFmtId="43" fontId="54" fillId="0" borderId="10" xfId="46" applyFont="1" applyBorder="1" applyAlignment="1">
      <alignment vertical="center" wrapText="1"/>
    </xf>
    <xf numFmtId="0" fontId="54" fillId="35" borderId="0" xfId="0" applyFont="1" applyFill="1" applyAlignment="1">
      <alignment horizontal="justify" vertical="center"/>
    </xf>
    <xf numFmtId="0" fontId="54" fillId="0" borderId="0" xfId="0" applyFont="1" applyBorder="1" applyAlignment="1">
      <alignment horizontal="center" vertical="center"/>
    </xf>
    <xf numFmtId="0" fontId="23" fillId="30" borderId="0" xfId="0" applyFont="1" applyFill="1" applyAlignment="1">
      <alignment horizontal="center" vertical="center"/>
    </xf>
    <xf numFmtId="0" fontId="54" fillId="35" borderId="10" xfId="44" applyFont="1" applyFill="1" applyBorder="1" applyAlignment="1">
      <alignment horizontal="center" vertical="center" wrapText="1"/>
    </xf>
    <xf numFmtId="0" fontId="54" fillId="0" borderId="10" xfId="1" applyFont="1" applyBorder="1" applyAlignment="1">
      <alignment horizontal="justify" vertical="center" wrapText="1"/>
    </xf>
    <xf numFmtId="0" fontId="54" fillId="0" borderId="10" xfId="0" applyFont="1" applyBorder="1" applyAlignment="1">
      <alignment horizontal="justify" vertical="center" wrapText="1"/>
    </xf>
    <xf numFmtId="0" fontId="54" fillId="30" borderId="0" xfId="0" applyFont="1" applyFill="1" applyAlignment="1">
      <alignment horizontal="left" vertical="center"/>
    </xf>
    <xf numFmtId="10" fontId="54" fillId="35" borderId="10" xfId="44" applyNumberFormat="1" applyFont="1" applyFill="1" applyBorder="1" applyAlignment="1">
      <alignment horizontal="center" vertical="center" wrapText="1"/>
    </xf>
    <xf numFmtId="0" fontId="54" fillId="29" borderId="31" xfId="44" applyFont="1" applyFill="1" applyBorder="1" applyAlignment="1">
      <alignment vertical="center" wrapText="1"/>
    </xf>
    <xf numFmtId="0" fontId="23" fillId="29" borderId="31" xfId="44" applyFont="1" applyFill="1" applyBorder="1" applyAlignment="1">
      <alignment vertical="center" wrapText="1"/>
    </xf>
    <xf numFmtId="0" fontId="23" fillId="29" borderId="32" xfId="44" applyFont="1" applyFill="1" applyBorder="1" applyAlignment="1">
      <alignment vertical="center" wrapText="1"/>
    </xf>
    <xf numFmtId="17" fontId="54" fillId="0" borderId="10" xfId="44" applyNumberFormat="1" applyFont="1" applyBorder="1" applyAlignment="1">
      <alignment horizontal="center" vertical="center" wrapText="1"/>
    </xf>
    <xf numFmtId="43" fontId="54" fillId="0" borderId="10" xfId="46" applyFont="1" applyBorder="1" applyAlignment="1">
      <alignment horizontal="center" vertical="center" wrapText="1"/>
    </xf>
    <xf numFmtId="166" fontId="54" fillId="30" borderId="10" xfId="46" applyNumberFormat="1" applyFont="1" applyFill="1" applyBorder="1" applyAlignment="1">
      <alignment vertical="center" wrapText="1"/>
    </xf>
    <xf numFmtId="10" fontId="54" fillId="30" borderId="10" xfId="44" applyNumberFormat="1" applyFont="1" applyFill="1" applyBorder="1" applyAlignment="1">
      <alignment horizontal="center" vertical="center" wrapText="1"/>
    </xf>
    <xf numFmtId="0" fontId="54" fillId="30" borderId="10" xfId="44" applyFont="1" applyFill="1" applyBorder="1" applyAlignment="1">
      <alignment horizontal="center" vertical="center" wrapText="1"/>
    </xf>
    <xf numFmtId="17" fontId="54" fillId="30" borderId="10" xfId="44" applyNumberFormat="1" applyFont="1" applyFill="1" applyBorder="1" applyAlignment="1">
      <alignment horizontal="center" vertical="center" wrapText="1"/>
    </xf>
    <xf numFmtId="49" fontId="54" fillId="30" borderId="10" xfId="0" applyNumberFormat="1" applyFont="1" applyFill="1" applyBorder="1" applyAlignment="1">
      <alignment horizontal="center" vertical="center" wrapText="1"/>
    </xf>
    <xf numFmtId="0" fontId="54" fillId="0" borderId="30" xfId="44" applyFont="1" applyBorder="1" applyAlignment="1">
      <alignment horizontal="justify" vertical="center" wrapText="1"/>
    </xf>
    <xf numFmtId="0" fontId="54" fillId="30" borderId="31" xfId="44" applyFont="1" applyFill="1" applyBorder="1" applyAlignment="1">
      <alignment horizontal="justify" vertical="center" wrapText="1"/>
    </xf>
    <xf numFmtId="10" fontId="54" fillId="0" borderId="31" xfId="44" applyNumberFormat="1" applyFont="1" applyBorder="1" applyAlignment="1">
      <alignment horizontal="center" vertical="center" wrapText="1"/>
    </xf>
    <xf numFmtId="0" fontId="54" fillId="30" borderId="31" xfId="44" applyFont="1" applyFill="1" applyBorder="1" applyAlignment="1">
      <alignment horizontal="center" vertical="center" wrapText="1"/>
    </xf>
    <xf numFmtId="0" fontId="54" fillId="0" borderId="31" xfId="44" applyFont="1" applyBorder="1" applyAlignment="1">
      <alignment horizontal="center" vertical="center" wrapText="1"/>
    </xf>
    <xf numFmtId="17" fontId="54" fillId="30" borderId="31" xfId="44" applyNumberFormat="1" applyFont="1" applyFill="1" applyBorder="1" applyAlignment="1">
      <alignment horizontal="center" vertical="center" wrapText="1"/>
    </xf>
    <xf numFmtId="0" fontId="23" fillId="30" borderId="31" xfId="44" applyFont="1" applyFill="1" applyBorder="1" applyAlignment="1">
      <alignment horizontal="center" vertical="center" wrapText="1"/>
    </xf>
    <xf numFmtId="0" fontId="23" fillId="30" borderId="31" xfId="44" applyFont="1" applyFill="1" applyBorder="1" applyAlignment="1">
      <alignment vertical="center" wrapText="1"/>
    </xf>
    <xf numFmtId="0" fontId="23" fillId="0" borderId="32" xfId="44" applyFont="1" applyBorder="1" applyAlignment="1">
      <alignment horizontal="center" vertical="center" wrapText="1"/>
    </xf>
    <xf numFmtId="0" fontId="54" fillId="0" borderId="0" xfId="44" applyFont="1" applyAlignment="1">
      <alignment horizontal="justify" vertical="center" wrapText="1"/>
    </xf>
    <xf numFmtId="4" fontId="54" fillId="0" borderId="0" xfId="44" applyNumberFormat="1" applyFont="1" applyAlignment="1">
      <alignment horizontal="center" vertical="center" wrapText="1"/>
    </xf>
    <xf numFmtId="10" fontId="54" fillId="0" borderId="0" xfId="44" applyNumberFormat="1" applyFont="1" applyAlignment="1">
      <alignment horizontal="center" vertical="center" wrapText="1"/>
    </xf>
    <xf numFmtId="0" fontId="54" fillId="0" borderId="0" xfId="44" applyFont="1" applyAlignment="1">
      <alignment horizontal="center" vertical="center" wrapText="1"/>
    </xf>
    <xf numFmtId="17" fontId="54" fillId="0" borderId="0" xfId="44" applyNumberFormat="1" applyFont="1" applyAlignment="1">
      <alignment horizontal="center" vertical="center" wrapText="1"/>
    </xf>
    <xf numFmtId="0" fontId="23" fillId="0" borderId="0" xfId="44" applyFont="1" applyAlignment="1">
      <alignment horizontal="center" vertical="center" wrapText="1"/>
    </xf>
    <xf numFmtId="0" fontId="23" fillId="0" borderId="0" xfId="44" applyFont="1" applyAlignment="1">
      <alignment vertical="center" wrapText="1"/>
    </xf>
    <xf numFmtId="4" fontId="54" fillId="0" borderId="10" xfId="44" applyNumberFormat="1" applyFont="1" applyBorder="1" applyAlignment="1">
      <alignment horizontal="center" vertical="center" wrapText="1"/>
    </xf>
    <xf numFmtId="10" fontId="54" fillId="0" borderId="10" xfId="44" applyNumberFormat="1" applyFont="1" applyBorder="1" applyAlignment="1">
      <alignment vertical="center" wrapText="1"/>
    </xf>
    <xf numFmtId="0" fontId="27" fillId="26" borderId="27" xfId="0" applyFont="1" applyFill="1" applyBorder="1" applyAlignment="1">
      <alignment horizontal="center" vertical="center" wrapText="1"/>
    </xf>
    <xf numFmtId="0" fontId="31" fillId="26" borderId="0" xfId="0" applyFont="1" applyFill="1" applyAlignment="1">
      <alignment horizontal="left" vertical="center" wrapText="1"/>
    </xf>
    <xf numFmtId="0" fontId="21" fillId="0" borderId="16"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22" xfId="0" applyFont="1" applyBorder="1" applyAlignment="1">
      <alignment horizontal="center" vertical="center" wrapText="1"/>
    </xf>
    <xf numFmtId="0" fontId="27" fillId="27" borderId="24" xfId="0" applyFont="1" applyFill="1" applyBorder="1" applyAlignment="1">
      <alignment horizontal="center" vertical="center"/>
    </xf>
    <xf numFmtId="0" fontId="27" fillId="27" borderId="19" xfId="0" applyFont="1" applyFill="1" applyBorder="1" applyAlignment="1">
      <alignment horizontal="center" vertical="center"/>
    </xf>
    <xf numFmtId="0" fontId="27" fillId="27" borderId="20" xfId="0" applyFont="1" applyFill="1" applyBorder="1" applyAlignment="1">
      <alignment horizontal="center" vertical="center"/>
    </xf>
    <xf numFmtId="0" fontId="27" fillId="27" borderId="24" xfId="0" applyFont="1" applyFill="1" applyBorder="1" applyAlignment="1">
      <alignment horizontal="left" vertical="center" wrapText="1"/>
    </xf>
    <xf numFmtId="0" fontId="27" fillId="27" borderId="19" xfId="0" applyFont="1" applyFill="1" applyBorder="1" applyAlignment="1">
      <alignment horizontal="left" vertical="center" wrapText="1"/>
    </xf>
    <xf numFmtId="0" fontId="27" fillId="27" borderId="20" xfId="0" applyFont="1" applyFill="1" applyBorder="1" applyAlignment="1">
      <alignment horizontal="left" vertical="center" wrapText="1"/>
    </xf>
    <xf numFmtId="0" fontId="27" fillId="27" borderId="16" xfId="0" applyFont="1" applyFill="1" applyBorder="1" applyAlignment="1">
      <alignment horizontal="center" vertical="center"/>
    </xf>
    <xf numFmtId="0" fontId="27" fillId="27" borderId="15" xfId="0" applyFont="1" applyFill="1" applyBorder="1" applyAlignment="1">
      <alignment horizontal="center" vertical="center"/>
    </xf>
    <xf numFmtId="0" fontId="27" fillId="27" borderId="22" xfId="0" applyFont="1" applyFill="1" applyBorder="1" applyAlignment="1">
      <alignment horizontal="center" vertical="center"/>
    </xf>
    <xf numFmtId="0" fontId="23" fillId="0" borderId="15" xfId="1" applyFont="1" applyBorder="1" applyAlignment="1">
      <alignment horizontal="center" vertical="center" wrapText="1"/>
    </xf>
    <xf numFmtId="0" fontId="23" fillId="0" borderId="22" xfId="1" applyFont="1" applyBorder="1" applyAlignment="1">
      <alignment horizontal="center" vertical="center" wrapText="1"/>
    </xf>
    <xf numFmtId="0" fontId="54" fillId="35" borderId="10" xfId="0" applyFont="1" applyFill="1" applyBorder="1" applyAlignment="1">
      <alignment horizontal="center" vertical="center"/>
    </xf>
    <xf numFmtId="0" fontId="54" fillId="35" borderId="10" xfId="38" applyFont="1" applyFill="1" applyBorder="1" applyAlignment="1">
      <alignment horizontal="center" vertical="center" wrapText="1"/>
    </xf>
    <xf numFmtId="0" fontId="54" fillId="35" borderId="10" xfId="38" applyFont="1" applyFill="1" applyBorder="1" applyAlignment="1">
      <alignment horizontal="justify" vertical="center" wrapText="1"/>
    </xf>
    <xf numFmtId="164" fontId="23" fillId="30" borderId="0" xfId="0" applyNumberFormat="1" applyFont="1" applyFill="1" applyAlignment="1">
      <alignment horizontal="left" vertical="center"/>
    </xf>
    <xf numFmtId="0" fontId="23" fillId="30" borderId="0" xfId="0" applyFont="1" applyFill="1" applyAlignment="1">
      <alignment horizontal="left" vertical="center"/>
    </xf>
    <xf numFmtId="0" fontId="23" fillId="30" borderId="0" xfId="0" applyFont="1" applyFill="1" applyAlignment="1">
      <alignment horizontal="center" vertical="center"/>
    </xf>
    <xf numFmtId="0" fontId="23" fillId="30" borderId="0" xfId="0" applyFont="1" applyFill="1" applyAlignment="1">
      <alignment horizontal="left" vertical="center" wrapText="1"/>
    </xf>
    <xf numFmtId="0" fontId="54" fillId="35" borderId="16" xfId="38" applyFont="1" applyFill="1" applyBorder="1" applyAlignment="1">
      <alignment horizontal="center" vertical="center" wrapText="1"/>
    </xf>
    <xf numFmtId="0" fontId="54" fillId="35" borderId="22" xfId="38" applyFont="1" applyFill="1" applyBorder="1" applyAlignment="1">
      <alignment horizontal="center" vertical="center" wrapText="1"/>
    </xf>
    <xf numFmtId="0" fontId="54" fillId="35" borderId="10" xfId="38" applyFont="1" applyFill="1" applyBorder="1" applyAlignment="1">
      <alignment horizontal="center" vertical="center"/>
    </xf>
    <xf numFmtId="0" fontId="54" fillId="35" borderId="10" xfId="44" applyFont="1" applyFill="1" applyBorder="1" applyAlignment="1">
      <alignment horizontal="center" vertical="center" wrapText="1"/>
    </xf>
    <xf numFmtId="0" fontId="54" fillId="29" borderId="30" xfId="38" applyFont="1" applyFill="1" applyBorder="1" applyAlignment="1">
      <alignment horizontal="left" vertical="center" wrapText="1"/>
    </xf>
    <xf numFmtId="0" fontId="54" fillId="29" borderId="31" xfId="38" applyFont="1" applyFill="1" applyBorder="1" applyAlignment="1">
      <alignment horizontal="left" vertical="center" wrapText="1"/>
    </xf>
    <xf numFmtId="0" fontId="54" fillId="29" borderId="30" xfId="38" applyFont="1" applyFill="1" applyBorder="1" applyAlignment="1">
      <alignment horizontal="justify" vertical="center" wrapText="1"/>
    </xf>
    <xf numFmtId="0" fontId="54" fillId="29" borderId="31" xfId="38" applyFont="1" applyFill="1" applyBorder="1" applyAlignment="1">
      <alignment horizontal="justify" vertical="center" wrapText="1"/>
    </xf>
    <xf numFmtId="0" fontId="54" fillId="25" borderId="16" xfId="0" applyFont="1" applyFill="1" applyBorder="1" applyAlignment="1">
      <alignment horizontal="center" vertical="center" wrapText="1"/>
    </xf>
    <xf numFmtId="0" fontId="54" fillId="25" borderId="15" xfId="0" applyFont="1" applyFill="1" applyBorder="1" applyAlignment="1">
      <alignment horizontal="center" vertical="center" wrapText="1"/>
    </xf>
    <xf numFmtId="0" fontId="54" fillId="25" borderId="22" xfId="0" applyFont="1" applyFill="1" applyBorder="1" applyAlignment="1">
      <alignment horizontal="center" vertical="center" wrapText="1"/>
    </xf>
    <xf numFmtId="0" fontId="54" fillId="25" borderId="10" xfId="0" applyFont="1" applyFill="1" applyBorder="1" applyAlignment="1">
      <alignment horizontal="center" vertical="center"/>
    </xf>
    <xf numFmtId="0" fontId="54" fillId="0" borderId="10" xfId="1" applyFont="1" applyBorder="1" applyAlignment="1">
      <alignment horizontal="justify" vertical="center" wrapText="1"/>
    </xf>
    <xf numFmtId="0" fontId="54" fillId="0" borderId="10" xfId="0" applyFont="1" applyBorder="1" applyAlignment="1">
      <alignment horizontal="justify" vertical="center" wrapText="1"/>
    </xf>
    <xf numFmtId="0" fontId="54" fillId="0" borderId="16" xfId="0" applyFont="1" applyBorder="1" applyAlignment="1">
      <alignment horizontal="justify" vertical="center" wrapText="1"/>
    </xf>
    <xf numFmtId="0" fontId="54" fillId="0" borderId="15" xfId="0" applyFont="1" applyBorder="1" applyAlignment="1">
      <alignment horizontal="justify" vertical="center" wrapText="1"/>
    </xf>
    <xf numFmtId="0" fontId="54" fillId="0" borderId="22" xfId="0" applyFont="1" applyBorder="1" applyAlignment="1">
      <alignment horizontal="justify" vertical="center" wrapText="1"/>
    </xf>
    <xf numFmtId="0" fontId="54" fillId="30" borderId="0" xfId="0" applyFont="1" applyFill="1" applyAlignment="1">
      <alignment horizontal="left" vertical="center"/>
    </xf>
    <xf numFmtId="14" fontId="43" fillId="31" borderId="0" xfId="0" applyNumberFormat="1" applyFont="1" applyFill="1" applyAlignment="1">
      <alignment horizontal="center" vertical="center"/>
    </xf>
    <xf numFmtId="0" fontId="43" fillId="31" borderId="0" xfId="0" applyFont="1" applyFill="1" applyAlignment="1">
      <alignment horizontal="center" vertical="center"/>
    </xf>
    <xf numFmtId="0" fontId="52" fillId="25" borderId="10" xfId="0" applyFont="1" applyFill="1" applyBorder="1" applyAlignment="1">
      <alignment horizontal="center" vertical="center"/>
    </xf>
    <xf numFmtId="0" fontId="52" fillId="0" borderId="10" xfId="1" applyFont="1" applyBorder="1" applyAlignment="1">
      <alignment horizontal="justify" vertical="center" wrapText="1"/>
    </xf>
    <xf numFmtId="0" fontId="52" fillId="0" borderId="10" xfId="0" applyFont="1" applyBorder="1" applyAlignment="1">
      <alignment horizontal="justify" vertical="center" wrapText="1"/>
    </xf>
    <xf numFmtId="0" fontId="52" fillId="0" borderId="16" xfId="0" applyFont="1" applyBorder="1" applyAlignment="1">
      <alignment horizontal="justify" vertical="center" wrapText="1"/>
    </xf>
    <xf numFmtId="0" fontId="52" fillId="0" borderId="15" xfId="0" applyFont="1" applyBorder="1" applyAlignment="1">
      <alignment horizontal="justify" vertical="center" wrapText="1"/>
    </xf>
    <xf numFmtId="0" fontId="52" fillId="0" borderId="22"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29" xfId="0" applyFont="1" applyBorder="1" applyAlignment="1">
      <alignment horizontal="justify" vertical="center" wrapText="1"/>
    </xf>
    <xf numFmtId="0" fontId="20" fillId="0" borderId="28" xfId="0" applyFont="1" applyBorder="1" applyAlignment="1">
      <alignment horizontal="justify" vertical="center" wrapText="1"/>
    </xf>
    <xf numFmtId="0" fontId="20" fillId="0" borderId="29" xfId="0" applyFont="1" applyBorder="1" applyAlignment="1">
      <alignment horizontal="justify" vertical="center" wrapText="1"/>
    </xf>
    <xf numFmtId="0" fontId="23" fillId="0" borderId="0" xfId="38" applyFont="1" applyAlignment="1">
      <alignment horizontal="center" vertical="center" wrapText="1"/>
    </xf>
    <xf numFmtId="0" fontId="21" fillId="0" borderId="28" xfId="0" applyFont="1" applyBorder="1" applyAlignment="1">
      <alignment horizontal="center" vertical="center" wrapText="1"/>
    </xf>
    <xf numFmtId="0" fontId="21" fillId="0" borderId="29" xfId="0" applyFont="1" applyBorder="1" applyAlignment="1">
      <alignment horizontal="center" vertical="center" wrapText="1"/>
    </xf>
    <xf numFmtId="0" fontId="21" fillId="30" borderId="0" xfId="0" applyFont="1" applyFill="1" applyAlignment="1">
      <alignment horizontal="center" vertical="center"/>
    </xf>
    <xf numFmtId="0" fontId="35" fillId="28" borderId="10" xfId="0" applyFont="1" applyFill="1" applyBorder="1" applyAlignment="1">
      <alignment horizontal="center" vertical="center"/>
    </xf>
    <xf numFmtId="0" fontId="36" fillId="24" borderId="10" xfId="38" applyFont="1" applyFill="1" applyBorder="1" applyAlignment="1">
      <alignment horizontal="center" vertical="center" wrapText="1"/>
    </xf>
    <xf numFmtId="0" fontId="36" fillId="24" borderId="10" xfId="38" applyFont="1" applyFill="1" applyBorder="1" applyAlignment="1">
      <alignment horizontal="justify" vertical="center" wrapText="1"/>
    </xf>
    <xf numFmtId="0" fontId="36" fillId="24" borderId="16" xfId="38" applyFont="1" applyFill="1" applyBorder="1" applyAlignment="1">
      <alignment horizontal="center" vertical="center" wrapText="1"/>
    </xf>
    <xf numFmtId="0" fontId="36" fillId="24" borderId="22" xfId="38" applyFont="1" applyFill="1" applyBorder="1" applyAlignment="1">
      <alignment horizontal="center" vertical="center" wrapText="1"/>
    </xf>
    <xf numFmtId="0" fontId="23" fillId="29" borderId="30" xfId="38" applyFont="1" applyFill="1" applyBorder="1" applyAlignment="1">
      <alignment horizontal="left" vertical="center" wrapText="1"/>
    </xf>
    <xf numFmtId="0" fontId="23" fillId="29" borderId="31" xfId="38" applyFont="1" applyFill="1" applyBorder="1" applyAlignment="1">
      <alignment horizontal="left" vertical="center" wrapText="1"/>
    </xf>
    <xf numFmtId="0" fontId="36" fillId="24" borderId="10" xfId="38" applyFont="1" applyFill="1" applyBorder="1" applyAlignment="1">
      <alignment horizontal="center" vertical="center"/>
    </xf>
    <xf numFmtId="0" fontId="35" fillId="24" borderId="10" xfId="38" applyFont="1" applyFill="1" applyBorder="1" applyAlignment="1">
      <alignment horizontal="center" vertical="center" wrapText="1"/>
    </xf>
    <xf numFmtId="0" fontId="35" fillId="25" borderId="10" xfId="0" applyFont="1" applyFill="1" applyBorder="1" applyAlignment="1">
      <alignment horizontal="center" vertical="center"/>
    </xf>
    <xf numFmtId="0" fontId="23" fillId="0" borderId="10" xfId="1" applyFont="1" applyBorder="1" applyAlignment="1">
      <alignment horizontal="justify" vertical="center" wrapText="1"/>
    </xf>
    <xf numFmtId="0" fontId="21" fillId="0" borderId="10" xfId="0" applyFont="1" applyBorder="1" applyAlignment="1">
      <alignment horizontal="justify" vertical="center" wrapText="1"/>
    </xf>
    <xf numFmtId="0" fontId="23" fillId="0" borderId="16" xfId="0" applyFont="1" applyBorder="1" applyAlignment="1">
      <alignment horizontal="justify" vertical="center" wrapText="1"/>
    </xf>
    <xf numFmtId="0" fontId="23" fillId="0" borderId="15" xfId="0" applyFont="1" applyBorder="1" applyAlignment="1">
      <alignment horizontal="justify" vertical="center" wrapText="1"/>
    </xf>
    <xf numFmtId="0" fontId="23" fillId="0" borderId="22" xfId="0" applyFont="1" applyBorder="1" applyAlignment="1">
      <alignment horizontal="justify" vertical="center" wrapText="1"/>
    </xf>
    <xf numFmtId="0" fontId="21" fillId="30" borderId="0" xfId="0" applyFont="1" applyFill="1" applyAlignment="1">
      <alignment horizontal="left" vertical="center"/>
    </xf>
    <xf numFmtId="0" fontId="35" fillId="25" borderId="16"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54" fillId="29" borderId="30" xfId="44" applyFont="1" applyFill="1" applyBorder="1" applyAlignment="1">
      <alignment horizontal="justify" vertical="center" wrapText="1"/>
    </xf>
    <xf numFmtId="0" fontId="54" fillId="29" borderId="31" xfId="44" applyFont="1" applyFill="1" applyBorder="1" applyAlignment="1">
      <alignment horizontal="justify" vertical="center" wrapText="1"/>
    </xf>
    <xf numFmtId="0" fontId="54" fillId="29" borderId="30" xfId="44" applyFont="1" applyFill="1" applyBorder="1" applyAlignment="1">
      <alignment horizontal="left" vertical="center" wrapText="1"/>
    </xf>
    <xf numFmtId="0" fontId="54" fillId="29" borderId="31" xfId="44" applyFont="1" applyFill="1" applyBorder="1" applyAlignment="1">
      <alignment horizontal="left" vertical="center" wrapText="1"/>
    </xf>
    <xf numFmtId="0" fontId="54" fillId="35" borderId="10" xfId="44" applyFont="1" applyFill="1" applyBorder="1" applyAlignment="1">
      <alignment horizontal="center" vertical="center"/>
    </xf>
    <xf numFmtId="0" fontId="54" fillId="35" borderId="10" xfId="44" applyFont="1" applyFill="1" applyBorder="1" applyAlignment="1">
      <alignment horizontal="justify" vertical="center" wrapText="1"/>
    </xf>
    <xf numFmtId="0" fontId="54" fillId="35" borderId="16" xfId="44" applyFont="1" applyFill="1" applyBorder="1" applyAlignment="1">
      <alignment horizontal="center" vertical="center" wrapText="1"/>
    </xf>
    <xf numFmtId="0" fontId="54" fillId="35" borderId="22" xfId="44" applyFont="1" applyFill="1" applyBorder="1" applyAlignment="1">
      <alignment horizontal="center" vertical="center" wrapText="1"/>
    </xf>
  </cellXfs>
  <cellStyles count="4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Explanatory Text 2" xfId="29" xr:uid="{00000000-0005-0000-0000-00001B000000}"/>
    <cellStyle name="Good 2" xfId="30" xr:uid="{00000000-0005-0000-0000-00001C000000}"/>
    <cellStyle name="Heading 1 2" xfId="31" xr:uid="{00000000-0005-0000-0000-00001D000000}"/>
    <cellStyle name="Heading 2 2" xfId="32" xr:uid="{00000000-0005-0000-0000-00001E000000}"/>
    <cellStyle name="Heading 3 2" xfId="33" xr:uid="{00000000-0005-0000-0000-00001F000000}"/>
    <cellStyle name="Heading 4 2" xfId="34" xr:uid="{00000000-0005-0000-0000-000020000000}"/>
    <cellStyle name="Input 2" xfId="35" xr:uid="{00000000-0005-0000-0000-000021000000}"/>
    <cellStyle name="Linked Cell 2" xfId="36" xr:uid="{00000000-0005-0000-0000-000022000000}"/>
    <cellStyle name="Moeda" xfId="47" builtinId="4"/>
    <cellStyle name="Neutral 2" xfId="37" xr:uid="{00000000-0005-0000-0000-000024000000}"/>
    <cellStyle name="Normal" xfId="0" builtinId="0"/>
    <cellStyle name="Normal 2" xfId="38" xr:uid="{00000000-0005-0000-0000-000026000000}"/>
    <cellStyle name="Normal 2 2" xfId="44" xr:uid="{00000000-0005-0000-0000-000027000000}"/>
    <cellStyle name="Normal 3" xfId="1" xr:uid="{00000000-0005-0000-0000-000028000000}"/>
    <cellStyle name="Note 2" xfId="39" xr:uid="{00000000-0005-0000-0000-000029000000}"/>
    <cellStyle name="Note 2 2" xfId="45" xr:uid="{00000000-0005-0000-0000-00002A000000}"/>
    <cellStyle name="Output 2" xfId="40" xr:uid="{00000000-0005-0000-0000-00002B000000}"/>
    <cellStyle name="Porcentagem" xfId="48" builtinId="5"/>
    <cellStyle name="Title 2" xfId="41" xr:uid="{00000000-0005-0000-0000-00002D000000}"/>
    <cellStyle name="Total 2" xfId="42" xr:uid="{00000000-0005-0000-0000-00002E000000}"/>
    <cellStyle name="Vírgula" xfId="46" builtinId="3"/>
    <cellStyle name="Warning Text 2" xfId="43" xr:uid="{00000000-0005-0000-0000-000030000000}"/>
  </cellStyles>
  <dxfs count="0"/>
  <tableStyles count="0" defaultTableStyle="TableStyleMedium9"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26" Type="http://schemas.openxmlformats.org/officeDocument/2006/relationships/customXml" Target="../customXml/item6.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ustomXml" Target="../customXml/item3.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A-IN&#205;CIO'!A1"/><Relationship Id="rId5" Type="http://schemas.openxmlformats.org/officeDocument/2006/relationships/image" Target="cid:image003.png@01D0779C.E4C95E30"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237567</xdr:colOff>
      <xdr:row>5</xdr:row>
      <xdr:rowOff>65995</xdr:rowOff>
    </xdr:from>
    <xdr:to>
      <xdr:col>11</xdr:col>
      <xdr:colOff>456455</xdr:colOff>
      <xdr:row>7</xdr:row>
      <xdr:rowOff>127119</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25567717" y="1050245"/>
          <a:ext cx="2142938" cy="454824"/>
        </a:xfrm>
        <a:prstGeom prst="rect">
          <a:avLst/>
        </a:prstGeom>
      </xdr:spPr>
    </xdr:pic>
    <xdr:clientData/>
  </xdr:twoCellAnchor>
  <xdr:twoCellAnchor editAs="oneCell">
    <xdr:from>
      <xdr:col>12</xdr:col>
      <xdr:colOff>424688</xdr:colOff>
      <xdr:row>5</xdr:row>
      <xdr:rowOff>79560</xdr:rowOff>
    </xdr:from>
    <xdr:to>
      <xdr:col>12</xdr:col>
      <xdr:colOff>607558</xdr:colOff>
      <xdr:row>7</xdr:row>
      <xdr:rowOff>163921</xdr:rowOff>
    </xdr:to>
    <xdr:pic>
      <xdr:nvPicPr>
        <xdr:cNvPr id="3" name="Imagem 3">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28009088" y="1063810"/>
          <a:ext cx="398770" cy="478061"/>
        </a:xfrm>
        <a:prstGeom prst="rect">
          <a:avLst/>
        </a:prstGeom>
      </xdr:spPr>
    </xdr:pic>
    <xdr:clientData/>
  </xdr:twoCellAnchor>
  <xdr:twoCellAnchor>
    <xdr:from>
      <xdr:col>0</xdr:col>
      <xdr:colOff>0</xdr:colOff>
      <xdr:row>2</xdr:row>
      <xdr:rowOff>0</xdr:rowOff>
    </xdr:from>
    <xdr:to>
      <xdr:col>0</xdr:col>
      <xdr:colOff>1200150</xdr:colOff>
      <xdr:row>4</xdr:row>
      <xdr:rowOff>114300</xdr:rowOff>
    </xdr:to>
    <xdr:pic>
      <xdr:nvPicPr>
        <xdr:cNvPr id="4" name="Picture 3" descr="cid:image003.png@01D0779C.E4C95E30">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0" y="393700"/>
          <a:ext cx="1200150" cy="50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o/Downloads/EAP%20Atualizada_PEP_POA_19_02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abio/AppData/Local/Temp/EAP%20Atualizada_PEP_POA_19_02_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vento%20prefeitor/Downloads/EAP%20Atualizada_PEP_POA_16_02_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PEP%20POA%20PFC%20VERS&#195;O%20FINAL%20FEV%2019\EAP%20Atualizada_PEP_POA_19_02_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PEP%20POA%20PFC%20VERS&#195;O%20FINAL%20FEV%2019\EAP%20Atualizada%20-%20PEP-POA%20-%20VERS&#195;O%2030.01.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os%202019/Engenharia%202019/Prefeituras%202019/PMJP%202019/PLANEJAMENTO%20PROGRAMA/EAP%20Atualizada%20-%20PEP%20POA%20-%202018%20ROP%2008%2002%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HUGO/AppData/Roaming/Microsoft/Excel/EAP%20Atualizada%20-%20PEP-POA%20-%20VERS&#195;O%2030.01%20(version%201).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evento%20prefeitor/Downloads/PLANO%20DE%20AQUISI&#199;&#213;ES%2018%20MESES%20JP%20Final%20%2010.04.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cit e atendimento"/>
      <sheetName val="Exemplo preenchimento"/>
      <sheetName val="modificado"/>
      <sheetName val="modificado (2)"/>
      <sheetName val="modificado (3)"/>
      <sheetName val="preliminar costos"/>
      <sheetName val="Sheet1"/>
      <sheetName val="PFC"/>
      <sheetName val="PEP US$"/>
      <sheetName val="ORÇAMENTO PROGRAMA R$"/>
      <sheetName val="ORÇAMENTO US$ condensado"/>
      <sheetName val="ORÇAMENTO PROGRAMA R$ RODRIGO"/>
      <sheetName val="pdrr"/>
      <sheetName val="POA ANUAL"/>
      <sheetName val="matriz produto valor"/>
      <sheetName val="EA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7">
          <cell r="E7">
            <v>1093750</v>
          </cell>
        </row>
        <row r="8">
          <cell r="E8">
            <v>1093750</v>
          </cell>
        </row>
        <row r="9">
          <cell r="E9">
            <v>846875</v>
          </cell>
        </row>
        <row r="10">
          <cell r="E10">
            <v>234375</v>
          </cell>
        </row>
        <row r="11">
          <cell r="C11">
            <v>21934375</v>
          </cell>
          <cell r="E11">
            <v>27629000</v>
          </cell>
        </row>
        <row r="12">
          <cell r="P12">
            <v>93750</v>
          </cell>
        </row>
        <row r="19">
          <cell r="E19">
            <v>4288375</v>
          </cell>
        </row>
        <row r="20">
          <cell r="E20">
            <v>57562500</v>
          </cell>
        </row>
        <row r="28">
          <cell r="D28">
            <v>21108656.25</v>
          </cell>
          <cell r="E28">
            <v>28969235.9375</v>
          </cell>
        </row>
        <row r="32">
          <cell r="C32">
            <v>6250000</v>
          </cell>
          <cell r="E32">
            <v>13710937.5</v>
          </cell>
        </row>
        <row r="33">
          <cell r="E33">
            <v>5301562.5</v>
          </cell>
        </row>
        <row r="34">
          <cell r="C34">
            <v>1562500</v>
          </cell>
          <cell r="E34">
            <v>3125000</v>
          </cell>
        </row>
        <row r="35">
          <cell r="E35">
            <v>640796.875</v>
          </cell>
        </row>
        <row r="38">
          <cell r="E38">
            <v>187500</v>
          </cell>
        </row>
        <row r="42">
          <cell r="C42">
            <v>7118748.4375</v>
          </cell>
          <cell r="E42">
            <v>11806248.4375</v>
          </cell>
        </row>
        <row r="46">
          <cell r="E46">
            <v>1250000</v>
          </cell>
        </row>
        <row r="48">
          <cell r="E48">
            <v>1562500</v>
          </cell>
        </row>
        <row r="70">
          <cell r="E70">
            <v>4450000</v>
          </cell>
        </row>
        <row r="71">
          <cell r="E71">
            <v>550000</v>
          </cell>
        </row>
        <row r="73">
          <cell r="E73">
            <v>1923281.25</v>
          </cell>
        </row>
        <row r="74">
          <cell r="E74">
            <v>1812500</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cit e atendimento"/>
      <sheetName val="Exemplo preenchimento"/>
      <sheetName val="modificado"/>
      <sheetName val="modificado (2)"/>
      <sheetName val="modificado (3)"/>
      <sheetName val="preliminar costos"/>
      <sheetName val="Sheet1"/>
      <sheetName val="PFC"/>
      <sheetName val="PEP US$"/>
      <sheetName val="ORÇAMENTO PROGRAMA R$"/>
      <sheetName val="ORÇAMENTO US$ condensado"/>
      <sheetName val="ORÇAMENTO PROGRAMA R$ RODRIGO"/>
      <sheetName val="pdrr"/>
      <sheetName val="POA ANUAL"/>
      <sheetName val="matriz produto valor"/>
      <sheetName val="EAP"/>
    </sheetNames>
    <sheetDataSet>
      <sheetData sheetId="0"/>
      <sheetData sheetId="1"/>
      <sheetData sheetId="2"/>
      <sheetData sheetId="3"/>
      <sheetData sheetId="4"/>
      <sheetData sheetId="5"/>
      <sheetData sheetId="6"/>
      <sheetData sheetId="7"/>
      <sheetData sheetId="8">
        <row r="7">
          <cell r="E7">
            <v>1093750</v>
          </cell>
        </row>
        <row r="28">
          <cell r="C28">
            <v>7860579.6875</v>
          </cell>
        </row>
        <row r="47">
          <cell r="E47">
            <v>1562500</v>
          </cell>
        </row>
      </sheetData>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cit e atendimento"/>
      <sheetName val="Exemplo preenchimento"/>
      <sheetName val="modificado"/>
      <sheetName val="modificado (2)"/>
      <sheetName val="modificado (3)"/>
      <sheetName val="preliminar costos"/>
      <sheetName val="Sheet1"/>
      <sheetName val="PFC"/>
      <sheetName val="PEP US$"/>
      <sheetName val="ORÇAMENTO PROGRAMA R$"/>
      <sheetName val="ORÇAMENTO US$ condensado"/>
      <sheetName val="ORÇAMENTO PROGRAMA R$ RODRIGO"/>
      <sheetName val="pdrr"/>
      <sheetName val="POA ANUAL"/>
      <sheetName val="matriz produto valor"/>
      <sheetName val="EA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7">
          <cell r="E7">
            <v>1093750</v>
          </cell>
        </row>
        <row r="11">
          <cell r="N11">
            <v>156250</v>
          </cell>
          <cell r="P11">
            <v>93750</v>
          </cell>
          <cell r="Q11">
            <v>1218750</v>
          </cell>
        </row>
        <row r="39">
          <cell r="E39">
            <v>703125</v>
          </cell>
        </row>
        <row r="41">
          <cell r="E41">
            <v>345312.5</v>
          </cell>
        </row>
        <row r="49">
          <cell r="E49">
            <v>737500</v>
          </cell>
        </row>
        <row r="52">
          <cell r="E52">
            <v>1750000</v>
          </cell>
        </row>
        <row r="53">
          <cell r="E53">
            <v>937500</v>
          </cell>
        </row>
        <row r="54">
          <cell r="E54">
            <v>843750</v>
          </cell>
        </row>
        <row r="55">
          <cell r="E55">
            <v>4071875</v>
          </cell>
        </row>
        <row r="57">
          <cell r="E57">
            <v>5893750</v>
          </cell>
        </row>
        <row r="59">
          <cell r="E59">
            <v>2362500</v>
          </cell>
        </row>
        <row r="60">
          <cell r="E60">
            <v>1153312.5</v>
          </cell>
        </row>
        <row r="61">
          <cell r="E61">
            <v>656250</v>
          </cell>
        </row>
        <row r="62">
          <cell r="E62">
            <v>100000</v>
          </cell>
        </row>
        <row r="63">
          <cell r="E63">
            <v>1031250</v>
          </cell>
        </row>
        <row r="64">
          <cell r="E64">
            <v>3559375</v>
          </cell>
        </row>
        <row r="65">
          <cell r="E65">
            <v>710937.5</v>
          </cell>
        </row>
        <row r="66">
          <cell r="E66">
            <v>1353125</v>
          </cell>
        </row>
        <row r="67">
          <cell r="E67">
            <v>228125</v>
          </cell>
        </row>
        <row r="72">
          <cell r="E72">
            <v>840625</v>
          </cell>
        </row>
        <row r="75">
          <cell r="C75">
            <v>156250</v>
          </cell>
        </row>
        <row r="76">
          <cell r="C76">
            <v>312500</v>
          </cell>
        </row>
        <row r="78">
          <cell r="E78">
            <v>300000</v>
          </cell>
        </row>
        <row r="79">
          <cell r="E79">
            <v>450000</v>
          </cell>
        </row>
        <row r="80">
          <cell r="E80">
            <v>450000</v>
          </cell>
        </row>
        <row r="81">
          <cell r="E81">
            <v>312500</v>
          </cell>
        </row>
        <row r="82">
          <cell r="E82">
            <v>400000</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deficit e atendimento"/>
      <sheetName val="Exemplo preenchimento"/>
      <sheetName val="modificado"/>
      <sheetName val="modificado (2)"/>
      <sheetName val="modificado (3)"/>
      <sheetName val="preliminar costos"/>
      <sheetName val="Sheet1"/>
      <sheetName val="PFC"/>
      <sheetName val="PEP US$"/>
      <sheetName val="ORÇAMENTO PROGRAMA R$"/>
      <sheetName val="ORÇAMENTO US$ condensado"/>
      <sheetName val="ORÇAMENTO PROGRAMA R$ RODRIGO"/>
      <sheetName val="pdrr"/>
      <sheetName val="POA ANUAL"/>
      <sheetName val="matriz produto valor"/>
      <sheetName val="EA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7">
          <cell r="E37">
            <v>4375000</v>
          </cell>
        </row>
        <row r="40">
          <cell r="E40">
            <v>450000</v>
          </cell>
        </row>
      </sheetData>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cit e atendimento"/>
      <sheetName val="Exemplo preenchimento"/>
      <sheetName val="modificado"/>
      <sheetName val="modificado (2)"/>
      <sheetName val="modificado (3)"/>
      <sheetName val="preliminar costos"/>
      <sheetName val="Sheet1"/>
      <sheetName val="PEP US$"/>
      <sheetName val="INFORMATIVO PA"/>
      <sheetName val="EAP"/>
      <sheetName val="ORÇAMENTO PROGRAMA R$"/>
      <sheetName val="ORÇAMENTO US$ condensado"/>
      <sheetName val="pdrr"/>
      <sheetName val="POA ANUAL"/>
      <sheetName val="matriz produto valor"/>
    </sheetNames>
    <sheetDataSet>
      <sheetData sheetId="0"/>
      <sheetData sheetId="1"/>
      <sheetData sheetId="2"/>
      <sheetData sheetId="3"/>
      <sheetData sheetId="4"/>
      <sheetData sheetId="5"/>
      <sheetData sheetId="6"/>
      <sheetData sheetId="7">
        <row r="39">
          <cell r="E39">
            <v>4375000</v>
          </cell>
        </row>
        <row r="40">
          <cell r="E40">
            <v>187500</v>
          </cell>
        </row>
        <row r="41">
          <cell r="E41">
            <v>234375</v>
          </cell>
        </row>
        <row r="42">
          <cell r="E42">
            <v>450000</v>
          </cell>
        </row>
      </sheetData>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cit e atendimento"/>
      <sheetName val="Exemplo preenchimento"/>
      <sheetName val="modificado"/>
      <sheetName val="modificado (2)"/>
      <sheetName val="modificado (3)"/>
      <sheetName val="preliminar costos"/>
      <sheetName val="Sheet1"/>
      <sheetName val="PFC"/>
      <sheetName val="PEP US$"/>
      <sheetName val="ORÇAMENTO PROGRAMA R$"/>
      <sheetName val="ORÇAMENTO US$ condensado"/>
      <sheetName val="pdrr"/>
      <sheetName val="POA ANUAL"/>
      <sheetName val="EAP"/>
      <sheetName val="matriz produto valor"/>
    </sheetNames>
    <sheetDataSet>
      <sheetData sheetId="0"/>
      <sheetData sheetId="1"/>
      <sheetData sheetId="2"/>
      <sheetData sheetId="3"/>
      <sheetData sheetId="4"/>
      <sheetData sheetId="5"/>
      <sheetData sheetId="6"/>
      <sheetData sheetId="7"/>
      <sheetData sheetId="8">
        <row r="7">
          <cell r="N7">
            <v>109375</v>
          </cell>
          <cell r="Q7">
            <v>492187.5</v>
          </cell>
        </row>
        <row r="8">
          <cell r="N8">
            <v>46875</v>
          </cell>
          <cell r="Q8">
            <v>210937.5</v>
          </cell>
        </row>
        <row r="9">
          <cell r="N9">
            <v>0</v>
          </cell>
          <cell r="Q9">
            <v>0</v>
          </cell>
        </row>
        <row r="10">
          <cell r="N10">
            <v>62500</v>
          </cell>
          <cell r="Q10">
            <v>281250</v>
          </cell>
        </row>
        <row r="11">
          <cell r="N11">
            <v>53437.5</v>
          </cell>
          <cell r="Q11">
            <v>120234.375</v>
          </cell>
        </row>
        <row r="12">
          <cell r="N12">
            <v>46875</v>
          </cell>
          <cell r="Q12">
            <v>93750</v>
          </cell>
        </row>
        <row r="13">
          <cell r="Q13">
            <v>78125</v>
          </cell>
        </row>
        <row r="37">
          <cell r="N37">
            <v>90000</v>
          </cell>
          <cell r="Q37">
            <v>281250</v>
          </cell>
        </row>
        <row r="43">
          <cell r="N43">
            <v>965312.421875</v>
          </cell>
          <cell r="Q43">
            <v>1531250</v>
          </cell>
        </row>
        <row r="47">
          <cell r="N47">
            <v>312500</v>
          </cell>
          <cell r="Q47">
            <v>468750</v>
          </cell>
        </row>
        <row r="48">
          <cell r="N48">
            <v>312500</v>
          </cell>
          <cell r="Q48">
            <v>625000</v>
          </cell>
        </row>
        <row r="49">
          <cell r="N49">
            <v>0</v>
          </cell>
          <cell r="Q49">
            <v>0</v>
          </cell>
        </row>
        <row r="50">
          <cell r="N50">
            <v>375000</v>
          </cell>
          <cell r="Q50">
            <v>362500</v>
          </cell>
        </row>
        <row r="53">
          <cell r="K53">
            <v>40625</v>
          </cell>
          <cell r="Q53">
            <v>40625</v>
          </cell>
        </row>
        <row r="73">
          <cell r="N73">
            <v>406250</v>
          </cell>
          <cell r="Q73">
            <v>312500</v>
          </cell>
        </row>
        <row r="75">
          <cell r="N75">
            <v>322156.25</v>
          </cell>
          <cell r="Q75">
            <v>161078.125</v>
          </cell>
        </row>
        <row r="76">
          <cell r="N76">
            <v>156250</v>
          </cell>
          <cell r="Q76">
            <v>165625</v>
          </cell>
        </row>
        <row r="77">
          <cell r="N77">
            <v>0</v>
          </cell>
          <cell r="Q77">
            <v>0</v>
          </cell>
        </row>
        <row r="78">
          <cell r="N78">
            <v>0</v>
          </cell>
          <cell r="Q78">
            <v>46875</v>
          </cell>
        </row>
        <row r="79">
          <cell r="N79">
            <v>231250</v>
          </cell>
          <cell r="Q79">
            <v>231250</v>
          </cell>
        </row>
        <row r="87">
          <cell r="N87">
            <v>21718578.046875</v>
          </cell>
          <cell r="Q87">
            <v>17205197.792428751</v>
          </cell>
        </row>
      </sheetData>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cit e atendimento"/>
      <sheetName val="Exemplo preenchimento"/>
      <sheetName val="modificado"/>
      <sheetName val="modificado (2)"/>
      <sheetName val="modificado (3)"/>
      <sheetName val="preliminar costos"/>
      <sheetName val="Sheet1"/>
      <sheetName val="PEP US$"/>
      <sheetName val="INFORMATIVO PA"/>
      <sheetName val="EAP"/>
      <sheetName val="ORÇAMENTO PROGRAMA R$"/>
      <sheetName val="ORÇAMENTO US$ condensado"/>
      <sheetName val="pdrr"/>
      <sheetName val="POA ANUAL"/>
      <sheetName val="matriz produto valor"/>
    </sheetNames>
    <sheetDataSet>
      <sheetData sheetId="0"/>
      <sheetData sheetId="1"/>
      <sheetData sheetId="2"/>
      <sheetData sheetId="3"/>
      <sheetData sheetId="4"/>
      <sheetData sheetId="5"/>
      <sheetData sheetId="6"/>
      <sheetData sheetId="7">
        <row r="8">
          <cell r="N8">
            <v>234375</v>
          </cell>
        </row>
        <row r="43">
          <cell r="N43">
            <v>0</v>
          </cell>
          <cell r="Q43">
            <v>0</v>
          </cell>
        </row>
        <row r="54">
          <cell r="N54">
            <v>0</v>
          </cell>
          <cell r="Q54">
            <v>0</v>
          </cell>
        </row>
        <row r="59">
          <cell r="N59">
            <v>0</v>
          </cell>
          <cell r="Q59">
            <v>0</v>
          </cell>
        </row>
        <row r="64">
          <cell r="N64">
            <v>0</v>
          </cell>
          <cell r="Q64">
            <v>0</v>
          </cell>
        </row>
        <row r="67">
          <cell r="N67">
            <v>468750</v>
          </cell>
          <cell r="Q67">
            <v>625000</v>
          </cell>
        </row>
        <row r="68">
          <cell r="N68">
            <v>0</v>
          </cell>
          <cell r="Q68">
            <v>0</v>
          </cell>
        </row>
        <row r="84">
          <cell r="N84">
            <v>0</v>
          </cell>
          <cell r="Q84">
            <v>0</v>
          </cell>
        </row>
        <row r="85">
          <cell r="N85">
            <v>0</v>
          </cell>
          <cell r="Q85">
            <v>0</v>
          </cell>
        </row>
      </sheetData>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ções"/>
      <sheetName val="P.A. 18 MESES 020419"/>
      <sheetName val="INFORMATIVO 02 04 19"/>
      <sheetName val="P Aquisições TOTAL 01 04 19 nºA"/>
      <sheetName val="INFORMATIVO 31 01 19"/>
      <sheetName val="Sheet1"/>
      <sheetName val="PA 18 02 19 - 18 meses"/>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1"/>
  <sheetViews>
    <sheetView zoomScale="115" zoomScaleNormal="115" workbookViewId="0">
      <selection activeCell="C8" sqref="C8"/>
    </sheetView>
  </sheetViews>
  <sheetFormatPr defaultColWidth="9.140625" defaultRowHeight="15" x14ac:dyDescent="0.25"/>
  <cols>
    <col min="1" max="1" width="20.85546875" style="20" bestFit="1" customWidth="1"/>
    <col min="2" max="2" width="62.42578125" style="20" customWidth="1"/>
    <col min="3" max="3" width="57.140625" style="20" customWidth="1"/>
    <col min="4" max="4" width="9.140625" style="20"/>
    <col min="5" max="5" width="14.140625" style="20" customWidth="1"/>
    <col min="6" max="6" width="18" style="20" customWidth="1"/>
    <col min="7" max="7" width="78.5703125" style="20" customWidth="1"/>
    <col min="8" max="16384" width="9.140625" style="20"/>
  </cols>
  <sheetData>
    <row r="1" spans="1:3" ht="15" customHeight="1" x14ac:dyDescent="0.25"/>
    <row r="2" spans="1:3" ht="15" customHeight="1" x14ac:dyDescent="0.25"/>
    <row r="3" spans="1:3" ht="15" customHeight="1" x14ac:dyDescent="0.25"/>
    <row r="4" spans="1:3" ht="67.5" customHeight="1" x14ac:dyDescent="0.25">
      <c r="A4" s="437" t="s">
        <v>64</v>
      </c>
      <c r="B4" s="437"/>
      <c r="C4" s="437"/>
    </row>
    <row r="6" spans="1:3" ht="15.75" thickBot="1" x14ac:dyDescent="0.3"/>
    <row r="7" spans="1:3" ht="16.5" thickBot="1" x14ac:dyDescent="0.3">
      <c r="A7" s="21"/>
      <c r="B7" s="22" t="s">
        <v>60</v>
      </c>
      <c r="C7" s="21"/>
    </row>
    <row r="8" spans="1:3" ht="78" customHeight="1" x14ac:dyDescent="0.25">
      <c r="A8" s="23" t="s">
        <v>59</v>
      </c>
      <c r="B8" s="24" t="s">
        <v>117</v>
      </c>
      <c r="C8" s="21"/>
    </row>
    <row r="9" spans="1:3" ht="60.75" customHeight="1" x14ac:dyDescent="0.25">
      <c r="A9" s="25" t="s">
        <v>61</v>
      </c>
      <c r="B9" s="26" t="s">
        <v>118</v>
      </c>
      <c r="C9" s="21"/>
    </row>
    <row r="10" spans="1:3" x14ac:dyDescent="0.25">
      <c r="A10" s="27"/>
      <c r="B10" s="28"/>
      <c r="C10" s="21"/>
    </row>
    <row r="11" spans="1:3" ht="15.75" thickBot="1" x14ac:dyDescent="0.3">
      <c r="A11" s="29"/>
      <c r="B11" s="30"/>
      <c r="C11" s="21"/>
    </row>
    <row r="12" spans="1:3" ht="16.5" thickBot="1" x14ac:dyDescent="0.3">
      <c r="A12" s="2"/>
      <c r="B12" s="22" t="s">
        <v>63</v>
      </c>
      <c r="C12" s="21"/>
    </row>
    <row r="13" spans="1:3" ht="31.5" x14ac:dyDescent="0.25">
      <c r="A13" s="31" t="s">
        <v>119</v>
      </c>
      <c r="B13" s="32" t="s">
        <v>62</v>
      </c>
      <c r="C13" s="21"/>
    </row>
    <row r="14" spans="1:3" ht="16.5" thickBot="1" x14ac:dyDescent="0.3">
      <c r="A14" s="33" t="s">
        <v>23</v>
      </c>
      <c r="B14" s="34" t="s">
        <v>120</v>
      </c>
      <c r="C14" s="21"/>
    </row>
    <row r="15" spans="1:3" ht="16.5" thickBot="1" x14ac:dyDescent="0.3">
      <c r="A15" s="2"/>
      <c r="B15" s="2"/>
      <c r="C15" s="21"/>
    </row>
    <row r="16" spans="1:3" ht="16.5" thickBot="1" x14ac:dyDescent="0.3">
      <c r="A16" s="2"/>
      <c r="B16" s="22" t="s">
        <v>65</v>
      </c>
      <c r="C16" s="21"/>
    </row>
    <row r="17" spans="1:3" ht="15.75" x14ac:dyDescent="0.25">
      <c r="A17" s="441" t="s">
        <v>121</v>
      </c>
      <c r="B17" s="35" t="s">
        <v>4</v>
      </c>
      <c r="C17" s="21"/>
    </row>
    <row r="18" spans="1:3" ht="15.75" customHeight="1" x14ac:dyDescent="0.25">
      <c r="A18" s="442"/>
      <c r="B18" s="36" t="s">
        <v>2</v>
      </c>
      <c r="C18" s="21"/>
    </row>
    <row r="19" spans="1:3" ht="16.5" thickBot="1" x14ac:dyDescent="0.3">
      <c r="A19" s="443"/>
      <c r="B19" s="37" t="s">
        <v>3</v>
      </c>
      <c r="C19" s="21"/>
    </row>
    <row r="20" spans="1:3" ht="16.5" thickBot="1" x14ac:dyDescent="0.3">
      <c r="A20" s="2"/>
      <c r="B20" s="2"/>
      <c r="C20" s="21"/>
    </row>
    <row r="21" spans="1:3" ht="16.5" thickBot="1" x14ac:dyDescent="0.3">
      <c r="A21" s="38"/>
      <c r="B21" s="22" t="s">
        <v>65</v>
      </c>
      <c r="C21" s="21"/>
    </row>
    <row r="22" spans="1:3" ht="15.75" x14ac:dyDescent="0.25">
      <c r="A22" s="444" t="s">
        <v>15</v>
      </c>
      <c r="B22" s="35" t="s">
        <v>1</v>
      </c>
      <c r="C22" s="21"/>
    </row>
    <row r="23" spans="1:3" ht="15.75" x14ac:dyDescent="0.25">
      <c r="A23" s="445"/>
      <c r="B23" s="36" t="s">
        <v>58</v>
      </c>
      <c r="C23" s="21"/>
    </row>
    <row r="24" spans="1:3" ht="15.75" x14ac:dyDescent="0.25">
      <c r="A24" s="445"/>
      <c r="B24" s="36" t="s">
        <v>38</v>
      </c>
      <c r="C24" s="21"/>
    </row>
    <row r="25" spans="1:3" ht="15.75" x14ac:dyDescent="0.25">
      <c r="A25" s="445"/>
      <c r="B25" s="36" t="s">
        <v>6</v>
      </c>
      <c r="C25" s="21"/>
    </row>
    <row r="26" spans="1:3" ht="15.75" x14ac:dyDescent="0.25">
      <c r="A26" s="445"/>
      <c r="B26" s="36" t="s">
        <v>67</v>
      </c>
      <c r="C26" s="21"/>
    </row>
    <row r="27" spans="1:3" ht="15.75" x14ac:dyDescent="0.25">
      <c r="A27" s="445"/>
      <c r="B27" s="36" t="s">
        <v>53</v>
      </c>
      <c r="C27" s="21"/>
    </row>
    <row r="28" spans="1:3" ht="15" customHeight="1" x14ac:dyDescent="0.25">
      <c r="A28" s="445"/>
      <c r="B28" s="36" t="s">
        <v>17</v>
      </c>
      <c r="C28" s="21"/>
    </row>
    <row r="29" spans="1:3" ht="16.5" thickBot="1" x14ac:dyDescent="0.3">
      <c r="A29" s="446"/>
      <c r="B29" s="39" t="s">
        <v>66</v>
      </c>
      <c r="C29" s="21"/>
    </row>
    <row r="30" spans="1:3" ht="15.75" thickBot="1" x14ac:dyDescent="0.3">
      <c r="A30" s="21"/>
      <c r="B30" s="21"/>
      <c r="C30" s="21"/>
    </row>
    <row r="31" spans="1:3" ht="16.5" thickBot="1" x14ac:dyDescent="0.3">
      <c r="A31" s="2"/>
      <c r="B31" s="22" t="s">
        <v>22</v>
      </c>
      <c r="C31" s="22" t="s">
        <v>21</v>
      </c>
    </row>
    <row r="32" spans="1:3" ht="15.75" x14ac:dyDescent="0.25">
      <c r="A32" s="447" t="s">
        <v>57</v>
      </c>
      <c r="B32" s="450" t="s">
        <v>68</v>
      </c>
      <c r="C32" s="40" t="s">
        <v>29</v>
      </c>
    </row>
    <row r="33" spans="1:3" ht="15.75" x14ac:dyDescent="0.25">
      <c r="A33" s="448"/>
      <c r="B33" s="450"/>
      <c r="C33" s="41" t="s">
        <v>30</v>
      </c>
    </row>
    <row r="34" spans="1:3" ht="15.75" x14ac:dyDescent="0.25">
      <c r="A34" s="448"/>
      <c r="B34" s="450"/>
      <c r="C34" s="41" t="s">
        <v>14</v>
      </c>
    </row>
    <row r="35" spans="1:3" ht="15.75" x14ac:dyDescent="0.25">
      <c r="A35" s="448"/>
      <c r="B35" s="450"/>
      <c r="C35" s="41" t="s">
        <v>31</v>
      </c>
    </row>
    <row r="36" spans="1:3" ht="15.75" x14ac:dyDescent="0.25">
      <c r="A36" s="448"/>
      <c r="B36" s="450"/>
      <c r="C36" s="41" t="s">
        <v>34</v>
      </c>
    </row>
    <row r="37" spans="1:3" ht="15.75" x14ac:dyDescent="0.25">
      <c r="A37" s="448"/>
      <c r="B37" s="450"/>
      <c r="C37" s="41" t="s">
        <v>32</v>
      </c>
    </row>
    <row r="38" spans="1:3" ht="15.75" x14ac:dyDescent="0.25">
      <c r="A38" s="448"/>
      <c r="B38" s="451"/>
      <c r="C38" s="41" t="s">
        <v>33</v>
      </c>
    </row>
    <row r="39" spans="1:3" ht="15.75" x14ac:dyDescent="0.25">
      <c r="A39" s="448"/>
      <c r="B39" s="438" t="s">
        <v>56</v>
      </c>
      <c r="C39" s="41" t="s">
        <v>35</v>
      </c>
    </row>
    <row r="40" spans="1:3" ht="15.75" x14ac:dyDescent="0.25">
      <c r="A40" s="448"/>
      <c r="B40" s="439"/>
      <c r="C40" s="41" t="s">
        <v>36</v>
      </c>
    </row>
    <row r="41" spans="1:3" ht="15.75" x14ac:dyDescent="0.25">
      <c r="A41" s="448"/>
      <c r="B41" s="439"/>
      <c r="C41" s="41" t="s">
        <v>37</v>
      </c>
    </row>
    <row r="42" spans="1:3" ht="15.75" x14ac:dyDescent="0.25">
      <c r="A42" s="448"/>
      <c r="B42" s="439"/>
      <c r="C42" s="41" t="s">
        <v>31</v>
      </c>
    </row>
    <row r="43" spans="1:3" ht="15.75" x14ac:dyDescent="0.25">
      <c r="A43" s="448"/>
      <c r="B43" s="439"/>
      <c r="C43" s="41" t="s">
        <v>34</v>
      </c>
    </row>
    <row r="44" spans="1:3" ht="15.75" x14ac:dyDescent="0.25">
      <c r="A44" s="448"/>
      <c r="B44" s="439"/>
      <c r="C44" s="41" t="s">
        <v>122</v>
      </c>
    </row>
    <row r="45" spans="1:3" ht="15.75" x14ac:dyDescent="0.25">
      <c r="A45" s="448"/>
      <c r="B45" s="439"/>
      <c r="C45" s="41" t="s">
        <v>79</v>
      </c>
    </row>
    <row r="46" spans="1:3" ht="15.75" x14ac:dyDescent="0.25">
      <c r="A46" s="448"/>
      <c r="B46" s="439"/>
      <c r="C46" s="41" t="s">
        <v>55</v>
      </c>
    </row>
    <row r="47" spans="1:3" ht="15.75" x14ac:dyDescent="0.25">
      <c r="A47" s="448"/>
      <c r="B47" s="439"/>
      <c r="C47" s="41" t="s">
        <v>5</v>
      </c>
    </row>
    <row r="48" spans="1:3" ht="15.75" x14ac:dyDescent="0.25">
      <c r="A48" s="448"/>
      <c r="B48" s="440"/>
      <c r="C48" s="41" t="s">
        <v>13</v>
      </c>
    </row>
    <row r="49" spans="1:3" ht="15.75" x14ac:dyDescent="0.25">
      <c r="A49" s="448"/>
      <c r="B49" s="438" t="s">
        <v>16</v>
      </c>
      <c r="C49" s="41" t="s">
        <v>69</v>
      </c>
    </row>
    <row r="50" spans="1:3" ht="15.75" x14ac:dyDescent="0.25">
      <c r="A50" s="448"/>
      <c r="B50" s="439"/>
      <c r="C50" s="41" t="s">
        <v>31</v>
      </c>
    </row>
    <row r="51" spans="1:3" ht="15.75" x14ac:dyDescent="0.25">
      <c r="A51" s="449"/>
      <c r="B51" s="440"/>
      <c r="C51" s="41" t="s">
        <v>34</v>
      </c>
    </row>
    <row r="52" spans="1:3" x14ac:dyDescent="0.25">
      <c r="C52" s="42"/>
    </row>
    <row r="53" spans="1:3" ht="16.5" thickBot="1" x14ac:dyDescent="0.3">
      <c r="A53" s="2"/>
      <c r="B53" s="2"/>
      <c r="C53" s="42"/>
    </row>
    <row r="54" spans="1:3" ht="16.5" thickBot="1" x14ac:dyDescent="0.3">
      <c r="A54" s="2"/>
      <c r="B54" s="22" t="s">
        <v>40</v>
      </c>
    </row>
    <row r="55" spans="1:3" ht="15.6" customHeight="1" x14ac:dyDescent="0.25">
      <c r="A55" s="436" t="s">
        <v>124</v>
      </c>
      <c r="B55" s="40" t="s">
        <v>39</v>
      </c>
    </row>
    <row r="56" spans="1:3" ht="15.75" x14ac:dyDescent="0.25">
      <c r="A56" s="436"/>
      <c r="B56" s="41" t="s">
        <v>70</v>
      </c>
    </row>
    <row r="57" spans="1:3" ht="15.75" x14ac:dyDescent="0.25">
      <c r="A57" s="436"/>
      <c r="B57" s="41" t="s">
        <v>71</v>
      </c>
    </row>
    <row r="58" spans="1:3" ht="15.75" x14ac:dyDescent="0.25">
      <c r="A58" s="436"/>
      <c r="B58" s="41" t="s">
        <v>123</v>
      </c>
    </row>
    <row r="59" spans="1:3" ht="15.75" x14ac:dyDescent="0.25">
      <c r="A59" s="436"/>
      <c r="B59" s="41" t="s">
        <v>72</v>
      </c>
    </row>
    <row r="60" spans="1:3" ht="15.75" x14ac:dyDescent="0.25">
      <c r="A60" s="436"/>
      <c r="B60" s="41" t="s">
        <v>73</v>
      </c>
    </row>
    <row r="61" spans="1:3" ht="15.75" x14ac:dyDescent="0.25">
      <c r="A61" s="436"/>
      <c r="B61" s="41" t="s">
        <v>82</v>
      </c>
    </row>
  </sheetData>
  <mergeCells count="8">
    <mergeCell ref="A55:A61"/>
    <mergeCell ref="A4:C4"/>
    <mergeCell ref="B49:B51"/>
    <mergeCell ref="A17:A19"/>
    <mergeCell ref="A22:A29"/>
    <mergeCell ref="A32:A51"/>
    <mergeCell ref="B32:B38"/>
    <mergeCell ref="B39:B4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J147"/>
  <sheetViews>
    <sheetView view="pageBreakPreview" topLeftCell="B7" zoomScale="40" zoomScaleNormal="40" zoomScaleSheetLayoutView="40" workbookViewId="0">
      <pane ySplit="3" topLeftCell="A88" activePane="bottomLeft" state="frozen"/>
      <selection activeCell="A7" sqref="A7"/>
      <selection pane="bottomLeft" activeCell="G7" sqref="G7"/>
    </sheetView>
  </sheetViews>
  <sheetFormatPr defaultColWidth="8.7109375" defaultRowHeight="15.75" x14ac:dyDescent="0.25"/>
  <cols>
    <col min="1" max="1" width="9" style="200" hidden="1" customWidth="1"/>
    <col min="2" max="2" width="8.28515625" style="200" customWidth="1"/>
    <col min="3" max="3" width="19.28515625" style="200" customWidth="1"/>
    <col min="4" max="4" width="44" style="304" customWidth="1"/>
    <col min="5" max="5" width="73.140625" style="304" customWidth="1"/>
    <col min="6" max="6" width="53.7109375" style="304" customWidth="1"/>
    <col min="7" max="7" width="32.28515625" style="304" customWidth="1"/>
    <col min="8" max="8" width="13.85546875" style="200" hidden="1" customWidth="1"/>
    <col min="9" max="9" width="12.42578125" style="6" hidden="1" customWidth="1"/>
    <col min="10" max="10" width="34.42578125" style="305" bestFit="1" customWidth="1"/>
    <col min="11" max="11" width="22.140625" style="306" bestFit="1" customWidth="1"/>
    <col min="12" max="12" width="25.7109375" style="306" customWidth="1"/>
    <col min="13" max="13" width="25.42578125" style="6" customWidth="1"/>
    <col min="14" max="14" width="21.42578125" style="200" customWidth="1"/>
    <col min="15" max="15" width="22.28515625" style="200" customWidth="1"/>
    <col min="16" max="16" width="26.28515625" style="200" customWidth="1"/>
    <col min="17" max="17" width="23.42578125" style="200" customWidth="1"/>
    <col min="18" max="18" width="18.85546875" style="6" hidden="1" customWidth="1"/>
    <col min="19" max="19" width="18.85546875" style="6" customWidth="1"/>
    <col min="20" max="20" width="24.85546875" style="200" customWidth="1"/>
    <col min="21" max="36" width="8.7109375" style="93"/>
    <col min="37" max="16384" width="8.7109375" style="6"/>
  </cols>
  <sheetData>
    <row r="1" spans="1:26" s="93" customFormat="1" x14ac:dyDescent="0.25">
      <c r="A1" s="199"/>
      <c r="B1" s="199"/>
      <c r="C1" s="199"/>
      <c r="D1" s="271"/>
      <c r="E1" s="271"/>
      <c r="F1" s="271"/>
      <c r="G1" s="271"/>
      <c r="H1" s="199"/>
      <c r="J1" s="272"/>
      <c r="K1" s="273"/>
      <c r="L1" s="273"/>
      <c r="N1" s="199"/>
      <c r="O1" s="274"/>
      <c r="P1" s="274"/>
      <c r="Q1" s="199"/>
      <c r="T1" s="199"/>
      <c r="Y1" s="455"/>
      <c r="Z1" s="456"/>
    </row>
    <row r="2" spans="1:26" s="93" customFormat="1" x14ac:dyDescent="0.25">
      <c r="A2" s="199"/>
      <c r="B2" s="199"/>
      <c r="C2" s="457" t="s">
        <v>19</v>
      </c>
      <c r="D2" s="457"/>
      <c r="E2" s="457"/>
      <c r="F2" s="68"/>
      <c r="G2" s="271"/>
      <c r="H2" s="199"/>
      <c r="J2" s="272"/>
      <c r="K2" s="273"/>
      <c r="L2" s="273"/>
      <c r="N2" s="199"/>
      <c r="O2" s="199"/>
      <c r="P2" s="199"/>
      <c r="Q2" s="199"/>
      <c r="T2" s="199"/>
    </row>
    <row r="3" spans="1:26" s="93" customFormat="1" x14ac:dyDescent="0.25">
      <c r="A3" s="199"/>
      <c r="B3" s="199"/>
      <c r="C3" s="68"/>
      <c r="D3" s="68"/>
      <c r="E3" s="68"/>
      <c r="F3" s="68"/>
      <c r="G3" s="271"/>
      <c r="H3" s="199"/>
      <c r="J3" s="272"/>
      <c r="K3" s="273"/>
      <c r="L3" s="273"/>
      <c r="N3" s="275"/>
      <c r="O3" s="199"/>
      <c r="P3" s="199"/>
      <c r="Q3" s="199"/>
      <c r="T3" s="199"/>
    </row>
    <row r="4" spans="1:26" s="93" customFormat="1" x14ac:dyDescent="0.25">
      <c r="A4" s="199"/>
      <c r="B4" s="199"/>
      <c r="C4" s="458" t="s">
        <v>152</v>
      </c>
      <c r="D4" s="458"/>
      <c r="E4" s="458"/>
      <c r="F4" s="186"/>
      <c r="G4" s="44" t="s">
        <v>333</v>
      </c>
      <c r="H4" s="199"/>
      <c r="J4" s="272"/>
      <c r="K4" s="273"/>
      <c r="L4" s="273"/>
      <c r="N4" s="275"/>
      <c r="O4" s="199"/>
      <c r="P4" s="199"/>
      <c r="Q4" s="199"/>
      <c r="T4" s="199"/>
    </row>
    <row r="5" spans="1:26" s="93" customFormat="1" x14ac:dyDescent="0.25">
      <c r="A5" s="199"/>
      <c r="B5" s="199"/>
      <c r="C5" s="44" t="s">
        <v>150</v>
      </c>
      <c r="D5" s="271"/>
      <c r="G5" s="44" t="s">
        <v>151</v>
      </c>
      <c r="H5" s="199"/>
      <c r="J5" s="272"/>
      <c r="N5" s="276"/>
      <c r="O5" s="199"/>
      <c r="P5" s="199"/>
      <c r="Q5" s="199"/>
      <c r="T5" s="199"/>
    </row>
    <row r="6" spans="1:26" s="93" customFormat="1" x14ac:dyDescent="0.25">
      <c r="A6" s="199"/>
      <c r="B6" s="199"/>
      <c r="C6" s="44" t="s">
        <v>146</v>
      </c>
      <c r="D6" s="271"/>
      <c r="E6" s="271"/>
      <c r="F6" s="271"/>
      <c r="G6" s="44" t="s">
        <v>145</v>
      </c>
      <c r="H6" s="199"/>
      <c r="J6" s="272"/>
      <c r="K6" s="93" t="s">
        <v>153</v>
      </c>
      <c r="L6" s="277">
        <v>3.2</v>
      </c>
      <c r="N6" s="199"/>
      <c r="O6" s="199"/>
      <c r="P6" s="199"/>
      <c r="Q6" s="199"/>
      <c r="T6" s="199"/>
    </row>
    <row r="7" spans="1:26" s="93" customFormat="1" ht="93" customHeight="1" x14ac:dyDescent="0.25">
      <c r="A7" s="236"/>
      <c r="B7" s="236"/>
      <c r="C7" s="237"/>
      <c r="D7" s="278"/>
      <c r="E7" s="400" t="s">
        <v>667</v>
      </c>
      <c r="F7" s="278"/>
      <c r="G7" s="278"/>
      <c r="H7" s="236"/>
      <c r="I7" s="280"/>
      <c r="J7" s="281"/>
      <c r="K7" s="282"/>
      <c r="L7" s="282"/>
      <c r="M7" s="280"/>
      <c r="N7" s="236"/>
      <c r="O7" s="236"/>
      <c r="P7" s="236"/>
      <c r="Q7" s="199"/>
      <c r="T7" s="199"/>
    </row>
    <row r="8" spans="1:26" s="93" customFormat="1" ht="23.25" x14ac:dyDescent="0.25">
      <c r="A8" s="452" t="s">
        <v>135</v>
      </c>
      <c r="B8" s="452" t="s">
        <v>135</v>
      </c>
      <c r="C8" s="453" t="s">
        <v>24</v>
      </c>
      <c r="D8" s="454" t="s">
        <v>25</v>
      </c>
      <c r="E8" s="454" t="s">
        <v>45</v>
      </c>
      <c r="F8" s="459" t="s">
        <v>200</v>
      </c>
      <c r="G8" s="454" t="s">
        <v>529</v>
      </c>
      <c r="H8" s="453" t="s">
        <v>44</v>
      </c>
      <c r="I8" s="453" t="s">
        <v>46</v>
      </c>
      <c r="J8" s="461" t="s">
        <v>26</v>
      </c>
      <c r="K8" s="461"/>
      <c r="L8" s="461"/>
      <c r="M8" s="453" t="s">
        <v>52</v>
      </c>
      <c r="N8" s="453" t="s">
        <v>49</v>
      </c>
      <c r="O8" s="453" t="s">
        <v>27</v>
      </c>
      <c r="P8" s="453"/>
      <c r="Q8" s="453" t="s">
        <v>18</v>
      </c>
      <c r="R8" s="453" t="s">
        <v>50</v>
      </c>
      <c r="S8" s="462" t="s">
        <v>50</v>
      </c>
      <c r="T8" s="453" t="s">
        <v>15</v>
      </c>
      <c r="U8" s="91"/>
      <c r="V8" s="91"/>
      <c r="W8" s="91"/>
    </row>
    <row r="9" spans="1:26" s="93" customFormat="1" ht="93" x14ac:dyDescent="0.25">
      <c r="A9" s="452"/>
      <c r="B9" s="452"/>
      <c r="C9" s="453"/>
      <c r="D9" s="454"/>
      <c r="E9" s="454"/>
      <c r="F9" s="460"/>
      <c r="G9" s="454"/>
      <c r="H9" s="453"/>
      <c r="I9" s="453"/>
      <c r="J9" s="268" t="s">
        <v>537</v>
      </c>
      <c r="K9" s="269" t="s">
        <v>48</v>
      </c>
      <c r="L9" s="269" t="s">
        <v>47</v>
      </c>
      <c r="M9" s="453"/>
      <c r="N9" s="453"/>
      <c r="O9" s="270" t="s">
        <v>28</v>
      </c>
      <c r="P9" s="270" t="s">
        <v>7</v>
      </c>
      <c r="Q9" s="453"/>
      <c r="R9" s="453"/>
      <c r="S9" s="462"/>
      <c r="T9" s="453"/>
      <c r="U9" s="91"/>
      <c r="V9" s="91"/>
      <c r="W9" s="91"/>
    </row>
    <row r="10" spans="1:26" s="93" customFormat="1" ht="40.5" customHeight="1" x14ac:dyDescent="0.25">
      <c r="A10" s="238">
        <v>1</v>
      </c>
      <c r="B10" s="238">
        <v>1</v>
      </c>
      <c r="C10" s="463" t="s">
        <v>0</v>
      </c>
      <c r="D10" s="464"/>
      <c r="E10" s="464"/>
      <c r="F10" s="464"/>
      <c r="G10" s="464"/>
      <c r="H10" s="464"/>
      <c r="I10" s="464"/>
      <c r="J10" s="239">
        <f>SUM(J11:J17)</f>
        <v>138770796.875</v>
      </c>
      <c r="K10" s="240"/>
      <c r="L10" s="240"/>
      <c r="M10" s="240"/>
      <c r="N10" s="240"/>
      <c r="O10" s="240"/>
      <c r="P10" s="240"/>
      <c r="Q10" s="47"/>
      <c r="R10" s="47"/>
      <c r="S10" s="47"/>
      <c r="T10" s="48"/>
      <c r="U10" s="91"/>
      <c r="V10" s="91"/>
      <c r="W10" s="91"/>
    </row>
    <row r="11" spans="1:26" s="6" customFormat="1" ht="74.25" customHeight="1" x14ac:dyDescent="0.25">
      <c r="A11" s="241" t="s">
        <v>136</v>
      </c>
      <c r="B11" s="241" t="s">
        <v>136</v>
      </c>
      <c r="C11" s="242" t="s">
        <v>556</v>
      </c>
      <c r="D11" s="245" t="s">
        <v>518</v>
      </c>
      <c r="E11" s="245" t="s">
        <v>201</v>
      </c>
      <c r="F11" s="245" t="s">
        <v>613</v>
      </c>
      <c r="G11" s="245" t="s">
        <v>35</v>
      </c>
      <c r="H11" s="245">
        <v>1</v>
      </c>
      <c r="I11" s="245"/>
      <c r="J11" s="337">
        <f>'[1]PEP US$'!$E$28</f>
        <v>28969235.9375</v>
      </c>
      <c r="K11" s="349">
        <f>'[2]PEP US$'!$C$28/J11</f>
        <v>0.27134231998589453</v>
      </c>
      <c r="L11" s="349">
        <f>'[1]PEP US$'!$D$28/'[1]PEP US$'!$E$28</f>
        <v>0.72865768001410547</v>
      </c>
      <c r="M11" s="242">
        <v>1</v>
      </c>
      <c r="N11" s="242" t="s">
        <v>3</v>
      </c>
      <c r="O11" s="339">
        <v>44348</v>
      </c>
      <c r="P11" s="339">
        <v>44501</v>
      </c>
      <c r="Q11" s="55" t="s">
        <v>557</v>
      </c>
      <c r="R11" s="55"/>
      <c r="S11" s="55"/>
      <c r="T11" s="55" t="s">
        <v>1</v>
      </c>
      <c r="U11" s="192"/>
      <c r="V11" s="192"/>
      <c r="W11" s="192"/>
    </row>
    <row r="12" spans="1:26" s="6" customFormat="1" ht="89.25" customHeight="1" x14ac:dyDescent="0.25">
      <c r="A12" s="241" t="s">
        <v>137</v>
      </c>
      <c r="B12" s="241" t="s">
        <v>137</v>
      </c>
      <c r="C12" s="242" t="s">
        <v>556</v>
      </c>
      <c r="D12" s="245" t="s">
        <v>199</v>
      </c>
      <c r="E12" s="245" t="s">
        <v>154</v>
      </c>
      <c r="F12" s="245" t="s">
        <v>614</v>
      </c>
      <c r="G12" s="245" t="s">
        <v>36</v>
      </c>
      <c r="H12" s="245">
        <v>1</v>
      </c>
      <c r="I12" s="350"/>
      <c r="J12" s="337">
        <f>'[1]PEP US$'!$E$32+'[1]PEP US$'!$E$34</f>
        <v>16835937.5</v>
      </c>
      <c r="K12" s="243">
        <f>('[1]PEP US$'!$C$32+'[1]PEP US$'!$C$34)/J12</f>
        <v>0.46403712296983757</v>
      </c>
      <c r="L12" s="243">
        <f>100%-K12</f>
        <v>0.53596287703016243</v>
      </c>
      <c r="M12" s="242">
        <v>1</v>
      </c>
      <c r="N12" s="242" t="s">
        <v>2</v>
      </c>
      <c r="O12" s="351" t="s">
        <v>510</v>
      </c>
      <c r="P12" s="351" t="s">
        <v>530</v>
      </c>
      <c r="Q12" s="55" t="s">
        <v>557</v>
      </c>
      <c r="R12" s="55"/>
      <c r="S12" s="55"/>
      <c r="T12" s="55" t="s">
        <v>1</v>
      </c>
      <c r="U12" s="192"/>
      <c r="V12" s="192"/>
      <c r="W12" s="192"/>
    </row>
    <row r="13" spans="1:26" s="6" customFormat="1" ht="98.25" customHeight="1" x14ac:dyDescent="0.25">
      <c r="A13" s="241" t="s">
        <v>138</v>
      </c>
      <c r="B13" s="241" t="s">
        <v>138</v>
      </c>
      <c r="C13" s="242" t="s">
        <v>556</v>
      </c>
      <c r="D13" s="245" t="s">
        <v>483</v>
      </c>
      <c r="E13" s="245" t="s">
        <v>157</v>
      </c>
      <c r="F13" s="245" t="s">
        <v>615</v>
      </c>
      <c r="G13" s="245" t="s">
        <v>36</v>
      </c>
      <c r="H13" s="245">
        <v>1</v>
      </c>
      <c r="I13" s="352"/>
      <c r="J13" s="337">
        <f>'[1]PEP US$'!$E$42</f>
        <v>11806248.4375</v>
      </c>
      <c r="K13" s="243">
        <f>'[1]PEP US$'!$C$42/'[1]PEP US$'!$E$42</f>
        <v>0.60296447895241911</v>
      </c>
      <c r="L13" s="243">
        <f>100%-K13</f>
        <v>0.39703552104758089</v>
      </c>
      <c r="M13" s="242">
        <v>1</v>
      </c>
      <c r="N13" s="242" t="s">
        <v>2</v>
      </c>
      <c r="O13" s="351" t="s">
        <v>237</v>
      </c>
      <c r="P13" s="351" t="s">
        <v>327</v>
      </c>
      <c r="Q13" s="55" t="s">
        <v>557</v>
      </c>
      <c r="R13" s="55"/>
      <c r="S13" s="55"/>
      <c r="T13" s="55" t="s">
        <v>1</v>
      </c>
      <c r="U13" s="192"/>
      <c r="V13" s="192"/>
      <c r="W13" s="192"/>
    </row>
    <row r="14" spans="1:26" s="6" customFormat="1" ht="93" customHeight="1" x14ac:dyDescent="0.25">
      <c r="A14" s="241" t="s">
        <v>139</v>
      </c>
      <c r="B14" s="241" t="s">
        <v>139</v>
      </c>
      <c r="C14" s="242" t="s">
        <v>556</v>
      </c>
      <c r="D14" s="245" t="s">
        <v>598</v>
      </c>
      <c r="E14" s="348" t="s">
        <v>275</v>
      </c>
      <c r="F14" s="245" t="s">
        <v>616</v>
      </c>
      <c r="G14" s="245" t="s">
        <v>36</v>
      </c>
      <c r="H14" s="245">
        <v>1</v>
      </c>
      <c r="I14" s="352"/>
      <c r="J14" s="337">
        <f>'INFORMATIVO 02 04 19'!D7</f>
        <v>156250</v>
      </c>
      <c r="K14" s="243">
        <v>1</v>
      </c>
      <c r="L14" s="243">
        <f t="shared" ref="L14" si="0">100%-K14</f>
        <v>0</v>
      </c>
      <c r="M14" s="242">
        <v>2</v>
      </c>
      <c r="N14" s="242" t="s">
        <v>2</v>
      </c>
      <c r="O14" s="351" t="s">
        <v>446</v>
      </c>
      <c r="P14" s="351" t="s">
        <v>511</v>
      </c>
      <c r="Q14" s="55"/>
      <c r="R14" s="55"/>
      <c r="S14" s="55"/>
      <c r="T14" s="55" t="s">
        <v>1</v>
      </c>
      <c r="U14" s="192" t="s">
        <v>588</v>
      </c>
      <c r="V14" s="192"/>
      <c r="W14" s="192"/>
    </row>
    <row r="15" spans="1:26" s="6" customFormat="1" ht="82.5" customHeight="1" x14ac:dyDescent="0.25">
      <c r="A15" s="241" t="s">
        <v>197</v>
      </c>
      <c r="B15" s="241" t="s">
        <v>197</v>
      </c>
      <c r="C15" s="242" t="s">
        <v>556</v>
      </c>
      <c r="D15" s="245" t="s">
        <v>484</v>
      </c>
      <c r="E15" s="245" t="s">
        <v>181</v>
      </c>
      <c r="F15" s="245" t="s">
        <v>617</v>
      </c>
      <c r="G15" s="245" t="s">
        <v>35</v>
      </c>
      <c r="H15" s="245">
        <v>1</v>
      </c>
      <c r="I15" s="245"/>
      <c r="J15" s="337">
        <f>'[1]PEP US$'!$E$11-'[1]PEP US$'!$E$19</f>
        <v>23340625</v>
      </c>
      <c r="K15" s="243">
        <f>'[1]PEP US$'!$C$11/J15</f>
        <v>0.93975097067880575</v>
      </c>
      <c r="L15" s="243">
        <f>100%-K15</f>
        <v>6.0249029321194247E-2</v>
      </c>
      <c r="M15" s="242">
        <v>1</v>
      </c>
      <c r="N15" s="242" t="s">
        <v>3</v>
      </c>
      <c r="O15" s="351" t="s">
        <v>234</v>
      </c>
      <c r="P15" s="351" t="s">
        <v>446</v>
      </c>
      <c r="Q15" s="55" t="s">
        <v>557</v>
      </c>
      <c r="R15" s="64"/>
      <c r="S15" s="64"/>
      <c r="T15" s="55" t="s">
        <v>1</v>
      </c>
      <c r="U15" s="192"/>
      <c r="V15" s="192"/>
      <c r="W15" s="192"/>
    </row>
    <row r="16" spans="1:26" s="6" customFormat="1" ht="116.25" x14ac:dyDescent="0.25">
      <c r="A16" s="241" t="s">
        <v>274</v>
      </c>
      <c r="B16" s="241" t="s">
        <v>274</v>
      </c>
      <c r="C16" s="242" t="s">
        <v>556</v>
      </c>
      <c r="D16" s="245" t="s">
        <v>571</v>
      </c>
      <c r="E16" s="348" t="s">
        <v>572</v>
      </c>
      <c r="F16" s="245" t="s">
        <v>614</v>
      </c>
      <c r="G16" s="245" t="s">
        <v>34</v>
      </c>
      <c r="H16" s="245">
        <v>1</v>
      </c>
      <c r="I16" s="352"/>
      <c r="J16" s="337">
        <f>'[1]PEP US$'!$E$20</f>
        <v>57562500</v>
      </c>
      <c r="K16" s="243">
        <f>100%-L16</f>
        <v>0</v>
      </c>
      <c r="L16" s="243">
        <v>1</v>
      </c>
      <c r="M16" s="242">
        <v>1</v>
      </c>
      <c r="N16" s="242" t="s">
        <v>4</v>
      </c>
      <c r="O16" s="351"/>
      <c r="P16" s="351"/>
      <c r="Q16" s="55" t="s">
        <v>557</v>
      </c>
      <c r="R16" s="55"/>
      <c r="S16" s="55"/>
      <c r="T16" s="55" t="s">
        <v>58</v>
      </c>
      <c r="U16" s="192"/>
      <c r="V16" s="192"/>
      <c r="W16" s="192"/>
    </row>
    <row r="17" spans="1:23" s="6" customFormat="1" ht="75" customHeight="1" x14ac:dyDescent="0.25">
      <c r="A17" s="241" t="s">
        <v>280</v>
      </c>
      <c r="B17" s="241" t="s">
        <v>660</v>
      </c>
      <c r="C17" s="242" t="s">
        <v>556</v>
      </c>
      <c r="D17" s="245" t="s">
        <v>598</v>
      </c>
      <c r="E17" s="245" t="s">
        <v>600</v>
      </c>
      <c r="F17" s="245" t="s">
        <v>618</v>
      </c>
      <c r="G17" s="245" t="s">
        <v>36</v>
      </c>
      <c r="H17" s="245"/>
      <c r="I17" s="245"/>
      <c r="J17" s="244">
        <f>100000</f>
        <v>100000</v>
      </c>
      <c r="K17" s="243">
        <v>1</v>
      </c>
      <c r="L17" s="243">
        <v>0</v>
      </c>
      <c r="M17" s="242">
        <v>2</v>
      </c>
      <c r="N17" s="242" t="s">
        <v>2</v>
      </c>
      <c r="O17" s="339">
        <v>43678</v>
      </c>
      <c r="P17" s="339">
        <v>43800</v>
      </c>
      <c r="Q17" s="55"/>
      <c r="R17" s="64"/>
      <c r="S17" s="64"/>
      <c r="T17" s="55" t="s">
        <v>1</v>
      </c>
      <c r="U17" s="192" t="s">
        <v>597</v>
      </c>
      <c r="V17" s="192"/>
      <c r="W17" s="192"/>
    </row>
    <row r="18" spans="1:23" s="93" customFormat="1" ht="23.25" x14ac:dyDescent="0.25">
      <c r="A18" s="237"/>
      <c r="B18" s="237"/>
      <c r="C18" s="279"/>
      <c r="D18" s="279"/>
      <c r="E18" s="279"/>
      <c r="F18" s="279"/>
      <c r="G18" s="279"/>
      <c r="H18" s="279"/>
      <c r="I18" s="279"/>
      <c r="J18" s="284"/>
      <c r="K18" s="285"/>
      <c r="L18" s="285"/>
      <c r="M18" s="283"/>
      <c r="N18" s="237"/>
      <c r="O18" s="237"/>
      <c r="P18" s="237"/>
      <c r="Q18" s="68"/>
      <c r="R18" s="133"/>
      <c r="S18" s="133"/>
      <c r="T18" s="68"/>
      <c r="U18" s="91"/>
    </row>
    <row r="19" spans="1:23" s="93" customFormat="1" ht="40.5" customHeight="1" x14ac:dyDescent="0.25">
      <c r="A19" s="238">
        <v>2</v>
      </c>
      <c r="B19" s="238">
        <v>2</v>
      </c>
      <c r="C19" s="465" t="s">
        <v>8</v>
      </c>
      <c r="D19" s="466"/>
      <c r="E19" s="466"/>
      <c r="F19" s="466"/>
      <c r="G19" s="466"/>
      <c r="H19" s="466"/>
      <c r="I19" s="466"/>
      <c r="J19" s="239">
        <f>SUM(J20:J36)</f>
        <v>16476214.045</v>
      </c>
      <c r="K19" s="240"/>
      <c r="L19" s="240"/>
      <c r="M19" s="240"/>
      <c r="N19" s="240"/>
      <c r="O19" s="240"/>
      <c r="P19" s="240"/>
      <c r="Q19" s="47"/>
      <c r="R19" s="47"/>
      <c r="S19" s="47"/>
      <c r="T19" s="48"/>
      <c r="U19" s="91"/>
      <c r="V19" s="91"/>
      <c r="W19" s="91"/>
    </row>
    <row r="20" spans="1:23" s="6" customFormat="1" ht="81" customHeight="1" x14ac:dyDescent="0.25">
      <c r="A20" s="241" t="s">
        <v>140</v>
      </c>
      <c r="B20" s="241" t="s">
        <v>140</v>
      </c>
      <c r="C20" s="242" t="s">
        <v>556</v>
      </c>
      <c r="D20" s="245" t="s">
        <v>260</v>
      </c>
      <c r="E20" s="245" t="s">
        <v>260</v>
      </c>
      <c r="F20" s="245" t="s">
        <v>616</v>
      </c>
      <c r="G20" s="245" t="s">
        <v>34</v>
      </c>
      <c r="H20" s="245">
        <v>1</v>
      </c>
      <c r="I20" s="245"/>
      <c r="J20" s="244">
        <f>'INFORMATIVO 02 04 19'!D8</f>
        <v>250000</v>
      </c>
      <c r="K20" s="243">
        <v>1</v>
      </c>
      <c r="L20" s="243">
        <v>0</v>
      </c>
      <c r="M20" s="242">
        <v>2</v>
      </c>
      <c r="N20" s="242" t="s">
        <v>4</v>
      </c>
      <c r="O20" s="339">
        <v>43891</v>
      </c>
      <c r="P20" s="339">
        <v>43952</v>
      </c>
      <c r="Q20" s="55" t="s">
        <v>70</v>
      </c>
      <c r="R20" s="64"/>
      <c r="S20" s="64"/>
      <c r="T20" s="55" t="s">
        <v>1</v>
      </c>
      <c r="U20" s="353" t="s">
        <v>586</v>
      </c>
      <c r="V20" s="192"/>
      <c r="W20" s="192"/>
    </row>
    <row r="21" spans="1:23" s="6" customFormat="1" ht="82.5" customHeight="1" x14ac:dyDescent="0.25">
      <c r="A21" s="241" t="s">
        <v>147</v>
      </c>
      <c r="B21" s="241" t="s">
        <v>147</v>
      </c>
      <c r="C21" s="242" t="s">
        <v>556</v>
      </c>
      <c r="D21" s="348" t="s">
        <v>361</v>
      </c>
      <c r="E21" s="348" t="s">
        <v>266</v>
      </c>
      <c r="F21" s="245" t="s">
        <v>616</v>
      </c>
      <c r="G21" s="245" t="s">
        <v>34</v>
      </c>
      <c r="H21" s="245">
        <v>1</v>
      </c>
      <c r="I21" s="245"/>
      <c r="J21" s="258">
        <f>'INFORMATIVO 02 04 19'!D9</f>
        <v>62500</v>
      </c>
      <c r="K21" s="243">
        <v>1</v>
      </c>
      <c r="L21" s="243">
        <v>0</v>
      </c>
      <c r="M21" s="242">
        <v>2</v>
      </c>
      <c r="N21" s="242" t="s">
        <v>4</v>
      </c>
      <c r="O21" s="339">
        <v>43891</v>
      </c>
      <c r="P21" s="339">
        <v>43952</v>
      </c>
      <c r="Q21" s="55" t="s">
        <v>70</v>
      </c>
      <c r="R21" s="64"/>
      <c r="S21" s="64"/>
      <c r="T21" s="55" t="s">
        <v>1</v>
      </c>
      <c r="U21" s="192" t="s">
        <v>587</v>
      </c>
      <c r="V21" s="192"/>
      <c r="W21" s="192"/>
    </row>
    <row r="22" spans="1:23" s="6" customFormat="1" ht="98.25" customHeight="1" x14ac:dyDescent="0.25">
      <c r="A22" s="241" t="s">
        <v>194</v>
      </c>
      <c r="B22" s="241" t="s">
        <v>194</v>
      </c>
      <c r="C22" s="242" t="s">
        <v>556</v>
      </c>
      <c r="D22" s="348" t="s">
        <v>527</v>
      </c>
      <c r="E22" s="348" t="s">
        <v>528</v>
      </c>
      <c r="F22" s="245" t="s">
        <v>616</v>
      </c>
      <c r="G22" s="245" t="s">
        <v>34</v>
      </c>
      <c r="H22" s="245">
        <v>1</v>
      </c>
      <c r="I22" s="245"/>
      <c r="J22" s="258">
        <f>'INFORMATIVO 02 04 19'!D10</f>
        <v>93750</v>
      </c>
      <c r="K22" s="243">
        <v>1</v>
      </c>
      <c r="L22" s="243">
        <v>0</v>
      </c>
      <c r="M22" s="242">
        <v>2</v>
      </c>
      <c r="N22" s="242" t="s">
        <v>4</v>
      </c>
      <c r="O22" s="339">
        <v>43891</v>
      </c>
      <c r="P22" s="339">
        <v>43952</v>
      </c>
      <c r="Q22" s="55" t="s">
        <v>70</v>
      </c>
      <c r="R22" s="64"/>
      <c r="S22" s="64"/>
      <c r="T22" s="55" t="s">
        <v>1</v>
      </c>
      <c r="U22" s="192" t="s">
        <v>587</v>
      </c>
      <c r="V22" s="192"/>
      <c r="W22" s="192"/>
    </row>
    <row r="23" spans="1:23" s="6" customFormat="1" ht="121.5" customHeight="1" x14ac:dyDescent="0.25">
      <c r="A23" s="241" t="s">
        <v>195</v>
      </c>
      <c r="B23" s="241" t="s">
        <v>195</v>
      </c>
      <c r="C23" s="242" t="s">
        <v>556</v>
      </c>
      <c r="D23" s="348" t="s">
        <v>363</v>
      </c>
      <c r="E23" s="348" t="s">
        <v>267</v>
      </c>
      <c r="F23" s="245" t="s">
        <v>616</v>
      </c>
      <c r="G23" s="245" t="s">
        <v>34</v>
      </c>
      <c r="H23" s="245">
        <v>1</v>
      </c>
      <c r="I23" s="245"/>
      <c r="J23" s="258">
        <f>'INFORMATIVO 02 04 19'!D11</f>
        <v>125000</v>
      </c>
      <c r="K23" s="243">
        <v>1</v>
      </c>
      <c r="L23" s="243">
        <v>0</v>
      </c>
      <c r="M23" s="242">
        <v>2</v>
      </c>
      <c r="N23" s="242" t="s">
        <v>4</v>
      </c>
      <c r="O23" s="339">
        <v>43891</v>
      </c>
      <c r="P23" s="339">
        <v>43952</v>
      </c>
      <c r="Q23" s="55" t="s">
        <v>70</v>
      </c>
      <c r="R23" s="64"/>
      <c r="S23" s="64"/>
      <c r="T23" s="55" t="s">
        <v>1</v>
      </c>
      <c r="U23" s="192" t="s">
        <v>587</v>
      </c>
      <c r="V23" s="192"/>
      <c r="W23" s="192"/>
    </row>
    <row r="24" spans="1:23" s="6" customFormat="1" ht="118.5" customHeight="1" x14ac:dyDescent="0.25">
      <c r="A24" s="241" t="s">
        <v>196</v>
      </c>
      <c r="B24" s="241" t="s">
        <v>196</v>
      </c>
      <c r="C24" s="242" t="s">
        <v>556</v>
      </c>
      <c r="D24" s="348" t="s">
        <v>366</v>
      </c>
      <c r="E24" s="348" t="s">
        <v>273</v>
      </c>
      <c r="F24" s="245" t="s">
        <v>616</v>
      </c>
      <c r="G24" s="245" t="s">
        <v>34</v>
      </c>
      <c r="H24" s="245">
        <v>1</v>
      </c>
      <c r="I24" s="354"/>
      <c r="J24" s="244">
        <f>'INFORMATIVO 02 04 19'!D12</f>
        <v>37500</v>
      </c>
      <c r="K24" s="243">
        <v>1</v>
      </c>
      <c r="L24" s="243">
        <v>0</v>
      </c>
      <c r="M24" s="242">
        <v>2</v>
      </c>
      <c r="N24" s="242" t="s">
        <v>4</v>
      </c>
      <c r="O24" s="339">
        <v>43891</v>
      </c>
      <c r="P24" s="339">
        <v>43952</v>
      </c>
      <c r="Q24" s="55" t="s">
        <v>70</v>
      </c>
      <c r="R24" s="64"/>
      <c r="S24" s="64"/>
      <c r="T24" s="55" t="s">
        <v>1</v>
      </c>
      <c r="U24" s="192"/>
      <c r="V24" s="192"/>
      <c r="W24" s="192"/>
    </row>
    <row r="25" spans="1:23" s="6" customFormat="1" ht="89.25" customHeight="1" x14ac:dyDescent="0.25">
      <c r="A25" s="241" t="s">
        <v>258</v>
      </c>
      <c r="B25" s="241" t="s">
        <v>258</v>
      </c>
      <c r="C25" s="242" t="s">
        <v>556</v>
      </c>
      <c r="D25" s="245" t="s">
        <v>364</v>
      </c>
      <c r="E25" s="245" t="s">
        <v>281</v>
      </c>
      <c r="F25" s="245" t="s">
        <v>619</v>
      </c>
      <c r="G25" s="245" t="s">
        <v>34</v>
      </c>
      <c r="H25" s="245">
        <v>1</v>
      </c>
      <c r="I25" s="245"/>
      <c r="J25" s="244">
        <f>'INFORMATIVO 02 04 19'!D33</f>
        <v>562500</v>
      </c>
      <c r="K25" s="243">
        <v>1</v>
      </c>
      <c r="L25" s="243">
        <v>0</v>
      </c>
      <c r="M25" s="242">
        <v>2</v>
      </c>
      <c r="N25" s="242" t="s">
        <v>4</v>
      </c>
      <c r="O25" s="339">
        <v>44440</v>
      </c>
      <c r="P25" s="339">
        <v>44501</v>
      </c>
      <c r="Q25" s="55" t="s">
        <v>70</v>
      </c>
      <c r="R25" s="64"/>
      <c r="S25" s="64"/>
      <c r="T25" s="55" t="s">
        <v>1</v>
      </c>
      <c r="U25" s="192" t="s">
        <v>589</v>
      </c>
      <c r="V25" s="192"/>
      <c r="W25" s="192"/>
    </row>
    <row r="26" spans="1:23" s="6" customFormat="1" ht="317.25" customHeight="1" x14ac:dyDescent="0.25">
      <c r="A26" s="241" t="s">
        <v>259</v>
      </c>
      <c r="B26" s="241" t="s">
        <v>259</v>
      </c>
      <c r="C26" s="242" t="s">
        <v>556</v>
      </c>
      <c r="D26" s="246" t="s">
        <v>294</v>
      </c>
      <c r="E26" s="246" t="s">
        <v>397</v>
      </c>
      <c r="F26" s="245" t="s">
        <v>620</v>
      </c>
      <c r="G26" s="245" t="s">
        <v>34</v>
      </c>
      <c r="H26" s="245">
        <v>1</v>
      </c>
      <c r="I26" s="245"/>
      <c r="J26" s="399">
        <f>'INFORMATIVO 02 04 19'!D39+'INFORMATIVO 02 04 19'!D26+'INFORMATIVO 02 04 19'!D110+'INFORMATIVO 02 04 19'!C84+'INFORMATIVO 02 04 19'!C65</f>
        <v>416666.67</v>
      </c>
      <c r="K26" s="243">
        <v>1</v>
      </c>
      <c r="L26" s="243">
        <v>0</v>
      </c>
      <c r="M26" s="242">
        <v>2</v>
      </c>
      <c r="N26" s="242" t="s">
        <v>4</v>
      </c>
      <c r="O26" s="339">
        <v>43891</v>
      </c>
      <c r="P26" s="339">
        <v>43952</v>
      </c>
      <c r="Q26" s="55" t="s">
        <v>590</v>
      </c>
      <c r="R26" s="64"/>
      <c r="S26" s="64"/>
      <c r="T26" s="55" t="s">
        <v>1</v>
      </c>
      <c r="U26" s="192"/>
      <c r="V26" s="192"/>
      <c r="W26" s="192"/>
    </row>
    <row r="27" spans="1:23" s="6" customFormat="1" ht="66.75" customHeight="1" x14ac:dyDescent="0.25">
      <c r="A27" s="241" t="s">
        <v>261</v>
      </c>
      <c r="B27" s="241" t="s">
        <v>261</v>
      </c>
      <c r="C27" s="242" t="s">
        <v>556</v>
      </c>
      <c r="D27" s="348" t="s">
        <v>301</v>
      </c>
      <c r="E27" s="348" t="s">
        <v>301</v>
      </c>
      <c r="F27" s="245" t="s">
        <v>621</v>
      </c>
      <c r="G27" s="245" t="s">
        <v>34</v>
      </c>
      <c r="H27" s="245">
        <v>1</v>
      </c>
      <c r="I27" s="245"/>
      <c r="J27" s="244">
        <f>'INFORMATIVO 02 04 19'!C48</f>
        <v>937500</v>
      </c>
      <c r="K27" s="243">
        <v>1</v>
      </c>
      <c r="L27" s="243">
        <v>0</v>
      </c>
      <c r="M27" s="242">
        <v>2</v>
      </c>
      <c r="N27" s="242" t="s">
        <v>4</v>
      </c>
      <c r="O27" s="339">
        <v>43678</v>
      </c>
      <c r="P27" s="339">
        <v>43739</v>
      </c>
      <c r="Q27" s="55" t="s">
        <v>538</v>
      </c>
      <c r="R27" s="64"/>
      <c r="S27" s="64"/>
      <c r="T27" s="55" t="s">
        <v>1</v>
      </c>
      <c r="U27" s="192"/>
      <c r="V27" s="192"/>
      <c r="W27" s="192"/>
    </row>
    <row r="28" spans="1:23" s="6" customFormat="1" ht="69.75" x14ac:dyDescent="0.25">
      <c r="A28" s="241" t="s">
        <v>262</v>
      </c>
      <c r="B28" s="241" t="s">
        <v>262</v>
      </c>
      <c r="C28" s="242" t="s">
        <v>556</v>
      </c>
      <c r="D28" s="246" t="s">
        <v>304</v>
      </c>
      <c r="E28" s="246" t="s">
        <v>305</v>
      </c>
      <c r="F28" s="245" t="s">
        <v>622</v>
      </c>
      <c r="G28" s="245" t="s">
        <v>34</v>
      </c>
      <c r="H28" s="245">
        <v>1</v>
      </c>
      <c r="I28" s="245"/>
      <c r="J28" s="244">
        <f>'INFORMATIVO 02 04 19'!E53</f>
        <v>559375</v>
      </c>
      <c r="K28" s="243">
        <v>1</v>
      </c>
      <c r="L28" s="243">
        <v>0</v>
      </c>
      <c r="M28" s="242">
        <v>2</v>
      </c>
      <c r="N28" s="242" t="s">
        <v>4</v>
      </c>
      <c r="O28" s="339">
        <v>43831</v>
      </c>
      <c r="P28" s="339">
        <v>43891</v>
      </c>
      <c r="Q28" s="55" t="s">
        <v>590</v>
      </c>
      <c r="R28" s="64"/>
      <c r="S28" s="64"/>
      <c r="T28" s="55" t="s">
        <v>1</v>
      </c>
      <c r="U28" s="192"/>
      <c r="V28" s="192"/>
      <c r="W28" s="192"/>
    </row>
    <row r="29" spans="1:23" s="6" customFormat="1" ht="123" customHeight="1" x14ac:dyDescent="0.25">
      <c r="A29" s="241" t="s">
        <v>263</v>
      </c>
      <c r="B29" s="241" t="s">
        <v>263</v>
      </c>
      <c r="C29" s="242" t="s">
        <v>556</v>
      </c>
      <c r="D29" s="245" t="s">
        <v>310</v>
      </c>
      <c r="E29" s="348" t="s">
        <v>591</v>
      </c>
      <c r="F29" s="245" t="s">
        <v>623</v>
      </c>
      <c r="G29" s="245" t="s">
        <v>34</v>
      </c>
      <c r="H29" s="245">
        <v>1</v>
      </c>
      <c r="I29" s="245"/>
      <c r="J29" s="244">
        <f>'INFORMATIVO 02 04 19'!C61</f>
        <v>312500</v>
      </c>
      <c r="K29" s="243">
        <v>1</v>
      </c>
      <c r="L29" s="243">
        <v>0</v>
      </c>
      <c r="M29" s="242">
        <v>2</v>
      </c>
      <c r="N29" s="242" t="s">
        <v>4</v>
      </c>
      <c r="O29" s="339">
        <v>43831</v>
      </c>
      <c r="P29" s="339">
        <v>43891</v>
      </c>
      <c r="Q29" s="55" t="s">
        <v>538</v>
      </c>
      <c r="R29" s="64"/>
      <c r="S29" s="64"/>
      <c r="T29" s="55" t="s">
        <v>1</v>
      </c>
      <c r="U29" s="192"/>
      <c r="V29" s="192"/>
      <c r="W29" s="192"/>
    </row>
    <row r="30" spans="1:23" s="6" customFormat="1" ht="80.25" customHeight="1" x14ac:dyDescent="0.25">
      <c r="A30" s="241" t="s">
        <v>264</v>
      </c>
      <c r="B30" s="241" t="s">
        <v>264</v>
      </c>
      <c r="C30" s="242" t="s">
        <v>556</v>
      </c>
      <c r="D30" s="245" t="s">
        <v>310</v>
      </c>
      <c r="E30" s="348" t="s">
        <v>312</v>
      </c>
      <c r="F30" s="245" t="s">
        <v>623</v>
      </c>
      <c r="G30" s="245" t="s">
        <v>34</v>
      </c>
      <c r="H30" s="245">
        <v>1</v>
      </c>
      <c r="I30" s="245"/>
      <c r="J30" s="244">
        <f>'INFORMATIVO 02 04 19'!C62</f>
        <v>7813</v>
      </c>
      <c r="K30" s="243">
        <v>1</v>
      </c>
      <c r="L30" s="243">
        <v>0</v>
      </c>
      <c r="M30" s="242">
        <v>2</v>
      </c>
      <c r="N30" s="242" t="s">
        <v>4</v>
      </c>
      <c r="O30" s="339">
        <v>43831</v>
      </c>
      <c r="P30" s="339">
        <v>43891</v>
      </c>
      <c r="Q30" s="55" t="s">
        <v>538</v>
      </c>
      <c r="R30" s="64"/>
      <c r="S30" s="64"/>
      <c r="T30" s="55" t="s">
        <v>1</v>
      </c>
      <c r="U30" s="192"/>
      <c r="V30" s="192"/>
      <c r="W30" s="192"/>
    </row>
    <row r="31" spans="1:23" s="6" customFormat="1" ht="78.75" customHeight="1" x14ac:dyDescent="0.25">
      <c r="A31" s="241" t="s">
        <v>265</v>
      </c>
      <c r="B31" s="241" t="s">
        <v>265</v>
      </c>
      <c r="C31" s="242" t="s">
        <v>556</v>
      </c>
      <c r="D31" s="245" t="s">
        <v>310</v>
      </c>
      <c r="E31" s="348" t="s">
        <v>313</v>
      </c>
      <c r="F31" s="245" t="s">
        <v>623</v>
      </c>
      <c r="G31" s="245" t="s">
        <v>34</v>
      </c>
      <c r="H31" s="245">
        <v>1</v>
      </c>
      <c r="I31" s="245"/>
      <c r="J31" s="244">
        <f>'INFORMATIVO 02 04 19'!C63</f>
        <v>62500</v>
      </c>
      <c r="K31" s="243">
        <v>1</v>
      </c>
      <c r="L31" s="243">
        <v>0</v>
      </c>
      <c r="M31" s="242">
        <v>2</v>
      </c>
      <c r="N31" s="242" t="s">
        <v>4</v>
      </c>
      <c r="O31" s="339">
        <v>43831</v>
      </c>
      <c r="P31" s="339">
        <v>43891</v>
      </c>
      <c r="Q31" s="55" t="s">
        <v>538</v>
      </c>
      <c r="R31" s="64"/>
      <c r="S31" s="64"/>
      <c r="T31" s="55" t="s">
        <v>1</v>
      </c>
      <c r="U31" s="192"/>
      <c r="V31" s="192"/>
      <c r="W31" s="192"/>
    </row>
    <row r="32" spans="1:23" s="6" customFormat="1" ht="192" customHeight="1" x14ac:dyDescent="0.25">
      <c r="A32" s="241" t="s">
        <v>278</v>
      </c>
      <c r="B32" s="241" t="s">
        <v>278</v>
      </c>
      <c r="C32" s="242" t="s">
        <v>556</v>
      </c>
      <c r="D32" s="245" t="s">
        <v>319</v>
      </c>
      <c r="E32" s="245" t="s">
        <v>326</v>
      </c>
      <c r="F32" s="245" t="s">
        <v>624</v>
      </c>
      <c r="G32" s="245" t="s">
        <v>34</v>
      </c>
      <c r="H32" s="245">
        <v>1</v>
      </c>
      <c r="I32" s="245"/>
      <c r="J32" s="244">
        <f>'INFORMATIVO 02 04 19'!C71</f>
        <v>1312500</v>
      </c>
      <c r="K32" s="243">
        <v>1</v>
      </c>
      <c r="L32" s="243">
        <v>0</v>
      </c>
      <c r="M32" s="242">
        <v>2</v>
      </c>
      <c r="N32" s="242" t="s">
        <v>4</v>
      </c>
      <c r="O32" s="339">
        <v>43891</v>
      </c>
      <c r="P32" s="339">
        <v>43952</v>
      </c>
      <c r="Q32" s="55" t="s">
        <v>590</v>
      </c>
      <c r="R32" s="64"/>
      <c r="S32" s="64"/>
      <c r="T32" s="55" t="s">
        <v>1</v>
      </c>
      <c r="U32" s="192"/>
      <c r="V32" s="192"/>
      <c r="W32" s="192"/>
    </row>
    <row r="33" spans="1:36" ht="195.75" customHeight="1" x14ac:dyDescent="0.25">
      <c r="A33" s="241" t="s">
        <v>279</v>
      </c>
      <c r="B33" s="241" t="s">
        <v>279</v>
      </c>
      <c r="C33" s="242" t="s">
        <v>556</v>
      </c>
      <c r="D33" s="245" t="s">
        <v>325</v>
      </c>
      <c r="E33" s="245" t="s">
        <v>399</v>
      </c>
      <c r="F33" s="245" t="s">
        <v>618</v>
      </c>
      <c r="G33" s="245" t="s">
        <v>34</v>
      </c>
      <c r="H33" s="245">
        <v>1</v>
      </c>
      <c r="I33" s="245"/>
      <c r="J33" s="244">
        <f>'[3]PEP US$'!$E$57-J34-J17</f>
        <v>2981250</v>
      </c>
      <c r="K33" s="243">
        <v>1</v>
      </c>
      <c r="L33" s="243">
        <v>0</v>
      </c>
      <c r="M33" s="242">
        <v>2</v>
      </c>
      <c r="N33" s="242" t="s">
        <v>4</v>
      </c>
      <c r="O33" s="339">
        <v>43709</v>
      </c>
      <c r="P33" s="339">
        <v>43770</v>
      </c>
      <c r="Q33" s="55" t="s">
        <v>538</v>
      </c>
      <c r="R33" s="64"/>
      <c r="S33" s="64"/>
      <c r="T33" s="55" t="s">
        <v>1</v>
      </c>
      <c r="U33" s="192"/>
      <c r="V33" s="192"/>
      <c r="W33" s="192"/>
      <c r="X33" s="6"/>
      <c r="Y33" s="6"/>
      <c r="Z33" s="6"/>
      <c r="AA33" s="6"/>
      <c r="AB33" s="6"/>
      <c r="AC33" s="6"/>
      <c r="AD33" s="6"/>
      <c r="AE33" s="6"/>
      <c r="AF33" s="6"/>
      <c r="AG33" s="6"/>
      <c r="AH33" s="6"/>
      <c r="AI33" s="6"/>
      <c r="AJ33" s="6"/>
    </row>
    <row r="34" spans="1:36" ht="69.75" x14ac:dyDescent="0.25">
      <c r="A34" s="241" t="s">
        <v>280</v>
      </c>
      <c r="B34" s="241" t="s">
        <v>280</v>
      </c>
      <c r="C34" s="242" t="s">
        <v>556</v>
      </c>
      <c r="D34" s="245" t="s">
        <v>325</v>
      </c>
      <c r="E34" s="245" t="s">
        <v>599</v>
      </c>
      <c r="F34" s="245" t="s">
        <v>618</v>
      </c>
      <c r="G34" s="245" t="s">
        <v>34</v>
      </c>
      <c r="H34" s="245"/>
      <c r="I34" s="245"/>
      <c r="J34" s="244">
        <f>2812500</f>
        <v>2812500</v>
      </c>
      <c r="K34" s="243">
        <v>1</v>
      </c>
      <c r="L34" s="243">
        <v>0</v>
      </c>
      <c r="M34" s="242">
        <v>2</v>
      </c>
      <c r="N34" s="242" t="s">
        <v>4</v>
      </c>
      <c r="O34" s="339">
        <v>43678</v>
      </c>
      <c r="P34" s="339">
        <v>43739</v>
      </c>
      <c r="Q34" s="55" t="s">
        <v>538</v>
      </c>
      <c r="R34" s="64"/>
      <c r="S34" s="64"/>
      <c r="T34" s="55" t="s">
        <v>1</v>
      </c>
      <c r="U34" s="192"/>
      <c r="V34" s="192"/>
      <c r="W34" s="192"/>
      <c r="X34" s="6"/>
      <c r="Y34" s="6"/>
      <c r="Z34" s="6"/>
      <c r="AA34" s="6"/>
      <c r="AB34" s="6"/>
      <c r="AC34" s="6"/>
      <c r="AD34" s="6"/>
      <c r="AE34" s="6"/>
      <c r="AF34" s="6"/>
      <c r="AG34" s="6"/>
      <c r="AH34" s="6"/>
      <c r="AI34" s="6"/>
      <c r="AJ34" s="6"/>
    </row>
    <row r="35" spans="1:36" ht="99" customHeight="1" x14ac:dyDescent="0.25">
      <c r="A35" s="241" t="s">
        <v>422</v>
      </c>
      <c r="B35" s="241" t="s">
        <v>422</v>
      </c>
      <c r="C35" s="242" t="s">
        <v>556</v>
      </c>
      <c r="D35" s="245" t="s">
        <v>573</v>
      </c>
      <c r="E35" s="245" t="s">
        <v>574</v>
      </c>
      <c r="F35" s="245" t="s">
        <v>625</v>
      </c>
      <c r="G35" s="245" t="s">
        <v>34</v>
      </c>
      <c r="H35" s="245"/>
      <c r="I35" s="245"/>
      <c r="J35" s="244">
        <f>'[1]PEP US$'!$E$35</f>
        <v>640796.875</v>
      </c>
      <c r="K35" s="243">
        <v>1</v>
      </c>
      <c r="L35" s="243">
        <v>0</v>
      </c>
      <c r="M35" s="242">
        <v>1</v>
      </c>
      <c r="N35" s="242" t="s">
        <v>4</v>
      </c>
      <c r="O35" s="339">
        <v>43617</v>
      </c>
      <c r="P35" s="339">
        <v>43678</v>
      </c>
      <c r="Q35" s="55" t="s">
        <v>539</v>
      </c>
      <c r="R35" s="64"/>
      <c r="S35" s="64"/>
      <c r="T35" s="55" t="s">
        <v>1</v>
      </c>
      <c r="U35" s="192"/>
      <c r="V35" s="192"/>
      <c r="W35" s="192"/>
      <c r="X35" s="6"/>
      <c r="Y35" s="6"/>
      <c r="Z35" s="6"/>
      <c r="AA35" s="6"/>
      <c r="AB35" s="6"/>
      <c r="AC35" s="6"/>
      <c r="AD35" s="6"/>
      <c r="AE35" s="6"/>
      <c r="AF35" s="6"/>
      <c r="AG35" s="6"/>
      <c r="AH35" s="6"/>
      <c r="AI35" s="6"/>
      <c r="AJ35" s="6"/>
    </row>
    <row r="36" spans="1:36" ht="99" customHeight="1" x14ac:dyDescent="0.25">
      <c r="A36" s="241" t="s">
        <v>137</v>
      </c>
      <c r="B36" s="241" t="s">
        <v>661</v>
      </c>
      <c r="C36" s="242" t="s">
        <v>556</v>
      </c>
      <c r="D36" s="245" t="s">
        <v>582</v>
      </c>
      <c r="E36" s="245" t="s">
        <v>583</v>
      </c>
      <c r="F36" s="245" t="s">
        <v>625</v>
      </c>
      <c r="G36" s="245" t="s">
        <v>34</v>
      </c>
      <c r="H36" s="245">
        <v>1</v>
      </c>
      <c r="I36" s="350"/>
      <c r="J36" s="337">
        <f>'[1]PEP US$'!$E$33</f>
        <v>5301562.5</v>
      </c>
      <c r="K36" s="243">
        <v>1</v>
      </c>
      <c r="L36" s="243">
        <v>0</v>
      </c>
      <c r="M36" s="242">
        <v>1</v>
      </c>
      <c r="N36" s="242" t="s">
        <v>4</v>
      </c>
      <c r="O36" s="351" t="s">
        <v>510</v>
      </c>
      <c r="P36" s="339">
        <v>44256</v>
      </c>
      <c r="Q36" s="55" t="s">
        <v>601</v>
      </c>
      <c r="R36" s="55"/>
      <c r="S36" s="55"/>
      <c r="T36" s="55" t="s">
        <v>1</v>
      </c>
      <c r="U36" s="192"/>
      <c r="V36" s="192"/>
      <c r="W36" s="192"/>
      <c r="X36" s="6"/>
      <c r="Y36" s="6"/>
      <c r="Z36" s="6"/>
      <c r="AA36" s="6"/>
      <c r="AB36" s="6"/>
      <c r="AC36" s="6"/>
      <c r="AD36" s="6"/>
      <c r="AE36" s="6"/>
      <c r="AF36" s="6"/>
      <c r="AG36" s="6"/>
      <c r="AH36" s="6"/>
      <c r="AI36" s="6"/>
      <c r="AJ36" s="6"/>
    </row>
    <row r="37" spans="1:36" s="93" customFormat="1" ht="23.25" x14ac:dyDescent="0.25">
      <c r="A37" s="237"/>
      <c r="B37" s="237"/>
      <c r="C37" s="279"/>
      <c r="D37" s="279"/>
      <c r="E37" s="279"/>
      <c r="F37" s="279"/>
      <c r="G37" s="279"/>
      <c r="H37" s="279"/>
      <c r="I37" s="279"/>
      <c r="J37" s="284"/>
      <c r="K37" s="285"/>
      <c r="L37" s="285"/>
      <c r="M37" s="283"/>
      <c r="N37" s="237"/>
      <c r="O37" s="237"/>
      <c r="P37" s="237"/>
      <c r="Q37" s="68"/>
      <c r="R37" s="133"/>
      <c r="S37" s="133"/>
      <c r="T37" s="68"/>
      <c r="U37" s="91"/>
    </row>
    <row r="38" spans="1:36" ht="40.5" customHeight="1" x14ac:dyDescent="0.25">
      <c r="A38" s="238">
        <v>3</v>
      </c>
      <c r="B38" s="238">
        <v>3</v>
      </c>
      <c r="C38" s="465" t="s">
        <v>9</v>
      </c>
      <c r="D38" s="466"/>
      <c r="E38" s="466"/>
      <c r="F38" s="466"/>
      <c r="G38" s="466"/>
      <c r="H38" s="466"/>
      <c r="I38" s="466"/>
      <c r="J38" s="239">
        <f>SUM(J39:J51)</f>
        <v>13347395.836666666</v>
      </c>
      <c r="K38" s="240"/>
      <c r="L38" s="240"/>
      <c r="M38" s="240"/>
      <c r="N38" s="240"/>
      <c r="O38" s="240"/>
      <c r="P38" s="240"/>
      <c r="Q38" s="47"/>
      <c r="R38" s="47"/>
      <c r="S38" s="47"/>
      <c r="T38" s="48"/>
      <c r="U38" s="91"/>
      <c r="V38" s="91"/>
      <c r="W38" s="91"/>
    </row>
    <row r="39" spans="1:36" ht="95.25" customHeight="1" x14ac:dyDescent="0.25">
      <c r="A39" s="241" t="s">
        <v>132</v>
      </c>
      <c r="B39" s="241" t="s">
        <v>132</v>
      </c>
      <c r="C39" s="242" t="s">
        <v>556</v>
      </c>
      <c r="D39" s="348" t="s">
        <v>365</v>
      </c>
      <c r="E39" s="348" t="s">
        <v>272</v>
      </c>
      <c r="F39" s="245" t="s">
        <v>612</v>
      </c>
      <c r="G39" s="245" t="s">
        <v>36</v>
      </c>
      <c r="H39" s="245">
        <v>1</v>
      </c>
      <c r="I39" s="354"/>
      <c r="J39" s="244">
        <f>'INFORMATIVO 02 04 19'!E13</f>
        <v>481250</v>
      </c>
      <c r="K39" s="243">
        <v>1</v>
      </c>
      <c r="L39" s="243">
        <v>0</v>
      </c>
      <c r="M39" s="242">
        <v>2</v>
      </c>
      <c r="N39" s="242" t="s">
        <v>2</v>
      </c>
      <c r="O39" s="339">
        <v>43709</v>
      </c>
      <c r="P39" s="339">
        <v>43831</v>
      </c>
      <c r="Q39" s="55"/>
      <c r="R39" s="64"/>
      <c r="S39" s="64"/>
      <c r="T39" s="55" t="s">
        <v>1</v>
      </c>
      <c r="U39" s="192" t="s">
        <v>592</v>
      </c>
    </row>
    <row r="40" spans="1:36" ht="78" customHeight="1" x14ac:dyDescent="0.25">
      <c r="A40" s="241" t="s">
        <v>141</v>
      </c>
      <c r="B40" s="241" t="s">
        <v>141</v>
      </c>
      <c r="C40" s="242" t="s">
        <v>556</v>
      </c>
      <c r="D40" s="348" t="s">
        <v>540</v>
      </c>
      <c r="E40" s="348" t="s">
        <v>541</v>
      </c>
      <c r="F40" s="245" t="s">
        <v>626</v>
      </c>
      <c r="G40" s="245" t="s">
        <v>36</v>
      </c>
      <c r="H40" s="245">
        <v>1</v>
      </c>
      <c r="I40" s="354"/>
      <c r="J40" s="258">
        <f>'INFORMATIVO 02 04 19'!E77</f>
        <v>1357291.666666667</v>
      </c>
      <c r="K40" s="243">
        <v>1</v>
      </c>
      <c r="L40" s="243">
        <v>0</v>
      </c>
      <c r="M40" s="242">
        <v>2</v>
      </c>
      <c r="N40" s="242" t="s">
        <v>2</v>
      </c>
      <c r="O40" s="339">
        <v>43739</v>
      </c>
      <c r="P40" s="339">
        <v>43862</v>
      </c>
      <c r="Q40" s="55"/>
      <c r="R40" s="64"/>
      <c r="S40" s="64"/>
      <c r="T40" s="55" t="s">
        <v>1</v>
      </c>
      <c r="U40" s="192"/>
    </row>
    <row r="41" spans="1:36" ht="90.75" customHeight="1" x14ac:dyDescent="0.25">
      <c r="A41" s="241" t="s">
        <v>268</v>
      </c>
      <c r="B41" s="241" t="s">
        <v>268</v>
      </c>
      <c r="C41" s="242" t="s">
        <v>556</v>
      </c>
      <c r="D41" s="246" t="s">
        <v>367</v>
      </c>
      <c r="E41" s="246" t="s">
        <v>368</v>
      </c>
      <c r="F41" s="245" t="s">
        <v>627</v>
      </c>
      <c r="G41" s="245" t="s">
        <v>34</v>
      </c>
      <c r="H41" s="245">
        <v>1</v>
      </c>
      <c r="I41" s="354"/>
      <c r="J41" s="399">
        <f>'INFORMATIVO 02 04 19'!D40</f>
        <v>16666.669999999998</v>
      </c>
      <c r="K41" s="243">
        <v>1</v>
      </c>
      <c r="L41" s="243">
        <v>0</v>
      </c>
      <c r="M41" s="242">
        <v>2</v>
      </c>
      <c r="N41" s="242" t="s">
        <v>4</v>
      </c>
      <c r="O41" s="339">
        <v>43831</v>
      </c>
      <c r="P41" s="339">
        <v>43891</v>
      </c>
      <c r="Q41" s="55" t="s">
        <v>70</v>
      </c>
      <c r="R41" s="64"/>
      <c r="S41" s="64"/>
      <c r="T41" s="55" t="s">
        <v>1</v>
      </c>
      <c r="U41" s="192"/>
      <c r="V41" s="6"/>
      <c r="W41" s="6"/>
      <c r="X41" s="6"/>
      <c r="Y41" s="6"/>
      <c r="Z41" s="6"/>
      <c r="AA41" s="6"/>
      <c r="AB41" s="6"/>
      <c r="AC41" s="6"/>
      <c r="AD41" s="6"/>
      <c r="AE41" s="6"/>
      <c r="AF41" s="6"/>
      <c r="AG41" s="6"/>
      <c r="AH41" s="6"/>
      <c r="AI41" s="6"/>
      <c r="AJ41" s="6"/>
    </row>
    <row r="42" spans="1:36" ht="93" x14ac:dyDescent="0.25">
      <c r="A42" s="241" t="s">
        <v>269</v>
      </c>
      <c r="B42" s="241" t="s">
        <v>269</v>
      </c>
      <c r="C42" s="242" t="s">
        <v>556</v>
      </c>
      <c r="D42" s="348" t="s">
        <v>370</v>
      </c>
      <c r="E42" s="348" t="s">
        <v>369</v>
      </c>
      <c r="F42" s="245" t="s">
        <v>628</v>
      </c>
      <c r="G42" s="245" t="s">
        <v>34</v>
      </c>
      <c r="H42" s="245">
        <v>1</v>
      </c>
      <c r="I42" s="354"/>
      <c r="J42" s="244">
        <f>'INFORMATIVO 02 04 19'!C82</f>
        <v>46875</v>
      </c>
      <c r="K42" s="243">
        <v>1</v>
      </c>
      <c r="L42" s="243">
        <v>0</v>
      </c>
      <c r="M42" s="242">
        <v>2</v>
      </c>
      <c r="N42" s="242" t="s">
        <v>4</v>
      </c>
      <c r="O42" s="339">
        <v>44197</v>
      </c>
      <c r="P42" s="339">
        <v>44256</v>
      </c>
      <c r="Q42" s="55" t="s">
        <v>70</v>
      </c>
      <c r="R42" s="64"/>
      <c r="S42" s="64"/>
      <c r="T42" s="55" t="s">
        <v>1</v>
      </c>
      <c r="U42" s="192"/>
    </row>
    <row r="43" spans="1:36" ht="79.5" customHeight="1" x14ac:dyDescent="0.25">
      <c r="A43" s="241" t="s">
        <v>270</v>
      </c>
      <c r="B43" s="241" t="s">
        <v>270</v>
      </c>
      <c r="C43" s="242" t="s">
        <v>556</v>
      </c>
      <c r="D43" s="348" t="s">
        <v>372</v>
      </c>
      <c r="E43" s="348" t="s">
        <v>314</v>
      </c>
      <c r="F43" s="245" t="s">
        <v>623</v>
      </c>
      <c r="G43" s="245" t="s">
        <v>36</v>
      </c>
      <c r="H43" s="245">
        <v>1</v>
      </c>
      <c r="I43" s="354"/>
      <c r="J43" s="244">
        <f>'INFORMATIVO 02 04 19'!C64</f>
        <v>250000</v>
      </c>
      <c r="K43" s="243">
        <v>1</v>
      </c>
      <c r="L43" s="243">
        <v>0</v>
      </c>
      <c r="M43" s="242">
        <v>2</v>
      </c>
      <c r="N43" s="242" t="s">
        <v>2</v>
      </c>
      <c r="O43" s="339">
        <v>43647</v>
      </c>
      <c r="P43" s="339">
        <v>43800</v>
      </c>
      <c r="Q43" s="55"/>
      <c r="R43" s="64"/>
      <c r="S43" s="64"/>
      <c r="T43" s="55" t="s">
        <v>1</v>
      </c>
      <c r="U43" s="192"/>
    </row>
    <row r="44" spans="1:36" ht="126" customHeight="1" x14ac:dyDescent="0.25">
      <c r="A44" s="241" t="s">
        <v>271</v>
      </c>
      <c r="B44" s="241" t="s">
        <v>271</v>
      </c>
      <c r="C44" s="242" t="s">
        <v>556</v>
      </c>
      <c r="D44" s="246" t="s">
        <v>371</v>
      </c>
      <c r="E44" s="246" t="s">
        <v>323</v>
      </c>
      <c r="F44" s="245" t="s">
        <v>629</v>
      </c>
      <c r="G44" s="245" t="s">
        <v>34</v>
      </c>
      <c r="H44" s="245">
        <v>1</v>
      </c>
      <c r="I44" s="354"/>
      <c r="J44" s="244">
        <f>'INFORMATIVO 02 04 19'!C88</f>
        <v>93750</v>
      </c>
      <c r="K44" s="243">
        <v>1</v>
      </c>
      <c r="L44" s="243">
        <v>0</v>
      </c>
      <c r="M44" s="242">
        <v>2</v>
      </c>
      <c r="N44" s="242" t="s">
        <v>4</v>
      </c>
      <c r="O44" s="339">
        <v>43678</v>
      </c>
      <c r="P44" s="339">
        <v>43739</v>
      </c>
      <c r="Q44" s="55" t="s">
        <v>70</v>
      </c>
      <c r="R44" s="64"/>
      <c r="S44" s="64"/>
      <c r="T44" s="55" t="s">
        <v>1</v>
      </c>
      <c r="U44" s="192"/>
    </row>
    <row r="45" spans="1:36" s="393" customFormat="1" ht="109.5" customHeight="1" x14ac:dyDescent="0.25">
      <c r="A45" s="241" t="s">
        <v>424</v>
      </c>
      <c r="B45" s="241" t="s">
        <v>424</v>
      </c>
      <c r="C45" s="242" t="s">
        <v>556</v>
      </c>
      <c r="D45" s="245" t="s">
        <v>555</v>
      </c>
      <c r="E45" s="245" t="s">
        <v>160</v>
      </c>
      <c r="F45" s="245" t="s">
        <v>630</v>
      </c>
      <c r="G45" s="245" t="s">
        <v>36</v>
      </c>
      <c r="H45" s="245">
        <v>1</v>
      </c>
      <c r="I45" s="245"/>
      <c r="J45" s="337">
        <f>'[4]PEP US$'!$E$37+'[4]PEP US$'!$E$40</f>
        <v>4825000</v>
      </c>
      <c r="K45" s="243">
        <v>1</v>
      </c>
      <c r="L45" s="243">
        <v>0</v>
      </c>
      <c r="M45" s="242">
        <v>1</v>
      </c>
      <c r="N45" s="242" t="s">
        <v>2</v>
      </c>
      <c r="O45" s="339">
        <v>43647</v>
      </c>
      <c r="P45" s="339">
        <v>43800</v>
      </c>
      <c r="Q45" s="55" t="s">
        <v>557</v>
      </c>
      <c r="R45" s="64"/>
      <c r="S45" s="64"/>
      <c r="T45" s="55" t="s">
        <v>1</v>
      </c>
      <c r="U45" s="192"/>
    </row>
    <row r="46" spans="1:36" s="393" customFormat="1" ht="109.5" customHeight="1" x14ac:dyDescent="0.25">
      <c r="A46" s="241" t="s">
        <v>551</v>
      </c>
      <c r="B46" s="241" t="s">
        <v>548</v>
      </c>
      <c r="C46" s="242" t="s">
        <v>556</v>
      </c>
      <c r="D46" s="245" t="s">
        <v>602</v>
      </c>
      <c r="E46" s="245" t="s">
        <v>553</v>
      </c>
      <c r="F46" s="245" t="s">
        <v>631</v>
      </c>
      <c r="G46" s="245" t="s">
        <v>34</v>
      </c>
      <c r="H46" s="245">
        <v>1</v>
      </c>
      <c r="I46" s="245"/>
      <c r="J46" s="244">
        <v>50000</v>
      </c>
      <c r="K46" s="243">
        <v>1</v>
      </c>
      <c r="L46" s="243">
        <v>0</v>
      </c>
      <c r="M46" s="242">
        <v>1</v>
      </c>
      <c r="N46" s="242" t="s">
        <v>4</v>
      </c>
      <c r="O46" s="351" t="s">
        <v>514</v>
      </c>
      <c r="P46" s="351" t="s">
        <v>233</v>
      </c>
      <c r="Q46" s="55" t="s">
        <v>70</v>
      </c>
      <c r="R46" s="64"/>
      <c r="S46" s="64"/>
      <c r="T46" s="55" t="s">
        <v>1</v>
      </c>
      <c r="U46" s="192"/>
    </row>
    <row r="47" spans="1:36" s="393" customFormat="1" ht="279" x14ac:dyDescent="0.25">
      <c r="A47" s="241" t="s">
        <v>554</v>
      </c>
      <c r="B47" s="241" t="s">
        <v>549</v>
      </c>
      <c r="C47" s="242" t="s">
        <v>556</v>
      </c>
      <c r="D47" s="245" t="s">
        <v>559</v>
      </c>
      <c r="E47" s="245" t="s">
        <v>560</v>
      </c>
      <c r="F47" s="245" t="s">
        <v>632</v>
      </c>
      <c r="G47" s="245" t="s">
        <v>36</v>
      </c>
      <c r="H47" s="245">
        <v>1</v>
      </c>
      <c r="I47" s="354"/>
      <c r="J47" s="244">
        <f>'[3]PEP US$'!$E$41</f>
        <v>345312.5</v>
      </c>
      <c r="K47" s="243">
        <v>1</v>
      </c>
      <c r="L47" s="243">
        <v>0</v>
      </c>
      <c r="M47" s="242">
        <v>1</v>
      </c>
      <c r="N47" s="242" t="s">
        <v>2</v>
      </c>
      <c r="O47" s="339">
        <v>43831</v>
      </c>
      <c r="P47" s="339">
        <v>43983</v>
      </c>
      <c r="Q47" s="55" t="s">
        <v>557</v>
      </c>
      <c r="R47" s="64"/>
      <c r="S47" s="64"/>
      <c r="T47" s="55" t="s">
        <v>1</v>
      </c>
      <c r="U47" s="192"/>
    </row>
    <row r="48" spans="1:36" ht="139.5" x14ac:dyDescent="0.25">
      <c r="A48" s="241" t="s">
        <v>175</v>
      </c>
      <c r="B48" s="241" t="s">
        <v>550</v>
      </c>
      <c r="C48" s="242" t="s">
        <v>556</v>
      </c>
      <c r="D48" s="245" t="s">
        <v>648</v>
      </c>
      <c r="E48" s="245" t="s">
        <v>665</v>
      </c>
      <c r="F48" s="397" t="s">
        <v>633</v>
      </c>
      <c r="G48" s="245" t="s">
        <v>36</v>
      </c>
      <c r="H48" s="245">
        <v>1</v>
      </c>
      <c r="I48" s="245"/>
      <c r="J48" s="258">
        <f>'[3]PEP US$'!$E$53+'INFORMATIVO 02 04 19'!D23+'INFORMATIVO 02 04 19'!D34+'INFORMATIVO 02 04 19'!C100+'INFORMATIVO 02 04 19'!C101</f>
        <v>2381250</v>
      </c>
      <c r="K48" s="243">
        <v>1</v>
      </c>
      <c r="L48" s="243">
        <v>0</v>
      </c>
      <c r="M48" s="242">
        <v>2</v>
      </c>
      <c r="N48" s="242" t="s">
        <v>3</v>
      </c>
      <c r="O48" s="339">
        <v>43647</v>
      </c>
      <c r="P48" s="339">
        <v>43800</v>
      </c>
      <c r="Q48" s="55"/>
      <c r="R48" s="64"/>
      <c r="S48" s="64"/>
      <c r="T48" s="55" t="s">
        <v>1</v>
      </c>
      <c r="U48" s="6"/>
    </row>
    <row r="49" spans="1:23" ht="69.75" x14ac:dyDescent="0.25">
      <c r="A49" s="241" t="s">
        <v>245</v>
      </c>
      <c r="B49" s="241" t="s">
        <v>551</v>
      </c>
      <c r="C49" s="242" t="s">
        <v>556</v>
      </c>
      <c r="D49" s="246" t="s">
        <v>603</v>
      </c>
      <c r="E49" s="246" t="s">
        <v>605</v>
      </c>
      <c r="F49" s="245" t="s">
        <v>622</v>
      </c>
      <c r="G49" s="245" t="s">
        <v>34</v>
      </c>
      <c r="H49" s="245">
        <v>1</v>
      </c>
      <c r="I49" s="245"/>
      <c r="J49" s="244">
        <f>'INFORMATIVO 02 04 19'!E54</f>
        <v>2812500</v>
      </c>
      <c r="K49" s="243">
        <v>1</v>
      </c>
      <c r="L49" s="243">
        <v>0</v>
      </c>
      <c r="M49" s="242">
        <v>2</v>
      </c>
      <c r="N49" s="242" t="s">
        <v>4</v>
      </c>
      <c r="O49" s="339">
        <v>43709</v>
      </c>
      <c r="P49" s="339">
        <v>43770</v>
      </c>
      <c r="Q49" s="55" t="s">
        <v>70</v>
      </c>
      <c r="R49" s="64"/>
      <c r="S49" s="64"/>
      <c r="T49" s="55" t="s">
        <v>1</v>
      </c>
      <c r="U49" s="6"/>
    </row>
    <row r="50" spans="1:23" ht="93" x14ac:dyDescent="0.25">
      <c r="A50" s="241" t="s">
        <v>246</v>
      </c>
      <c r="B50" s="241" t="s">
        <v>554</v>
      </c>
      <c r="C50" s="242" t="s">
        <v>556</v>
      </c>
      <c r="D50" s="246" t="s">
        <v>604</v>
      </c>
      <c r="E50" s="246" t="s">
        <v>606</v>
      </c>
      <c r="F50" s="245" t="s">
        <v>622</v>
      </c>
      <c r="G50" s="245" t="s">
        <v>34</v>
      </c>
      <c r="H50" s="245">
        <v>1</v>
      </c>
      <c r="I50" s="245"/>
      <c r="J50" s="244">
        <f>'INFORMATIVO 02 04 19'!D55</f>
        <v>187500</v>
      </c>
      <c r="K50" s="243">
        <v>1</v>
      </c>
      <c r="L50" s="243">
        <v>0</v>
      </c>
      <c r="M50" s="242">
        <v>2</v>
      </c>
      <c r="N50" s="242" t="s">
        <v>4</v>
      </c>
      <c r="O50" s="339">
        <v>43709</v>
      </c>
      <c r="P50" s="339">
        <v>43770</v>
      </c>
      <c r="Q50" s="55" t="s">
        <v>70</v>
      </c>
      <c r="R50" s="64"/>
      <c r="S50" s="64"/>
      <c r="T50" s="55" t="s">
        <v>1</v>
      </c>
      <c r="U50" s="192"/>
    </row>
    <row r="51" spans="1:23" ht="69.75" x14ac:dyDescent="0.25">
      <c r="A51" s="401"/>
      <c r="B51" s="241" t="s">
        <v>666</v>
      </c>
      <c r="C51" s="242" t="s">
        <v>556</v>
      </c>
      <c r="D51" s="245" t="s">
        <v>533</v>
      </c>
      <c r="E51" s="245" t="s">
        <v>581</v>
      </c>
      <c r="F51" s="245" t="s">
        <v>340</v>
      </c>
      <c r="G51" s="245" t="s">
        <v>34</v>
      </c>
      <c r="H51" s="245">
        <v>1</v>
      </c>
      <c r="I51" s="245"/>
      <c r="J51" s="244">
        <v>500000</v>
      </c>
      <c r="K51" s="243">
        <v>1</v>
      </c>
      <c r="L51" s="243">
        <v>0</v>
      </c>
      <c r="M51" s="242" t="s">
        <v>335</v>
      </c>
      <c r="N51" s="242" t="s">
        <v>4</v>
      </c>
      <c r="O51" s="351" t="s">
        <v>650</v>
      </c>
      <c r="P51" s="339">
        <v>43617</v>
      </c>
      <c r="Q51" s="55"/>
      <c r="R51" s="64"/>
      <c r="S51" s="64"/>
      <c r="T51" s="55" t="s">
        <v>1</v>
      </c>
      <c r="U51" s="192"/>
    </row>
    <row r="52" spans="1:23" s="93" customFormat="1" ht="23.25" x14ac:dyDescent="0.25">
      <c r="A52" s="237"/>
      <c r="B52" s="237"/>
      <c r="C52" s="279"/>
      <c r="D52" s="279"/>
      <c r="E52" s="279"/>
      <c r="F52" s="279"/>
      <c r="G52" s="279"/>
      <c r="H52" s="279"/>
      <c r="I52" s="279"/>
      <c r="J52" s="284"/>
      <c r="K52" s="285"/>
      <c r="L52" s="285"/>
      <c r="M52" s="283"/>
      <c r="N52" s="237"/>
      <c r="O52" s="237"/>
      <c r="P52" s="237"/>
      <c r="Q52" s="68"/>
      <c r="R52" s="133"/>
      <c r="S52" s="133"/>
      <c r="T52" s="68"/>
      <c r="U52" s="91"/>
    </row>
    <row r="53" spans="1:23" ht="40.5" customHeight="1" x14ac:dyDescent="0.25">
      <c r="A53" s="238">
        <v>4</v>
      </c>
      <c r="B53" s="238" t="s">
        <v>664</v>
      </c>
      <c r="C53" s="465" t="s">
        <v>607</v>
      </c>
      <c r="D53" s="466"/>
      <c r="E53" s="466"/>
      <c r="F53" s="466"/>
      <c r="G53" s="466"/>
      <c r="H53" s="466"/>
      <c r="I53" s="466"/>
      <c r="J53" s="239">
        <f>SUM(J54:J87)</f>
        <v>23094375.013333332</v>
      </c>
      <c r="K53" s="240"/>
      <c r="L53" s="240"/>
      <c r="M53" s="240"/>
      <c r="N53" s="240"/>
      <c r="O53" s="240"/>
      <c r="P53" s="240"/>
      <c r="Q53" s="47"/>
      <c r="R53" s="47"/>
      <c r="S53" s="47"/>
      <c r="T53" s="48"/>
      <c r="U53" s="91"/>
      <c r="V53" s="91"/>
      <c r="W53" s="91"/>
    </row>
    <row r="54" spans="1:23" s="393" customFormat="1" ht="109.5" customHeight="1" x14ac:dyDescent="0.25">
      <c r="A54" s="241" t="s">
        <v>548</v>
      </c>
      <c r="B54" s="241" t="s">
        <v>133</v>
      </c>
      <c r="C54" s="242" t="s">
        <v>556</v>
      </c>
      <c r="D54" s="245" t="s">
        <v>552</v>
      </c>
      <c r="E54" s="245" t="s">
        <v>158</v>
      </c>
      <c r="F54" s="245" t="s">
        <v>635</v>
      </c>
      <c r="G54" s="245" t="s">
        <v>41</v>
      </c>
      <c r="H54" s="245">
        <v>1</v>
      </c>
      <c r="I54" s="245"/>
      <c r="J54" s="337">
        <f>'[1]PEP US$'!$E$7+'[1]PEP US$'!$E$8-J96</f>
        <v>2167500</v>
      </c>
      <c r="K54" s="243">
        <v>1</v>
      </c>
      <c r="L54" s="243">
        <v>0</v>
      </c>
      <c r="M54" s="242">
        <v>1</v>
      </c>
      <c r="N54" s="242" t="s">
        <v>3</v>
      </c>
      <c r="O54" s="351" t="s">
        <v>232</v>
      </c>
      <c r="P54" s="351" t="s">
        <v>233</v>
      </c>
      <c r="Q54" s="55" t="s">
        <v>557</v>
      </c>
      <c r="R54" s="64"/>
      <c r="S54" s="64"/>
      <c r="T54" s="55" t="s">
        <v>1</v>
      </c>
      <c r="U54" s="392"/>
    </row>
    <row r="55" spans="1:23" s="393" customFormat="1" ht="109.5" customHeight="1" x14ac:dyDescent="0.25">
      <c r="A55" s="241" t="s">
        <v>549</v>
      </c>
      <c r="B55" s="241" t="s">
        <v>125</v>
      </c>
      <c r="C55" s="242" t="s">
        <v>556</v>
      </c>
      <c r="D55" s="245" t="s">
        <v>558</v>
      </c>
      <c r="E55" s="245" t="s">
        <v>164</v>
      </c>
      <c r="F55" s="245" t="s">
        <v>634</v>
      </c>
      <c r="G55" s="245" t="s">
        <v>41</v>
      </c>
      <c r="H55" s="245">
        <v>1</v>
      </c>
      <c r="I55" s="245"/>
      <c r="J55" s="337">
        <f>'[1]PEP US$'!$E$9</f>
        <v>846875</v>
      </c>
      <c r="K55" s="243">
        <v>1</v>
      </c>
      <c r="L55" s="243">
        <v>0</v>
      </c>
      <c r="M55" s="242">
        <v>1</v>
      </c>
      <c r="N55" s="242" t="s">
        <v>2</v>
      </c>
      <c r="O55" s="339">
        <v>43831</v>
      </c>
      <c r="P55" s="339">
        <v>43983</v>
      </c>
      <c r="Q55" s="55" t="s">
        <v>557</v>
      </c>
      <c r="R55" s="64"/>
      <c r="S55" s="64"/>
      <c r="T55" s="55" t="s">
        <v>1</v>
      </c>
      <c r="U55" s="392"/>
    </row>
    <row r="56" spans="1:23" s="393" customFormat="1" ht="109.5" customHeight="1" x14ac:dyDescent="0.25">
      <c r="A56" s="241" t="s">
        <v>550</v>
      </c>
      <c r="B56" s="241" t="s">
        <v>128</v>
      </c>
      <c r="C56" s="242" t="s">
        <v>556</v>
      </c>
      <c r="D56" s="245" t="s">
        <v>558</v>
      </c>
      <c r="E56" s="245" t="s">
        <v>180</v>
      </c>
      <c r="F56" s="245" t="s">
        <v>636</v>
      </c>
      <c r="G56" s="245" t="s">
        <v>41</v>
      </c>
      <c r="H56" s="245">
        <v>1</v>
      </c>
      <c r="I56" s="245"/>
      <c r="J56" s="337">
        <f>'[1]PEP US$'!$E$10-J97</f>
        <v>214375</v>
      </c>
      <c r="K56" s="243">
        <v>1</v>
      </c>
      <c r="L56" s="243">
        <v>0</v>
      </c>
      <c r="M56" s="242">
        <v>1</v>
      </c>
      <c r="N56" s="242" t="s">
        <v>2</v>
      </c>
      <c r="O56" s="339">
        <v>43831</v>
      </c>
      <c r="P56" s="339">
        <v>43983</v>
      </c>
      <c r="Q56" s="55" t="s">
        <v>557</v>
      </c>
      <c r="R56" s="64"/>
      <c r="S56" s="64"/>
      <c r="T56" s="55" t="s">
        <v>1</v>
      </c>
      <c r="U56" s="392"/>
    </row>
    <row r="57" spans="1:23" s="93" customFormat="1" ht="168.75" customHeight="1" x14ac:dyDescent="0.25">
      <c r="A57" s="241" t="s">
        <v>148</v>
      </c>
      <c r="B57" s="241" t="s">
        <v>134</v>
      </c>
      <c r="C57" s="242" t="s">
        <v>556</v>
      </c>
      <c r="D57" s="348" t="s">
        <v>216</v>
      </c>
      <c r="E57" s="348" t="s">
        <v>593</v>
      </c>
      <c r="F57" s="348" t="s">
        <v>637</v>
      </c>
      <c r="G57" s="245" t="s">
        <v>41</v>
      </c>
      <c r="H57" s="245">
        <v>1</v>
      </c>
      <c r="I57" s="245"/>
      <c r="J57" s="342">
        <f>'INFORMATIVO 02 04 19'!D14+'INFORMATIVO 02 04 19'!D17+'INFORMATIVO 02 04 19'!E16+'INFORMATIVO 02 04 19'!E18+'INFORMATIVO 02 04 19'!E20</f>
        <v>496875</v>
      </c>
      <c r="K57" s="243">
        <v>1</v>
      </c>
      <c r="L57" s="243">
        <v>0</v>
      </c>
      <c r="M57" s="242">
        <v>2</v>
      </c>
      <c r="N57" s="242" t="s">
        <v>2</v>
      </c>
      <c r="O57" s="339">
        <v>43831</v>
      </c>
      <c r="P57" s="339">
        <v>43983</v>
      </c>
      <c r="Q57" s="55"/>
      <c r="R57" s="64"/>
      <c r="S57" s="64"/>
      <c r="T57" s="55" t="s">
        <v>1</v>
      </c>
      <c r="U57" s="91"/>
    </row>
    <row r="58" spans="1:23" ht="99" customHeight="1" x14ac:dyDescent="0.25">
      <c r="A58" s="241" t="s">
        <v>165</v>
      </c>
      <c r="B58" s="241" t="s">
        <v>127</v>
      </c>
      <c r="C58" s="242" t="s">
        <v>556</v>
      </c>
      <c r="D58" s="348" t="s">
        <v>543</v>
      </c>
      <c r="E58" s="348" t="s">
        <v>542</v>
      </c>
      <c r="F58" s="348" t="s">
        <v>637</v>
      </c>
      <c r="G58" s="245" t="s">
        <v>77</v>
      </c>
      <c r="H58" s="245">
        <v>1</v>
      </c>
      <c r="I58" s="245"/>
      <c r="J58" s="342">
        <f>'INFORMATIVO 02 04 19'!D15</f>
        <v>15625</v>
      </c>
      <c r="K58" s="243">
        <v>1</v>
      </c>
      <c r="L58" s="243">
        <v>0</v>
      </c>
      <c r="M58" s="242">
        <v>2</v>
      </c>
      <c r="N58" s="242" t="s">
        <v>2</v>
      </c>
      <c r="O58" s="339">
        <v>43922</v>
      </c>
      <c r="P58" s="339">
        <v>44013</v>
      </c>
      <c r="Q58" s="55"/>
      <c r="R58" s="64"/>
      <c r="S58" s="64"/>
      <c r="T58" s="55" t="s">
        <v>1</v>
      </c>
      <c r="U58" s="91"/>
    </row>
    <row r="59" spans="1:23" ht="114" customHeight="1" x14ac:dyDescent="0.25">
      <c r="A59" s="241" t="s">
        <v>169</v>
      </c>
      <c r="B59" s="241" t="s">
        <v>131</v>
      </c>
      <c r="C59" s="242" t="s">
        <v>556</v>
      </c>
      <c r="D59" s="348" t="s">
        <v>222</v>
      </c>
      <c r="E59" s="348" t="s">
        <v>531</v>
      </c>
      <c r="F59" s="348" t="s">
        <v>637</v>
      </c>
      <c r="G59" s="245" t="s">
        <v>77</v>
      </c>
      <c r="H59" s="245">
        <v>1</v>
      </c>
      <c r="I59" s="245"/>
      <c r="J59" s="342">
        <f>'INFORMATIVO 02 04 19'!D19</f>
        <v>78125</v>
      </c>
      <c r="K59" s="243">
        <v>1</v>
      </c>
      <c r="L59" s="243">
        <v>0</v>
      </c>
      <c r="M59" s="242">
        <v>2</v>
      </c>
      <c r="N59" s="242" t="s">
        <v>2</v>
      </c>
      <c r="O59" s="339">
        <v>43831</v>
      </c>
      <c r="P59" s="339">
        <v>43922</v>
      </c>
      <c r="Q59" s="55"/>
      <c r="R59" s="64"/>
      <c r="S59" s="64"/>
      <c r="T59" s="55" t="s">
        <v>1</v>
      </c>
      <c r="U59" s="91" t="s">
        <v>544</v>
      </c>
    </row>
    <row r="60" spans="1:23" ht="99.75" customHeight="1" x14ac:dyDescent="0.25">
      <c r="A60" s="241" t="s">
        <v>171</v>
      </c>
      <c r="B60" s="241" t="s">
        <v>129</v>
      </c>
      <c r="C60" s="242" t="s">
        <v>556</v>
      </c>
      <c r="D60" s="348" t="s">
        <v>223</v>
      </c>
      <c r="E60" s="348" t="s">
        <v>189</v>
      </c>
      <c r="F60" s="348" t="s">
        <v>637</v>
      </c>
      <c r="G60" s="245" t="s">
        <v>77</v>
      </c>
      <c r="H60" s="245">
        <v>1</v>
      </c>
      <c r="I60" s="245"/>
      <c r="J60" s="342">
        <v>37500</v>
      </c>
      <c r="K60" s="243">
        <v>1</v>
      </c>
      <c r="L60" s="243">
        <v>0</v>
      </c>
      <c r="M60" s="242">
        <v>2</v>
      </c>
      <c r="N60" s="242" t="s">
        <v>2</v>
      </c>
      <c r="O60" s="339">
        <v>43831</v>
      </c>
      <c r="P60" s="339">
        <v>43922</v>
      </c>
      <c r="Q60" s="55"/>
      <c r="R60" s="64"/>
      <c r="S60" s="64"/>
      <c r="T60" s="55" t="s">
        <v>1</v>
      </c>
      <c r="U60" s="91"/>
    </row>
    <row r="61" spans="1:23" ht="111" customHeight="1" x14ac:dyDescent="0.25">
      <c r="A61" s="241" t="s">
        <v>172</v>
      </c>
      <c r="B61" s="241" t="s">
        <v>142</v>
      </c>
      <c r="C61" s="242" t="s">
        <v>556</v>
      </c>
      <c r="D61" s="348" t="s">
        <v>223</v>
      </c>
      <c r="E61" s="348" t="s">
        <v>608</v>
      </c>
      <c r="F61" s="348" t="s">
        <v>637</v>
      </c>
      <c r="G61" s="245" t="s">
        <v>77</v>
      </c>
      <c r="H61" s="245">
        <v>1</v>
      </c>
      <c r="I61" s="245"/>
      <c r="J61" s="342">
        <f>'INFORMATIVO 02 04 19'!D22</f>
        <v>37500</v>
      </c>
      <c r="K61" s="243">
        <v>1</v>
      </c>
      <c r="L61" s="243">
        <v>0</v>
      </c>
      <c r="M61" s="242">
        <v>2</v>
      </c>
      <c r="N61" s="242" t="s">
        <v>2</v>
      </c>
      <c r="O61" s="339">
        <v>43831</v>
      </c>
      <c r="P61" s="339">
        <v>43922</v>
      </c>
      <c r="Q61" s="55"/>
      <c r="R61" s="64"/>
      <c r="S61" s="64"/>
      <c r="T61" s="55" t="s">
        <v>1</v>
      </c>
      <c r="U61" s="91"/>
    </row>
    <row r="62" spans="1:23" ht="103.5" customHeight="1" x14ac:dyDescent="0.25">
      <c r="A62" s="241" t="s">
        <v>174</v>
      </c>
      <c r="B62" s="241" t="s">
        <v>148</v>
      </c>
      <c r="C62" s="242" t="s">
        <v>556</v>
      </c>
      <c r="D62" s="348" t="s">
        <v>384</v>
      </c>
      <c r="E62" s="348" t="s">
        <v>192</v>
      </c>
      <c r="F62" s="348" t="s">
        <v>637</v>
      </c>
      <c r="G62" s="245" t="s">
        <v>77</v>
      </c>
      <c r="H62" s="245">
        <v>1</v>
      </c>
      <c r="I62" s="245"/>
      <c r="J62" s="337">
        <f>'INFORMATIVO 02 04 19'!D24</f>
        <v>62500</v>
      </c>
      <c r="K62" s="243">
        <v>1</v>
      </c>
      <c r="L62" s="243">
        <v>0</v>
      </c>
      <c r="M62" s="242">
        <v>2</v>
      </c>
      <c r="N62" s="242" t="s">
        <v>2</v>
      </c>
      <c r="O62" s="339">
        <v>43831</v>
      </c>
      <c r="P62" s="339">
        <v>43922</v>
      </c>
      <c r="Q62" s="55"/>
      <c r="R62" s="64"/>
      <c r="S62" s="64"/>
      <c r="T62" s="55" t="s">
        <v>1</v>
      </c>
      <c r="U62" s="91" t="s">
        <v>592</v>
      </c>
    </row>
    <row r="63" spans="1:23" ht="120" customHeight="1" x14ac:dyDescent="0.25">
      <c r="A63" s="241" t="s">
        <v>179</v>
      </c>
      <c r="B63" s="241" t="s">
        <v>165</v>
      </c>
      <c r="C63" s="242" t="s">
        <v>556</v>
      </c>
      <c r="D63" s="348" t="s">
        <v>388</v>
      </c>
      <c r="E63" s="348" t="s">
        <v>285</v>
      </c>
      <c r="F63" s="245" t="s">
        <v>638</v>
      </c>
      <c r="G63" s="245" t="s">
        <v>41</v>
      </c>
      <c r="H63" s="245">
        <v>1</v>
      </c>
      <c r="I63" s="245"/>
      <c r="J63" s="244">
        <f>'INFORMATIVO 02 04 19'!E78</f>
        <v>2714583.333333333</v>
      </c>
      <c r="K63" s="243">
        <v>1</v>
      </c>
      <c r="L63" s="243">
        <v>0</v>
      </c>
      <c r="M63" s="242">
        <v>2</v>
      </c>
      <c r="N63" s="242" t="s">
        <v>3</v>
      </c>
      <c r="O63" s="339">
        <v>43647</v>
      </c>
      <c r="P63" s="339">
        <v>43800</v>
      </c>
      <c r="Q63" s="55"/>
      <c r="R63" s="64"/>
      <c r="S63" s="64"/>
      <c r="T63" s="55" t="s">
        <v>1</v>
      </c>
      <c r="U63" s="91"/>
    </row>
    <row r="64" spans="1:23" ht="220.5" customHeight="1" x14ac:dyDescent="0.25">
      <c r="A64" s="241" t="s">
        <v>241</v>
      </c>
      <c r="B64" s="241" t="s">
        <v>166</v>
      </c>
      <c r="C64" s="242" t="s">
        <v>556</v>
      </c>
      <c r="D64" s="348" t="s">
        <v>387</v>
      </c>
      <c r="E64" s="348" t="s">
        <v>289</v>
      </c>
      <c r="F64" s="245" t="s">
        <v>639</v>
      </c>
      <c r="G64" s="245" t="s">
        <v>41</v>
      </c>
      <c r="H64" s="245">
        <v>1</v>
      </c>
      <c r="I64" s="245"/>
      <c r="J64" s="244">
        <f>'[3]PEP US$'!$E$61</f>
        <v>656250</v>
      </c>
      <c r="K64" s="243">
        <v>1</v>
      </c>
      <c r="L64" s="243">
        <v>0</v>
      </c>
      <c r="M64" s="242">
        <v>2</v>
      </c>
      <c r="N64" s="242" t="s">
        <v>2</v>
      </c>
      <c r="O64" s="351" t="s">
        <v>515</v>
      </c>
      <c r="P64" s="351" t="s">
        <v>610</v>
      </c>
      <c r="Q64" s="55"/>
      <c r="R64" s="64"/>
      <c r="S64" s="64"/>
      <c r="T64" s="55" t="s">
        <v>1</v>
      </c>
      <c r="U64" s="91"/>
    </row>
    <row r="65" spans="1:21" ht="139.5" x14ac:dyDescent="0.25">
      <c r="A65" s="241" t="s">
        <v>432</v>
      </c>
      <c r="B65" s="241" t="s">
        <v>167</v>
      </c>
      <c r="C65" s="242" t="s">
        <v>556</v>
      </c>
      <c r="D65" s="348" t="s">
        <v>609</v>
      </c>
      <c r="E65" s="348" t="s">
        <v>609</v>
      </c>
      <c r="F65" s="372" t="s">
        <v>640</v>
      </c>
      <c r="G65" s="372" t="s">
        <v>77</v>
      </c>
      <c r="H65" s="372">
        <v>1</v>
      </c>
      <c r="I65" s="372"/>
      <c r="J65" s="244">
        <f>'INFORMATIVO 02 04 19'!D106+'INFORMATIVO 02 04 19'!D108</f>
        <v>75000</v>
      </c>
      <c r="K65" s="373">
        <v>1</v>
      </c>
      <c r="L65" s="373">
        <v>0</v>
      </c>
      <c r="M65" s="374">
        <v>2</v>
      </c>
      <c r="N65" s="242" t="s">
        <v>2</v>
      </c>
      <c r="O65" s="351" t="s">
        <v>512</v>
      </c>
      <c r="P65" s="351" t="s">
        <v>513</v>
      </c>
      <c r="Q65" s="195"/>
      <c r="R65" s="197"/>
      <c r="S65" s="197"/>
      <c r="T65" s="55" t="s">
        <v>1</v>
      </c>
      <c r="U65" s="91" t="s">
        <v>592</v>
      </c>
    </row>
    <row r="66" spans="1:21" s="93" customFormat="1" ht="115.5" customHeight="1" x14ac:dyDescent="0.25">
      <c r="A66" s="241" t="s">
        <v>404</v>
      </c>
      <c r="B66" s="241" t="s">
        <v>168</v>
      </c>
      <c r="C66" s="242" t="s">
        <v>556</v>
      </c>
      <c r="D66" s="348" t="s">
        <v>389</v>
      </c>
      <c r="E66" s="348" t="s">
        <v>291</v>
      </c>
      <c r="F66" s="372" t="s">
        <v>640</v>
      </c>
      <c r="G66" s="245" t="s">
        <v>77</v>
      </c>
      <c r="H66" s="245">
        <v>1</v>
      </c>
      <c r="I66" s="245"/>
      <c r="J66" s="244">
        <f>'INFORMATIVO 02 04 19'!D107</f>
        <v>68750</v>
      </c>
      <c r="K66" s="243">
        <v>1</v>
      </c>
      <c r="L66" s="243">
        <v>0</v>
      </c>
      <c r="M66" s="242">
        <v>2</v>
      </c>
      <c r="N66" s="242" t="s">
        <v>2</v>
      </c>
      <c r="O66" s="351" t="s">
        <v>512</v>
      </c>
      <c r="P66" s="351" t="s">
        <v>513</v>
      </c>
      <c r="Q66" s="55"/>
      <c r="R66" s="64"/>
      <c r="S66" s="64"/>
      <c r="T66" s="55" t="s">
        <v>1</v>
      </c>
      <c r="U66" s="91" t="s">
        <v>592</v>
      </c>
    </row>
    <row r="67" spans="1:21" s="93" customFormat="1" ht="120.75" customHeight="1" x14ac:dyDescent="0.25">
      <c r="A67" s="241" t="s">
        <v>436</v>
      </c>
      <c r="B67" s="241" t="s">
        <v>169</v>
      </c>
      <c r="C67" s="242" t="s">
        <v>556</v>
      </c>
      <c r="D67" s="348" t="s">
        <v>437</v>
      </c>
      <c r="E67" s="348" t="s">
        <v>536</v>
      </c>
      <c r="F67" s="372" t="s">
        <v>627</v>
      </c>
      <c r="G67" s="372" t="s">
        <v>77</v>
      </c>
      <c r="H67" s="372">
        <v>1</v>
      </c>
      <c r="I67" s="372"/>
      <c r="J67" s="399">
        <f>'INFORMATIVO 02 04 19'!D41</f>
        <v>16666.669999999998</v>
      </c>
      <c r="K67" s="373">
        <v>1</v>
      </c>
      <c r="L67" s="373">
        <v>0</v>
      </c>
      <c r="M67" s="374">
        <v>2</v>
      </c>
      <c r="N67" s="242" t="s">
        <v>2</v>
      </c>
      <c r="O67" s="339">
        <v>43831</v>
      </c>
      <c r="P67" s="339">
        <v>43922</v>
      </c>
      <c r="Q67" s="195"/>
      <c r="R67" s="197"/>
      <c r="S67" s="197"/>
      <c r="T67" s="55" t="s">
        <v>1</v>
      </c>
      <c r="U67" s="91" t="s">
        <v>592</v>
      </c>
    </row>
    <row r="68" spans="1:21" s="288" customFormat="1" ht="93" x14ac:dyDescent="0.25">
      <c r="A68" s="241" t="s">
        <v>439</v>
      </c>
      <c r="B68" s="241" t="s">
        <v>170</v>
      </c>
      <c r="C68" s="242" t="s">
        <v>556</v>
      </c>
      <c r="D68" s="246" t="s">
        <v>440</v>
      </c>
      <c r="E68" s="246" t="s">
        <v>440</v>
      </c>
      <c r="F68" s="372" t="s">
        <v>627</v>
      </c>
      <c r="G68" s="372" t="s">
        <v>77</v>
      </c>
      <c r="H68" s="372">
        <v>1</v>
      </c>
      <c r="I68" s="372"/>
      <c r="J68" s="399">
        <f>'INFORMATIVO 02 04 19'!D42</f>
        <v>16666.669999999998</v>
      </c>
      <c r="K68" s="373">
        <v>1</v>
      </c>
      <c r="L68" s="373">
        <v>0</v>
      </c>
      <c r="M68" s="374">
        <v>2</v>
      </c>
      <c r="N68" s="242" t="s">
        <v>2</v>
      </c>
      <c r="O68" s="339">
        <v>43831</v>
      </c>
      <c r="P68" s="339">
        <v>43922</v>
      </c>
      <c r="Q68" s="195"/>
      <c r="R68" s="197"/>
      <c r="S68" s="197"/>
      <c r="T68" s="55" t="s">
        <v>1</v>
      </c>
      <c r="U68" s="91" t="s">
        <v>592</v>
      </c>
    </row>
    <row r="69" spans="1:21" s="93" customFormat="1" ht="93" x14ac:dyDescent="0.25">
      <c r="A69" s="241" t="s">
        <v>441</v>
      </c>
      <c r="B69" s="241" t="s">
        <v>171</v>
      </c>
      <c r="C69" s="242" t="s">
        <v>556</v>
      </c>
      <c r="D69" s="246" t="s">
        <v>442</v>
      </c>
      <c r="E69" s="246" t="s">
        <v>442</v>
      </c>
      <c r="F69" s="372" t="s">
        <v>627</v>
      </c>
      <c r="G69" s="372" t="s">
        <v>77</v>
      </c>
      <c r="H69" s="372">
        <v>1</v>
      </c>
      <c r="I69" s="372"/>
      <c r="J69" s="399">
        <f>'INFORMATIVO 02 04 19'!D43</f>
        <v>16666.669999999998</v>
      </c>
      <c r="K69" s="373">
        <v>1</v>
      </c>
      <c r="L69" s="373">
        <v>0</v>
      </c>
      <c r="M69" s="374">
        <v>2</v>
      </c>
      <c r="N69" s="242" t="s">
        <v>2</v>
      </c>
      <c r="O69" s="339">
        <v>43831</v>
      </c>
      <c r="P69" s="339">
        <v>43922</v>
      </c>
      <c r="Q69" s="195"/>
      <c r="R69" s="197"/>
      <c r="S69" s="197"/>
      <c r="T69" s="55" t="s">
        <v>1</v>
      </c>
      <c r="U69" s="91" t="s">
        <v>592</v>
      </c>
    </row>
    <row r="70" spans="1:21" s="93" customFormat="1" ht="105.75" customHeight="1" x14ac:dyDescent="0.25">
      <c r="A70" s="241" t="s">
        <v>443</v>
      </c>
      <c r="B70" s="241" t="s">
        <v>172</v>
      </c>
      <c r="C70" s="242" t="s">
        <v>556</v>
      </c>
      <c r="D70" s="246" t="s">
        <v>444</v>
      </c>
      <c r="E70" s="246" t="s">
        <v>445</v>
      </c>
      <c r="F70" s="372" t="s">
        <v>627</v>
      </c>
      <c r="G70" s="372" t="s">
        <v>77</v>
      </c>
      <c r="H70" s="372">
        <v>1</v>
      </c>
      <c r="I70" s="372"/>
      <c r="J70" s="399">
        <f>'INFORMATIVO 02 04 19'!D44</f>
        <v>16666.669999999998</v>
      </c>
      <c r="K70" s="373">
        <v>1</v>
      </c>
      <c r="L70" s="373">
        <v>0</v>
      </c>
      <c r="M70" s="374">
        <v>2</v>
      </c>
      <c r="N70" s="242" t="s">
        <v>2</v>
      </c>
      <c r="O70" s="339">
        <v>43831</v>
      </c>
      <c r="P70" s="339">
        <v>43922</v>
      </c>
      <c r="Q70" s="195"/>
      <c r="R70" s="197"/>
      <c r="S70" s="197"/>
      <c r="T70" s="55" t="s">
        <v>1</v>
      </c>
      <c r="U70" s="91" t="s">
        <v>592</v>
      </c>
    </row>
    <row r="71" spans="1:21" s="93" customFormat="1" ht="99.75" customHeight="1" x14ac:dyDescent="0.25">
      <c r="A71" s="241" t="s">
        <v>242</v>
      </c>
      <c r="B71" s="241" t="s">
        <v>173</v>
      </c>
      <c r="C71" s="242" t="s">
        <v>556</v>
      </c>
      <c r="D71" s="348" t="s">
        <v>390</v>
      </c>
      <c r="E71" s="348" t="s">
        <v>296</v>
      </c>
      <c r="F71" s="245" t="s">
        <v>628</v>
      </c>
      <c r="G71" s="245" t="s">
        <v>77</v>
      </c>
      <c r="H71" s="245">
        <v>1</v>
      </c>
      <c r="I71" s="245"/>
      <c r="J71" s="244">
        <f>'INFORMATIVO 02 04 19'!C83</f>
        <v>140625</v>
      </c>
      <c r="K71" s="243">
        <v>1</v>
      </c>
      <c r="L71" s="243">
        <v>0</v>
      </c>
      <c r="M71" s="242">
        <v>2</v>
      </c>
      <c r="N71" s="242" t="s">
        <v>2</v>
      </c>
      <c r="O71" s="339">
        <v>44136</v>
      </c>
      <c r="P71" s="339">
        <v>44228</v>
      </c>
      <c r="Q71" s="55"/>
      <c r="R71" s="64"/>
      <c r="S71" s="64"/>
      <c r="T71" s="55" t="s">
        <v>1</v>
      </c>
      <c r="U71" s="91"/>
    </row>
    <row r="72" spans="1:21" s="93" customFormat="1" ht="121.5" customHeight="1" x14ac:dyDescent="0.25">
      <c r="A72" s="241" t="s">
        <v>243</v>
      </c>
      <c r="B72" s="241" t="s">
        <v>174</v>
      </c>
      <c r="C72" s="242" t="s">
        <v>556</v>
      </c>
      <c r="D72" s="348" t="s">
        <v>391</v>
      </c>
      <c r="E72" s="348" t="s">
        <v>298</v>
      </c>
      <c r="F72" s="372" t="s">
        <v>641</v>
      </c>
      <c r="G72" s="245" t="s">
        <v>41</v>
      </c>
      <c r="H72" s="372">
        <v>1</v>
      </c>
      <c r="I72" s="372"/>
      <c r="J72" s="244">
        <f>'INFORMATIVO 02 04 19'!D35</f>
        <v>625000</v>
      </c>
      <c r="K72" s="373">
        <v>1</v>
      </c>
      <c r="L72" s="373">
        <v>0</v>
      </c>
      <c r="M72" s="374">
        <v>2</v>
      </c>
      <c r="N72" s="242" t="s">
        <v>2</v>
      </c>
      <c r="O72" s="339">
        <v>44440</v>
      </c>
      <c r="P72" s="339">
        <v>44593</v>
      </c>
      <c r="Q72" s="195"/>
      <c r="R72" s="197"/>
      <c r="S72" s="197"/>
      <c r="T72" s="55" t="s">
        <v>1</v>
      </c>
      <c r="U72" s="175" t="s">
        <v>545</v>
      </c>
    </row>
    <row r="73" spans="1:21" s="393" customFormat="1" ht="106.5" customHeight="1" x14ac:dyDescent="0.25">
      <c r="A73" s="241" t="s">
        <v>244</v>
      </c>
      <c r="B73" s="241" t="s">
        <v>175</v>
      </c>
      <c r="C73" s="242" t="s">
        <v>556</v>
      </c>
      <c r="D73" s="348" t="s">
        <v>392</v>
      </c>
      <c r="E73" s="348" t="s">
        <v>300</v>
      </c>
      <c r="F73" s="245" t="s">
        <v>642</v>
      </c>
      <c r="G73" s="245" t="s">
        <v>77</v>
      </c>
      <c r="H73" s="245">
        <v>1</v>
      </c>
      <c r="I73" s="245"/>
      <c r="J73" s="244">
        <f>'INFORMATIVO 02 04 19'!E49</f>
        <v>93750</v>
      </c>
      <c r="K73" s="243">
        <v>1</v>
      </c>
      <c r="L73" s="243">
        <v>0</v>
      </c>
      <c r="M73" s="242">
        <v>2</v>
      </c>
      <c r="N73" s="242" t="s">
        <v>3</v>
      </c>
      <c r="O73" s="339">
        <v>43647</v>
      </c>
      <c r="P73" s="339">
        <v>43739</v>
      </c>
      <c r="Q73" s="55"/>
      <c r="R73" s="64"/>
      <c r="S73" s="64"/>
      <c r="T73" s="55" t="s">
        <v>1</v>
      </c>
      <c r="U73" s="392" t="s">
        <v>594</v>
      </c>
    </row>
    <row r="74" spans="1:21" s="93" customFormat="1" ht="162.75" x14ac:dyDescent="0.25">
      <c r="A74" s="241" t="s">
        <v>247</v>
      </c>
      <c r="B74" s="241" t="s">
        <v>176</v>
      </c>
      <c r="C74" s="242" t="s">
        <v>556</v>
      </c>
      <c r="D74" s="245" t="s">
        <v>395</v>
      </c>
      <c r="E74" s="245" t="s">
        <v>308</v>
      </c>
      <c r="F74" s="348" t="s">
        <v>637</v>
      </c>
      <c r="G74" s="245" t="s">
        <v>77</v>
      </c>
      <c r="H74" s="245">
        <v>1</v>
      </c>
      <c r="I74" s="245"/>
      <c r="J74" s="244">
        <f>'INFORMATIVO 02 04 19'!D27</f>
        <v>153125</v>
      </c>
      <c r="K74" s="243">
        <v>1</v>
      </c>
      <c r="L74" s="243">
        <v>0</v>
      </c>
      <c r="M74" s="242">
        <v>2</v>
      </c>
      <c r="N74" s="242" t="s">
        <v>2</v>
      </c>
      <c r="O74" s="339">
        <v>43770</v>
      </c>
      <c r="P74" s="339">
        <v>43862</v>
      </c>
      <c r="Q74" s="55"/>
      <c r="R74" s="64"/>
      <c r="S74" s="64"/>
      <c r="T74" s="55" t="s">
        <v>1</v>
      </c>
      <c r="U74" s="91" t="s">
        <v>546</v>
      </c>
    </row>
    <row r="75" spans="1:21" s="288" customFormat="1" ht="118.5" customHeight="1" x14ac:dyDescent="0.25">
      <c r="A75" s="241" t="s">
        <v>535</v>
      </c>
      <c r="B75" s="241" t="s">
        <v>177</v>
      </c>
      <c r="C75" s="242" t="s">
        <v>556</v>
      </c>
      <c r="D75" s="387" t="s">
        <v>396</v>
      </c>
      <c r="E75" s="348" t="s">
        <v>322</v>
      </c>
      <c r="F75" s="245" t="s">
        <v>629</v>
      </c>
      <c r="G75" s="245" t="s">
        <v>77</v>
      </c>
      <c r="H75" s="245">
        <v>1</v>
      </c>
      <c r="I75" s="245"/>
      <c r="J75" s="244">
        <f>'INFORMATIVO 02 04 19'!C89</f>
        <v>109375</v>
      </c>
      <c r="K75" s="243">
        <v>1</v>
      </c>
      <c r="L75" s="243">
        <v>0</v>
      </c>
      <c r="M75" s="242">
        <v>2</v>
      </c>
      <c r="N75" s="242" t="s">
        <v>2</v>
      </c>
      <c r="O75" s="339">
        <v>43678</v>
      </c>
      <c r="P75" s="339">
        <v>43770</v>
      </c>
      <c r="Q75" s="55"/>
      <c r="R75" s="64"/>
      <c r="S75" s="64"/>
      <c r="T75" s="55" t="s">
        <v>1</v>
      </c>
      <c r="U75" s="287"/>
    </row>
    <row r="76" spans="1:21" s="393" customFormat="1" ht="68.25" customHeight="1" x14ac:dyDescent="0.25">
      <c r="A76" s="241" t="s">
        <v>248</v>
      </c>
      <c r="B76" s="241" t="s">
        <v>178</v>
      </c>
      <c r="C76" s="242" t="s">
        <v>556</v>
      </c>
      <c r="D76" s="245" t="s">
        <v>532</v>
      </c>
      <c r="E76" s="245" t="s">
        <v>581</v>
      </c>
      <c r="F76" s="245" t="s">
        <v>340</v>
      </c>
      <c r="G76" s="245" t="s">
        <v>41</v>
      </c>
      <c r="H76" s="245">
        <v>1</v>
      </c>
      <c r="I76" s="245"/>
      <c r="J76" s="244">
        <f>'[1]PEP US$'!$E$70</f>
        <v>4450000</v>
      </c>
      <c r="K76" s="243">
        <v>1</v>
      </c>
      <c r="L76" s="243">
        <v>0</v>
      </c>
      <c r="M76" s="242" t="s">
        <v>335</v>
      </c>
      <c r="N76" s="242" t="s">
        <v>3</v>
      </c>
      <c r="O76" s="351" t="s">
        <v>650</v>
      </c>
      <c r="P76" s="339">
        <v>43709</v>
      </c>
      <c r="Q76" s="55"/>
      <c r="R76" s="64"/>
      <c r="S76" s="64"/>
      <c r="T76" s="55" t="s">
        <v>1</v>
      </c>
      <c r="U76" s="392"/>
    </row>
    <row r="77" spans="1:21" s="393" customFormat="1" ht="84.75" customHeight="1" x14ac:dyDescent="0.25">
      <c r="A77" s="241" t="s">
        <v>250</v>
      </c>
      <c r="B77" s="241" t="s">
        <v>179</v>
      </c>
      <c r="C77" s="242" t="s">
        <v>556</v>
      </c>
      <c r="D77" s="245" t="s">
        <v>351</v>
      </c>
      <c r="E77" s="245" t="s">
        <v>344</v>
      </c>
      <c r="F77" s="245" t="s">
        <v>340</v>
      </c>
      <c r="G77" s="245" t="s">
        <v>41</v>
      </c>
      <c r="H77" s="245">
        <v>1</v>
      </c>
      <c r="I77" s="245"/>
      <c r="J77" s="244">
        <f>'[1]PEP US$'!$E$74</f>
        <v>1812500</v>
      </c>
      <c r="K77" s="243">
        <v>1</v>
      </c>
      <c r="L77" s="243">
        <v>0</v>
      </c>
      <c r="M77" s="242" t="s">
        <v>335</v>
      </c>
      <c r="N77" s="242" t="s">
        <v>3</v>
      </c>
      <c r="O77" s="351" t="s">
        <v>234</v>
      </c>
      <c r="P77" s="351" t="s">
        <v>446</v>
      </c>
      <c r="Q77" s="55" t="s">
        <v>557</v>
      </c>
      <c r="R77" s="64"/>
      <c r="S77" s="64"/>
      <c r="T77" s="55" t="s">
        <v>1</v>
      </c>
      <c r="U77" s="392"/>
    </row>
    <row r="78" spans="1:21" s="93" customFormat="1" ht="102" customHeight="1" x14ac:dyDescent="0.25">
      <c r="A78" s="241" t="s">
        <v>251</v>
      </c>
      <c r="B78" s="241" t="s">
        <v>241</v>
      </c>
      <c r="C78" s="242" t="s">
        <v>556</v>
      </c>
      <c r="D78" s="245" t="s">
        <v>352</v>
      </c>
      <c r="E78" s="245" t="s">
        <v>345</v>
      </c>
      <c r="F78" s="245" t="s">
        <v>340</v>
      </c>
      <c r="G78" s="245" t="s">
        <v>41</v>
      </c>
      <c r="H78" s="245">
        <v>1</v>
      </c>
      <c r="I78" s="245"/>
      <c r="J78" s="244">
        <f>'[3]PEP US$'!$C$75+'[3]PEP US$'!$C$76</f>
        <v>468750</v>
      </c>
      <c r="K78" s="243">
        <v>1</v>
      </c>
      <c r="L78" s="243">
        <v>0</v>
      </c>
      <c r="M78" s="242" t="s">
        <v>335</v>
      </c>
      <c r="N78" s="242" t="s">
        <v>2</v>
      </c>
      <c r="O78" s="351" t="s">
        <v>234</v>
      </c>
      <c r="P78" s="351" t="s">
        <v>446</v>
      </c>
      <c r="Q78" s="55" t="s">
        <v>557</v>
      </c>
      <c r="R78" s="64"/>
      <c r="S78" s="64"/>
      <c r="T78" s="55" t="s">
        <v>1</v>
      </c>
      <c r="U78" s="91"/>
    </row>
    <row r="79" spans="1:21" s="393" customFormat="1" ht="102.75" customHeight="1" x14ac:dyDescent="0.25">
      <c r="A79" s="241" t="s">
        <v>252</v>
      </c>
      <c r="B79" s="241" t="s">
        <v>432</v>
      </c>
      <c r="C79" s="242" t="s">
        <v>556</v>
      </c>
      <c r="D79" s="245" t="s">
        <v>519</v>
      </c>
      <c r="E79" s="245" t="s">
        <v>570</v>
      </c>
      <c r="F79" s="245" t="s">
        <v>631</v>
      </c>
      <c r="G79" s="245" t="s">
        <v>41</v>
      </c>
      <c r="H79" s="245">
        <v>1</v>
      </c>
      <c r="I79" s="245"/>
      <c r="J79" s="244">
        <f>'[2]PEP US$'!$E$47</f>
        <v>1562500</v>
      </c>
      <c r="K79" s="243">
        <v>1</v>
      </c>
      <c r="L79" s="243">
        <v>0</v>
      </c>
      <c r="M79" s="242">
        <v>1</v>
      </c>
      <c r="N79" s="242" t="s">
        <v>3</v>
      </c>
      <c r="O79" s="351" t="s">
        <v>232</v>
      </c>
      <c r="P79" s="351" t="s">
        <v>233</v>
      </c>
      <c r="Q79" s="55" t="s">
        <v>557</v>
      </c>
      <c r="R79" s="64"/>
      <c r="S79" s="64"/>
      <c r="T79" s="55" t="s">
        <v>1</v>
      </c>
      <c r="U79" s="392"/>
    </row>
    <row r="80" spans="1:21" s="393" customFormat="1" ht="88.5" customHeight="1" x14ac:dyDescent="0.25">
      <c r="A80" s="241" t="s">
        <v>405</v>
      </c>
      <c r="B80" s="241" t="s">
        <v>404</v>
      </c>
      <c r="C80" s="242" t="s">
        <v>556</v>
      </c>
      <c r="D80" s="245" t="s">
        <v>377</v>
      </c>
      <c r="E80" s="245" t="s">
        <v>520</v>
      </c>
      <c r="F80" s="245" t="s">
        <v>631</v>
      </c>
      <c r="G80" s="245" t="s">
        <v>41</v>
      </c>
      <c r="H80" s="245">
        <v>1</v>
      </c>
      <c r="I80" s="245"/>
      <c r="J80" s="244">
        <f>'[1]PEP US$'!$E$48</f>
        <v>1562500</v>
      </c>
      <c r="K80" s="243">
        <v>1</v>
      </c>
      <c r="L80" s="243">
        <v>0</v>
      </c>
      <c r="M80" s="242">
        <v>1</v>
      </c>
      <c r="N80" s="242" t="s">
        <v>3</v>
      </c>
      <c r="O80" s="351" t="s">
        <v>328</v>
      </c>
      <c r="P80" s="351" t="s">
        <v>534</v>
      </c>
      <c r="Q80" s="55" t="s">
        <v>557</v>
      </c>
      <c r="R80" s="64"/>
      <c r="S80" s="64"/>
      <c r="T80" s="55" t="s">
        <v>1</v>
      </c>
      <c r="U80" s="392"/>
    </row>
    <row r="81" spans="1:36" s="393" customFormat="1" ht="88.5" customHeight="1" x14ac:dyDescent="0.25">
      <c r="A81" s="241" t="s">
        <v>253</v>
      </c>
      <c r="B81" s="241" t="s">
        <v>434</v>
      </c>
      <c r="C81" s="242" t="s">
        <v>556</v>
      </c>
      <c r="D81" s="245" t="s">
        <v>377</v>
      </c>
      <c r="E81" s="245" t="s">
        <v>355</v>
      </c>
      <c r="F81" s="245" t="s">
        <v>631</v>
      </c>
      <c r="G81" s="245" t="s">
        <v>41</v>
      </c>
      <c r="H81" s="245">
        <v>1</v>
      </c>
      <c r="I81" s="245"/>
      <c r="J81" s="244">
        <f>'[1]PEP US$'!$E$46</f>
        <v>1250000</v>
      </c>
      <c r="K81" s="243">
        <v>1</v>
      </c>
      <c r="L81" s="243">
        <v>0</v>
      </c>
      <c r="M81" s="242">
        <v>1</v>
      </c>
      <c r="N81" s="242" t="s">
        <v>3</v>
      </c>
      <c r="O81" s="351" t="s">
        <v>329</v>
      </c>
      <c r="P81" s="351" t="s">
        <v>234</v>
      </c>
      <c r="Q81" s="55" t="s">
        <v>557</v>
      </c>
      <c r="R81" s="64"/>
      <c r="S81" s="64"/>
      <c r="T81" s="55" t="s">
        <v>1</v>
      </c>
      <c r="U81" s="392"/>
    </row>
    <row r="82" spans="1:36" s="393" customFormat="1" ht="100.5" customHeight="1" x14ac:dyDescent="0.25">
      <c r="A82" s="241" t="s">
        <v>255</v>
      </c>
      <c r="B82" s="241" t="s">
        <v>436</v>
      </c>
      <c r="C82" s="242" t="s">
        <v>556</v>
      </c>
      <c r="D82" s="245" t="s">
        <v>357</v>
      </c>
      <c r="E82" s="245" t="s">
        <v>516</v>
      </c>
      <c r="F82" s="245" t="s">
        <v>631</v>
      </c>
      <c r="G82" s="245" t="s">
        <v>78</v>
      </c>
      <c r="H82" s="245">
        <v>1</v>
      </c>
      <c r="I82" s="245"/>
      <c r="J82" s="244">
        <f>'[3]PEP US$'!$E$49-J46</f>
        <v>687500</v>
      </c>
      <c r="K82" s="243">
        <v>1</v>
      </c>
      <c r="L82" s="243">
        <v>0</v>
      </c>
      <c r="M82" s="242">
        <v>1</v>
      </c>
      <c r="N82" s="242" t="s">
        <v>3</v>
      </c>
      <c r="O82" s="351" t="s">
        <v>232</v>
      </c>
      <c r="P82" s="351" t="s">
        <v>233</v>
      </c>
      <c r="Q82" s="55" t="s">
        <v>557</v>
      </c>
      <c r="R82" s="64"/>
      <c r="S82" s="64"/>
      <c r="T82" s="55" t="s">
        <v>1</v>
      </c>
      <c r="U82" s="392"/>
    </row>
    <row r="83" spans="1:36" s="393" customFormat="1" ht="124.5" customHeight="1" x14ac:dyDescent="0.25">
      <c r="A83" s="241" t="s">
        <v>254</v>
      </c>
      <c r="B83" s="241" t="s">
        <v>439</v>
      </c>
      <c r="C83" s="242" t="s">
        <v>556</v>
      </c>
      <c r="D83" s="245" t="s">
        <v>498</v>
      </c>
      <c r="E83" s="245" t="s">
        <v>500</v>
      </c>
      <c r="F83" s="245" t="s">
        <v>340</v>
      </c>
      <c r="G83" s="245" t="s">
        <v>41</v>
      </c>
      <c r="H83" s="245">
        <v>1</v>
      </c>
      <c r="I83" s="245"/>
      <c r="J83" s="244">
        <f>'[3]PEP US$'!$E$78+'[3]PEP US$'!$E$79+'[3]PEP US$'!$E$80</f>
        <v>1200000</v>
      </c>
      <c r="K83" s="243">
        <v>1</v>
      </c>
      <c r="L83" s="243">
        <v>0</v>
      </c>
      <c r="M83" s="242" t="s">
        <v>335</v>
      </c>
      <c r="N83" s="242" t="s">
        <v>3</v>
      </c>
      <c r="O83" s="351" t="s">
        <v>514</v>
      </c>
      <c r="P83" s="351" t="s">
        <v>327</v>
      </c>
      <c r="Q83" s="55" t="s">
        <v>557</v>
      </c>
      <c r="R83" s="64"/>
      <c r="S83" s="64"/>
      <c r="T83" s="55" t="s">
        <v>1</v>
      </c>
      <c r="U83" s="392" t="s">
        <v>547</v>
      </c>
    </row>
    <row r="84" spans="1:36" s="393" customFormat="1" ht="107.25" customHeight="1" x14ac:dyDescent="0.25">
      <c r="A84" s="241" t="s">
        <v>255</v>
      </c>
      <c r="B84" s="241" t="s">
        <v>441</v>
      </c>
      <c r="C84" s="242" t="s">
        <v>556</v>
      </c>
      <c r="D84" s="245" t="s">
        <v>376</v>
      </c>
      <c r="E84" s="245" t="s">
        <v>360</v>
      </c>
      <c r="F84" s="245" t="s">
        <v>340</v>
      </c>
      <c r="G84" s="245" t="s">
        <v>41</v>
      </c>
      <c r="H84" s="245">
        <v>1</v>
      </c>
      <c r="I84" s="245"/>
      <c r="J84" s="244">
        <f>'[3]PEP US$'!$E$82+'[3]PEP US$'!$E$81</f>
        <v>712500</v>
      </c>
      <c r="K84" s="243">
        <v>1</v>
      </c>
      <c r="L84" s="243">
        <v>0</v>
      </c>
      <c r="M84" s="242" t="s">
        <v>335</v>
      </c>
      <c r="N84" s="242" t="s">
        <v>2</v>
      </c>
      <c r="O84" s="339">
        <v>44562</v>
      </c>
      <c r="P84" s="339">
        <v>44713</v>
      </c>
      <c r="Q84" s="55" t="s">
        <v>557</v>
      </c>
      <c r="R84" s="64"/>
      <c r="S84" s="64"/>
      <c r="T84" s="55" t="s">
        <v>1</v>
      </c>
      <c r="U84" s="392"/>
    </row>
    <row r="85" spans="1:36" s="393" customFormat="1" ht="198.75" customHeight="1" x14ac:dyDescent="0.25">
      <c r="A85" s="241" t="s">
        <v>449</v>
      </c>
      <c r="B85" s="241" t="s">
        <v>443</v>
      </c>
      <c r="C85" s="242" t="s">
        <v>556</v>
      </c>
      <c r="D85" s="246" t="s">
        <v>517</v>
      </c>
      <c r="E85" s="246" t="s">
        <v>451</v>
      </c>
      <c r="F85" s="246" t="s">
        <v>643</v>
      </c>
      <c r="G85" s="245" t="s">
        <v>41</v>
      </c>
      <c r="H85" s="245"/>
      <c r="I85" s="354"/>
      <c r="J85" s="244">
        <f>'[3]PEP US$'!$E$39-J87</f>
        <v>468750</v>
      </c>
      <c r="K85" s="243">
        <v>1</v>
      </c>
      <c r="L85" s="243">
        <v>0</v>
      </c>
      <c r="M85" s="242">
        <v>2</v>
      </c>
      <c r="N85" s="242" t="s">
        <v>2</v>
      </c>
      <c r="O85" s="339">
        <v>43831</v>
      </c>
      <c r="P85" s="339">
        <v>43983</v>
      </c>
      <c r="Q85" s="55" t="s">
        <v>557</v>
      </c>
      <c r="R85" s="64"/>
      <c r="S85" s="64"/>
      <c r="T85" s="55" t="s">
        <v>1</v>
      </c>
      <c r="U85" s="392"/>
    </row>
    <row r="86" spans="1:36" s="93" customFormat="1" ht="93" x14ac:dyDescent="0.25">
      <c r="A86" s="241" t="s">
        <v>490</v>
      </c>
      <c r="B86" s="241" t="s">
        <v>242</v>
      </c>
      <c r="C86" s="242" t="s">
        <v>556</v>
      </c>
      <c r="D86" s="246" t="s">
        <v>318</v>
      </c>
      <c r="E86" s="246" t="s">
        <v>318</v>
      </c>
      <c r="F86" s="245" t="s">
        <v>644</v>
      </c>
      <c r="G86" s="245" t="s">
        <v>77</v>
      </c>
      <c r="H86" s="245">
        <v>1</v>
      </c>
      <c r="I86" s="245"/>
      <c r="J86" s="244">
        <f>'INFORMATIVO 02 04 19'!C72</f>
        <v>25000</v>
      </c>
      <c r="K86" s="243">
        <v>1</v>
      </c>
      <c r="L86" s="243">
        <v>0</v>
      </c>
      <c r="M86" s="242">
        <v>2</v>
      </c>
      <c r="N86" s="242" t="s">
        <v>2</v>
      </c>
      <c r="O86" s="339">
        <v>43709</v>
      </c>
      <c r="P86" s="339">
        <v>43800</v>
      </c>
      <c r="Q86" s="55"/>
      <c r="R86" s="64"/>
      <c r="S86" s="64"/>
      <c r="T86" s="55" t="s">
        <v>1</v>
      </c>
      <c r="U86" s="91"/>
    </row>
    <row r="87" spans="1:36" s="93" customFormat="1" ht="93" x14ac:dyDescent="0.25">
      <c r="A87" s="241" t="s">
        <v>551</v>
      </c>
      <c r="B87" s="241" t="s">
        <v>243</v>
      </c>
      <c r="C87" s="242" t="s">
        <v>556</v>
      </c>
      <c r="D87" s="245" t="s">
        <v>569</v>
      </c>
      <c r="E87" s="245" t="s">
        <v>568</v>
      </c>
      <c r="F87" s="245" t="s">
        <v>630</v>
      </c>
      <c r="G87" s="245" t="s">
        <v>41</v>
      </c>
      <c r="H87" s="245">
        <v>1</v>
      </c>
      <c r="I87" s="245"/>
      <c r="J87" s="244">
        <f>234375</f>
        <v>234375</v>
      </c>
      <c r="K87" s="243">
        <v>1</v>
      </c>
      <c r="L87" s="243">
        <v>0</v>
      </c>
      <c r="M87" s="242">
        <v>1</v>
      </c>
      <c r="N87" s="242" t="s">
        <v>2</v>
      </c>
      <c r="O87" s="351" t="s">
        <v>514</v>
      </c>
      <c r="P87" s="351" t="s">
        <v>327</v>
      </c>
      <c r="Q87" s="55" t="s">
        <v>557</v>
      </c>
      <c r="R87" s="64"/>
      <c r="S87" s="64"/>
      <c r="T87" s="55" t="s">
        <v>1</v>
      </c>
      <c r="U87" s="91"/>
    </row>
    <row r="88" spans="1:36" s="93" customFormat="1" ht="23.25" x14ac:dyDescent="0.25">
      <c r="A88" s="237"/>
      <c r="B88" s="237"/>
      <c r="C88" s="279"/>
      <c r="D88" s="279"/>
      <c r="E88" s="279"/>
      <c r="F88" s="279"/>
      <c r="G88" s="279"/>
      <c r="H88" s="279"/>
      <c r="I88" s="279"/>
      <c r="J88" s="284"/>
      <c r="K88" s="285"/>
      <c r="L88" s="285"/>
      <c r="M88" s="283"/>
      <c r="N88" s="237"/>
      <c r="O88" s="237"/>
      <c r="P88" s="237"/>
      <c r="Q88" s="68"/>
      <c r="R88" s="133"/>
      <c r="S88" s="133"/>
      <c r="T88" s="55"/>
      <c r="U88" s="91"/>
    </row>
    <row r="89" spans="1:36" s="93" customFormat="1" ht="40.5" customHeight="1" x14ac:dyDescent="0.25">
      <c r="A89" s="238">
        <v>5</v>
      </c>
      <c r="B89" s="238">
        <v>5</v>
      </c>
      <c r="C89" s="465" t="s">
        <v>51</v>
      </c>
      <c r="D89" s="466"/>
      <c r="E89" s="466"/>
      <c r="F89" s="466"/>
      <c r="G89" s="466"/>
      <c r="H89" s="466"/>
      <c r="I89" s="466"/>
      <c r="J89" s="239">
        <f>SUM(J90:J98)</f>
        <v>1068125</v>
      </c>
      <c r="K89" s="240"/>
      <c r="L89" s="240"/>
      <c r="M89" s="240"/>
      <c r="N89" s="240"/>
      <c r="O89" s="240"/>
      <c r="P89" s="240"/>
      <c r="Q89" s="47"/>
      <c r="R89" s="47"/>
      <c r="S89" s="47"/>
      <c r="T89" s="48"/>
      <c r="U89" s="91"/>
      <c r="V89" s="91"/>
      <c r="W89" s="91"/>
    </row>
    <row r="90" spans="1:36" ht="99" customHeight="1" x14ac:dyDescent="0.25">
      <c r="A90" s="241" t="s">
        <v>130</v>
      </c>
      <c r="B90" s="241" t="s">
        <v>130</v>
      </c>
      <c r="C90" s="242" t="s">
        <v>556</v>
      </c>
      <c r="D90" s="245" t="s">
        <v>579</v>
      </c>
      <c r="E90" s="245" t="s">
        <v>580</v>
      </c>
      <c r="F90" s="245" t="s">
        <v>340</v>
      </c>
      <c r="G90" s="245" t="s">
        <v>81</v>
      </c>
      <c r="H90" s="245">
        <v>1</v>
      </c>
      <c r="I90" s="245"/>
      <c r="J90" s="244">
        <v>134104</v>
      </c>
      <c r="K90" s="243">
        <v>1</v>
      </c>
      <c r="L90" s="243">
        <v>0</v>
      </c>
      <c r="M90" s="242" t="s">
        <v>340</v>
      </c>
      <c r="N90" s="242" t="s">
        <v>2</v>
      </c>
      <c r="O90" s="339">
        <v>43831</v>
      </c>
      <c r="P90" s="339">
        <v>43891</v>
      </c>
      <c r="Q90" s="55" t="s">
        <v>557</v>
      </c>
      <c r="R90" s="64"/>
      <c r="S90" s="64"/>
      <c r="T90" s="55" t="s">
        <v>1</v>
      </c>
      <c r="U90" s="192"/>
      <c r="V90" s="6"/>
      <c r="W90" s="6"/>
      <c r="X90" s="6"/>
      <c r="Y90" s="6"/>
      <c r="Z90" s="6"/>
      <c r="AA90" s="6"/>
      <c r="AB90" s="6"/>
      <c r="AC90" s="6"/>
      <c r="AD90" s="6"/>
      <c r="AE90" s="6"/>
      <c r="AF90" s="6"/>
      <c r="AG90" s="6"/>
      <c r="AH90" s="6"/>
      <c r="AI90" s="6"/>
      <c r="AJ90" s="6"/>
    </row>
    <row r="91" spans="1:36" ht="85.5" customHeight="1" x14ac:dyDescent="0.25">
      <c r="A91" s="241" t="s">
        <v>341</v>
      </c>
      <c r="B91" s="241" t="s">
        <v>341</v>
      </c>
      <c r="C91" s="242" t="s">
        <v>556</v>
      </c>
      <c r="D91" s="245" t="s">
        <v>575</v>
      </c>
      <c r="E91" s="245" t="s">
        <v>576</v>
      </c>
      <c r="F91" s="245" t="s">
        <v>340</v>
      </c>
      <c r="G91" s="245" t="s">
        <v>31</v>
      </c>
      <c r="H91" s="245">
        <v>1</v>
      </c>
      <c r="I91" s="245"/>
      <c r="J91" s="244">
        <f>135604</f>
        <v>135604</v>
      </c>
      <c r="K91" s="243">
        <v>1</v>
      </c>
      <c r="L91" s="243">
        <v>0</v>
      </c>
      <c r="M91" s="242" t="s">
        <v>340</v>
      </c>
      <c r="N91" s="242" t="s">
        <v>3</v>
      </c>
      <c r="O91" s="339">
        <v>43525</v>
      </c>
      <c r="P91" s="339">
        <v>43556</v>
      </c>
      <c r="Q91" s="55" t="s">
        <v>577</v>
      </c>
      <c r="R91" s="64"/>
      <c r="S91" s="64"/>
      <c r="T91" s="55" t="s">
        <v>1</v>
      </c>
      <c r="U91" s="192"/>
      <c r="V91" s="6"/>
      <c r="W91" s="6"/>
      <c r="X91" s="6"/>
      <c r="Y91" s="6"/>
      <c r="Z91" s="6"/>
      <c r="AA91" s="6"/>
      <c r="AB91" s="6"/>
      <c r="AC91" s="6"/>
      <c r="AD91" s="6"/>
      <c r="AE91" s="6"/>
      <c r="AF91" s="6"/>
      <c r="AG91" s="6"/>
      <c r="AH91" s="6"/>
      <c r="AI91" s="6"/>
      <c r="AJ91" s="6"/>
    </row>
    <row r="92" spans="1:36" ht="105" customHeight="1" x14ac:dyDescent="0.25">
      <c r="A92" s="241" t="s">
        <v>347</v>
      </c>
      <c r="B92" s="241" t="s">
        <v>347</v>
      </c>
      <c r="C92" s="242" t="s">
        <v>556</v>
      </c>
      <c r="D92" s="245" t="s">
        <v>585</v>
      </c>
      <c r="E92" s="245" t="s">
        <v>584</v>
      </c>
      <c r="F92" s="245" t="s">
        <v>340</v>
      </c>
      <c r="G92" s="245" t="s">
        <v>81</v>
      </c>
      <c r="H92" s="245">
        <v>1</v>
      </c>
      <c r="I92" s="245"/>
      <c r="J92" s="244">
        <v>140104</v>
      </c>
      <c r="K92" s="243">
        <v>1</v>
      </c>
      <c r="L92" s="243">
        <v>0</v>
      </c>
      <c r="M92" s="242" t="s">
        <v>340</v>
      </c>
      <c r="N92" s="242" t="s">
        <v>3</v>
      </c>
      <c r="O92" s="339">
        <v>43556</v>
      </c>
      <c r="P92" s="339">
        <v>43617</v>
      </c>
      <c r="Q92" s="55" t="s">
        <v>557</v>
      </c>
      <c r="R92" s="64"/>
      <c r="S92" s="64"/>
      <c r="T92" s="55" t="s">
        <v>1</v>
      </c>
      <c r="U92" s="192"/>
      <c r="V92" s="6"/>
      <c r="W92" s="6"/>
      <c r="X92" s="6"/>
      <c r="Y92" s="6"/>
      <c r="Z92" s="6"/>
      <c r="AA92" s="6"/>
      <c r="AB92" s="6"/>
      <c r="AC92" s="6"/>
      <c r="AD92" s="6"/>
      <c r="AE92" s="6"/>
      <c r="AF92" s="6"/>
      <c r="AG92" s="6"/>
      <c r="AH92" s="6"/>
      <c r="AI92" s="6"/>
      <c r="AJ92" s="6"/>
    </row>
    <row r="93" spans="1:36" ht="85.5" customHeight="1" x14ac:dyDescent="0.25">
      <c r="A93" s="241" t="s">
        <v>348</v>
      </c>
      <c r="B93" s="241" t="s">
        <v>348</v>
      </c>
      <c r="C93" s="242" t="s">
        <v>556</v>
      </c>
      <c r="D93" s="245" t="s">
        <v>428</v>
      </c>
      <c r="E93" s="245" t="s">
        <v>406</v>
      </c>
      <c r="F93" s="245" t="s">
        <v>340</v>
      </c>
      <c r="G93" s="245" t="s">
        <v>31</v>
      </c>
      <c r="H93" s="245"/>
      <c r="I93" s="245"/>
      <c r="J93" s="244">
        <v>162604</v>
      </c>
      <c r="K93" s="243">
        <v>1</v>
      </c>
      <c r="L93" s="243">
        <v>0</v>
      </c>
      <c r="M93" s="242" t="s">
        <v>340</v>
      </c>
      <c r="N93" s="242" t="s">
        <v>3</v>
      </c>
      <c r="O93" s="339">
        <v>43525</v>
      </c>
      <c r="P93" s="339">
        <v>43556</v>
      </c>
      <c r="Q93" s="55" t="s">
        <v>557</v>
      </c>
      <c r="R93" s="64"/>
      <c r="S93" s="64"/>
      <c r="T93" s="55" t="s">
        <v>1</v>
      </c>
      <c r="U93" s="192"/>
      <c r="V93" s="6"/>
      <c r="W93" s="6"/>
      <c r="X93" s="6"/>
      <c r="Y93" s="6"/>
      <c r="Z93" s="6"/>
      <c r="AA93" s="6"/>
      <c r="AB93" s="6"/>
      <c r="AC93" s="6"/>
      <c r="AD93" s="6"/>
      <c r="AE93" s="6"/>
      <c r="AF93" s="6"/>
      <c r="AG93" s="6"/>
      <c r="AH93" s="6"/>
      <c r="AI93" s="6"/>
      <c r="AJ93" s="6"/>
    </row>
    <row r="94" spans="1:36" ht="100.5" customHeight="1" x14ac:dyDescent="0.25">
      <c r="A94" s="241" t="s">
        <v>407</v>
      </c>
      <c r="B94" s="241" t="s">
        <v>407</v>
      </c>
      <c r="C94" s="242" t="s">
        <v>556</v>
      </c>
      <c r="D94" s="245" t="s">
        <v>349</v>
      </c>
      <c r="E94" s="245" t="s">
        <v>349</v>
      </c>
      <c r="F94" s="245" t="s">
        <v>340</v>
      </c>
      <c r="G94" s="245" t="s">
        <v>81</v>
      </c>
      <c r="H94" s="245">
        <v>1</v>
      </c>
      <c r="I94" s="245"/>
      <c r="J94" s="244">
        <v>134104</v>
      </c>
      <c r="K94" s="243">
        <v>1</v>
      </c>
      <c r="L94" s="243">
        <v>0</v>
      </c>
      <c r="M94" s="242" t="s">
        <v>340</v>
      </c>
      <c r="N94" s="242" t="s">
        <v>2</v>
      </c>
      <c r="O94" s="339">
        <v>44256</v>
      </c>
      <c r="P94" s="339">
        <v>44317</v>
      </c>
      <c r="Q94" s="55" t="s">
        <v>557</v>
      </c>
      <c r="R94" s="64"/>
      <c r="S94" s="64"/>
      <c r="T94" s="55" t="s">
        <v>1</v>
      </c>
      <c r="U94" s="192"/>
      <c r="V94" s="6"/>
      <c r="W94" s="6"/>
      <c r="X94" s="6"/>
      <c r="Y94" s="6"/>
      <c r="Z94" s="6"/>
      <c r="AA94" s="6"/>
      <c r="AB94" s="6"/>
      <c r="AC94" s="6"/>
      <c r="AD94" s="6"/>
      <c r="AE94" s="6"/>
      <c r="AF94" s="6"/>
      <c r="AG94" s="6"/>
      <c r="AH94" s="6"/>
      <c r="AI94" s="6"/>
      <c r="AJ94" s="6"/>
    </row>
    <row r="95" spans="1:36" ht="87.75" customHeight="1" x14ac:dyDescent="0.25">
      <c r="A95" s="241" t="s">
        <v>447</v>
      </c>
      <c r="B95" s="241" t="s">
        <v>447</v>
      </c>
      <c r="C95" s="242" t="s">
        <v>556</v>
      </c>
      <c r="D95" s="245" t="s">
        <v>350</v>
      </c>
      <c r="E95" s="245" t="s">
        <v>350</v>
      </c>
      <c r="F95" s="245" t="s">
        <v>340</v>
      </c>
      <c r="G95" s="245" t="s">
        <v>81</v>
      </c>
      <c r="H95" s="245">
        <v>1</v>
      </c>
      <c r="I95" s="245"/>
      <c r="J95" s="244">
        <v>134105</v>
      </c>
      <c r="K95" s="243">
        <v>1</v>
      </c>
      <c r="L95" s="243">
        <v>0</v>
      </c>
      <c r="M95" s="242" t="s">
        <v>340</v>
      </c>
      <c r="N95" s="242" t="s">
        <v>2</v>
      </c>
      <c r="O95" s="339">
        <v>45139</v>
      </c>
      <c r="P95" s="339">
        <v>45200</v>
      </c>
      <c r="Q95" s="55" t="s">
        <v>557</v>
      </c>
      <c r="R95" s="64"/>
      <c r="S95" s="64"/>
      <c r="T95" s="55" t="s">
        <v>1</v>
      </c>
      <c r="U95" s="192"/>
      <c r="V95" s="6"/>
      <c r="W95" s="6"/>
      <c r="X95" s="6"/>
      <c r="Y95" s="6"/>
      <c r="Z95" s="6"/>
      <c r="AA95" s="6"/>
      <c r="AB95" s="6"/>
      <c r="AC95" s="6"/>
      <c r="AD95" s="6"/>
      <c r="AE95" s="6"/>
      <c r="AF95" s="6"/>
      <c r="AG95" s="6"/>
      <c r="AH95" s="6"/>
      <c r="AI95" s="6"/>
      <c r="AJ95" s="6"/>
    </row>
    <row r="96" spans="1:36" ht="96.75" customHeight="1" x14ac:dyDescent="0.25">
      <c r="A96" s="241" t="s">
        <v>521</v>
      </c>
      <c r="B96" s="241" t="s">
        <v>521</v>
      </c>
      <c r="C96" s="242" t="s">
        <v>556</v>
      </c>
      <c r="D96" s="245" t="s">
        <v>522</v>
      </c>
      <c r="E96" s="245" t="s">
        <v>523</v>
      </c>
      <c r="F96" s="245" t="s">
        <v>635</v>
      </c>
      <c r="G96" s="245" t="s">
        <v>81</v>
      </c>
      <c r="H96" s="245">
        <v>1</v>
      </c>
      <c r="I96" s="245"/>
      <c r="J96" s="244">
        <v>20000</v>
      </c>
      <c r="K96" s="243">
        <v>1</v>
      </c>
      <c r="L96" s="243">
        <v>0</v>
      </c>
      <c r="M96" s="242">
        <v>1</v>
      </c>
      <c r="N96" s="242" t="s">
        <v>2</v>
      </c>
      <c r="O96" s="339">
        <v>43556</v>
      </c>
      <c r="P96" s="339">
        <v>43617</v>
      </c>
      <c r="Q96" s="55" t="s">
        <v>557</v>
      </c>
      <c r="R96" s="64"/>
      <c r="S96" s="64"/>
      <c r="T96" s="55" t="s">
        <v>1</v>
      </c>
      <c r="U96" s="192"/>
      <c r="V96" s="6"/>
      <c r="W96" s="6"/>
      <c r="X96" s="6"/>
      <c r="Y96" s="6"/>
      <c r="Z96" s="6"/>
      <c r="AA96" s="6"/>
      <c r="AB96" s="6"/>
      <c r="AC96" s="6"/>
      <c r="AD96" s="6"/>
      <c r="AE96" s="6"/>
      <c r="AF96" s="6"/>
      <c r="AG96" s="6"/>
      <c r="AH96" s="6"/>
      <c r="AI96" s="6"/>
      <c r="AJ96" s="6"/>
    </row>
    <row r="97" spans="1:36" ht="102.75" customHeight="1" x14ac:dyDescent="0.25">
      <c r="A97" s="261" t="s">
        <v>524</v>
      </c>
      <c r="B97" s="241" t="s">
        <v>524</v>
      </c>
      <c r="C97" s="242" t="s">
        <v>556</v>
      </c>
      <c r="D97" s="245" t="s">
        <v>525</v>
      </c>
      <c r="E97" s="245" t="s">
        <v>526</v>
      </c>
      <c r="F97" s="245" t="s">
        <v>636</v>
      </c>
      <c r="G97" s="245" t="s">
        <v>81</v>
      </c>
      <c r="H97" s="245">
        <v>1</v>
      </c>
      <c r="I97" s="245"/>
      <c r="J97" s="244">
        <v>20000</v>
      </c>
      <c r="K97" s="243">
        <v>1</v>
      </c>
      <c r="L97" s="243">
        <v>0</v>
      </c>
      <c r="M97" s="242">
        <v>1</v>
      </c>
      <c r="N97" s="242" t="s">
        <v>2</v>
      </c>
      <c r="O97" s="339">
        <v>43586</v>
      </c>
      <c r="P97" s="339">
        <v>43647</v>
      </c>
      <c r="Q97" s="55" t="s">
        <v>557</v>
      </c>
      <c r="R97" s="64"/>
      <c r="S97" s="64"/>
      <c r="T97" s="55" t="s">
        <v>1</v>
      </c>
      <c r="U97" s="192"/>
      <c r="V97" s="6"/>
      <c r="W97" s="6"/>
      <c r="X97" s="6"/>
      <c r="Y97" s="6"/>
      <c r="Z97" s="6"/>
      <c r="AA97" s="6"/>
      <c r="AB97" s="6"/>
      <c r="AC97" s="6"/>
      <c r="AD97" s="6"/>
      <c r="AE97" s="6"/>
      <c r="AF97" s="6"/>
      <c r="AG97" s="6"/>
      <c r="AH97" s="6"/>
      <c r="AI97" s="6"/>
      <c r="AJ97" s="6"/>
    </row>
    <row r="98" spans="1:36" ht="93" x14ac:dyDescent="0.25">
      <c r="A98" s="241" t="s">
        <v>551</v>
      </c>
      <c r="B98" s="241" t="s">
        <v>662</v>
      </c>
      <c r="C98" s="242" t="s">
        <v>556</v>
      </c>
      <c r="D98" s="245" t="s">
        <v>578</v>
      </c>
      <c r="E98" s="245" t="s">
        <v>567</v>
      </c>
      <c r="F98" s="245" t="s">
        <v>630</v>
      </c>
      <c r="G98" s="245" t="s">
        <v>81</v>
      </c>
      <c r="H98" s="245">
        <v>1</v>
      </c>
      <c r="I98" s="245"/>
      <c r="J98" s="244">
        <f>'[1]PEP US$'!$E$38</f>
        <v>187500</v>
      </c>
      <c r="K98" s="243">
        <v>1</v>
      </c>
      <c r="L98" s="243">
        <v>0</v>
      </c>
      <c r="M98" s="242">
        <v>1</v>
      </c>
      <c r="N98" s="242" t="s">
        <v>2</v>
      </c>
      <c r="O98" s="351" t="s">
        <v>514</v>
      </c>
      <c r="P98" s="351" t="s">
        <v>233</v>
      </c>
      <c r="Q98" s="55" t="s">
        <v>557</v>
      </c>
      <c r="R98" s="64"/>
      <c r="S98" s="64"/>
      <c r="T98" s="55" t="s">
        <v>1</v>
      </c>
      <c r="U98" s="192"/>
      <c r="V98" s="6"/>
      <c r="W98" s="6"/>
      <c r="X98" s="6"/>
      <c r="Y98" s="6"/>
      <c r="Z98" s="6"/>
      <c r="AA98" s="6"/>
      <c r="AB98" s="6"/>
      <c r="AC98" s="6"/>
      <c r="AD98" s="6"/>
      <c r="AE98" s="6"/>
      <c r="AF98" s="6"/>
      <c r="AG98" s="6"/>
      <c r="AH98" s="6"/>
      <c r="AI98" s="6"/>
      <c r="AJ98" s="6"/>
    </row>
    <row r="99" spans="1:36" s="93" customFormat="1" ht="23.25" x14ac:dyDescent="0.25">
      <c r="A99" s="307"/>
      <c r="B99" s="307"/>
      <c r="C99" s="324"/>
      <c r="D99" s="308"/>
      <c r="E99" s="308"/>
      <c r="F99" s="308"/>
      <c r="G99" s="308"/>
      <c r="H99" s="308"/>
      <c r="I99" s="308"/>
      <c r="J99" s="310"/>
      <c r="K99" s="311"/>
      <c r="L99" s="311"/>
      <c r="M99" s="309"/>
      <c r="N99" s="312"/>
      <c r="O99" s="313"/>
      <c r="P99" s="313"/>
      <c r="Q99" s="314"/>
      <c r="R99" s="315"/>
      <c r="S99" s="315"/>
      <c r="T99" s="316"/>
      <c r="U99" s="91"/>
    </row>
    <row r="100" spans="1:36" s="93" customFormat="1" ht="40.5" customHeight="1" x14ac:dyDescent="0.25">
      <c r="A100" s="238">
        <v>6</v>
      </c>
      <c r="B100" s="238">
        <v>6</v>
      </c>
      <c r="C100" s="465" t="s">
        <v>11</v>
      </c>
      <c r="D100" s="466"/>
      <c r="E100" s="466"/>
      <c r="F100" s="466"/>
      <c r="G100" s="466"/>
      <c r="H100" s="466"/>
      <c r="I100" s="466"/>
      <c r="J100" s="239">
        <f>SUM(J101:J106)</f>
        <v>1031438</v>
      </c>
      <c r="K100" s="240"/>
      <c r="L100" s="240"/>
      <c r="M100" s="240"/>
      <c r="N100" s="240"/>
      <c r="O100" s="240"/>
      <c r="P100" s="240"/>
      <c r="Q100" s="47"/>
      <c r="R100" s="47"/>
      <c r="S100" s="47"/>
      <c r="T100" s="48"/>
      <c r="U100" s="91"/>
      <c r="V100" s="91"/>
      <c r="W100" s="91"/>
    </row>
    <row r="101" spans="1:36" ht="102.75" customHeight="1" x14ac:dyDescent="0.25">
      <c r="A101" s="241" t="s">
        <v>143</v>
      </c>
      <c r="B101" s="241" t="s">
        <v>143</v>
      </c>
      <c r="C101" s="242" t="s">
        <v>556</v>
      </c>
      <c r="D101" s="245" t="s">
        <v>226</v>
      </c>
      <c r="E101" s="245" t="s">
        <v>182</v>
      </c>
      <c r="F101" s="245" t="s">
        <v>645</v>
      </c>
      <c r="G101" s="245" t="s">
        <v>77</v>
      </c>
      <c r="H101" s="245">
        <v>1</v>
      </c>
      <c r="I101" s="245"/>
      <c r="J101" s="244">
        <f>'INFORMATIVO 02 04 19'!D25</f>
        <v>15625</v>
      </c>
      <c r="K101" s="243">
        <v>1</v>
      </c>
      <c r="L101" s="243">
        <v>0</v>
      </c>
      <c r="M101" s="242">
        <v>2</v>
      </c>
      <c r="N101" s="242" t="s">
        <v>2</v>
      </c>
      <c r="O101" s="339">
        <v>43831</v>
      </c>
      <c r="P101" s="339">
        <v>43922</v>
      </c>
      <c r="Q101" s="55"/>
      <c r="R101" s="64"/>
      <c r="S101" s="64"/>
      <c r="T101" s="55" t="s">
        <v>1</v>
      </c>
      <c r="U101" s="192"/>
      <c r="V101" s="6"/>
      <c r="W101" s="6"/>
      <c r="X101" s="6"/>
      <c r="Y101" s="6"/>
      <c r="Z101" s="6"/>
      <c r="AA101" s="6"/>
      <c r="AB101" s="6"/>
      <c r="AC101" s="6"/>
      <c r="AD101" s="6"/>
      <c r="AE101" s="6"/>
      <c r="AF101" s="6"/>
      <c r="AG101" s="6"/>
      <c r="AH101" s="6"/>
      <c r="AI101" s="6"/>
      <c r="AJ101" s="6"/>
    </row>
    <row r="102" spans="1:36" ht="84" customHeight="1" x14ac:dyDescent="0.25">
      <c r="A102" s="241" t="s">
        <v>193</v>
      </c>
      <c r="B102" s="241" t="s">
        <v>193</v>
      </c>
      <c r="C102" s="242" t="s">
        <v>556</v>
      </c>
      <c r="D102" s="348" t="s">
        <v>292</v>
      </c>
      <c r="E102" s="348" t="s">
        <v>292</v>
      </c>
      <c r="F102" s="245" t="s">
        <v>646</v>
      </c>
      <c r="G102" s="245" t="s">
        <v>41</v>
      </c>
      <c r="H102" s="245">
        <v>1</v>
      </c>
      <c r="I102" s="354"/>
      <c r="J102" s="244">
        <f>'INFORMATIVO 02 04 19'!D109</f>
        <v>884563</v>
      </c>
      <c r="K102" s="243">
        <v>1</v>
      </c>
      <c r="L102" s="243">
        <v>0</v>
      </c>
      <c r="M102" s="242">
        <v>2</v>
      </c>
      <c r="N102" s="242" t="s">
        <v>2</v>
      </c>
      <c r="O102" s="351" t="s">
        <v>512</v>
      </c>
      <c r="P102" s="351" t="s">
        <v>611</v>
      </c>
      <c r="Q102" s="55"/>
      <c r="R102" s="64"/>
      <c r="S102" s="64"/>
      <c r="T102" s="55" t="s">
        <v>1</v>
      </c>
      <c r="U102" s="192"/>
      <c r="V102" s="6"/>
      <c r="W102" s="6"/>
      <c r="X102" s="6"/>
      <c r="Y102" s="6"/>
      <c r="Z102" s="6"/>
      <c r="AA102" s="6"/>
      <c r="AB102" s="6"/>
      <c r="AC102" s="6"/>
      <c r="AD102" s="6"/>
      <c r="AE102" s="6"/>
      <c r="AF102" s="6"/>
      <c r="AG102" s="6"/>
      <c r="AH102" s="6"/>
      <c r="AI102" s="6"/>
      <c r="AJ102" s="6"/>
    </row>
    <row r="103" spans="1:36" ht="163.5" customHeight="1" x14ac:dyDescent="0.25">
      <c r="A103" s="241" t="s">
        <v>198</v>
      </c>
      <c r="B103" s="241" t="s">
        <v>198</v>
      </c>
      <c r="C103" s="242" t="s">
        <v>556</v>
      </c>
      <c r="D103" s="246" t="s">
        <v>307</v>
      </c>
      <c r="E103" s="246" t="s">
        <v>307</v>
      </c>
      <c r="F103" s="348" t="s">
        <v>637</v>
      </c>
      <c r="G103" s="245" t="s">
        <v>77</v>
      </c>
      <c r="H103" s="245">
        <v>1</v>
      </c>
      <c r="I103" s="245"/>
      <c r="J103" s="244">
        <f>'INFORMATIVO 02 04 19'!D28</f>
        <v>40625</v>
      </c>
      <c r="K103" s="243">
        <v>1</v>
      </c>
      <c r="L103" s="243">
        <v>0</v>
      </c>
      <c r="M103" s="242">
        <v>2</v>
      </c>
      <c r="N103" s="242" t="s">
        <v>2</v>
      </c>
      <c r="O103" s="339">
        <v>43831</v>
      </c>
      <c r="P103" s="339">
        <v>43922</v>
      </c>
      <c r="Q103" s="55"/>
      <c r="R103" s="64"/>
      <c r="S103" s="64"/>
      <c r="T103" s="55" t="s">
        <v>1</v>
      </c>
      <c r="U103" s="192"/>
      <c r="V103" s="6"/>
      <c r="W103" s="6"/>
      <c r="X103" s="6"/>
      <c r="Y103" s="6"/>
      <c r="Z103" s="6"/>
      <c r="AA103" s="6"/>
      <c r="AB103" s="6"/>
      <c r="AC103" s="6"/>
      <c r="AD103" s="6"/>
      <c r="AE103" s="6"/>
      <c r="AF103" s="6"/>
      <c r="AG103" s="6"/>
      <c r="AH103" s="6"/>
      <c r="AI103" s="6"/>
      <c r="AJ103" s="6"/>
    </row>
    <row r="104" spans="1:36" ht="93" x14ac:dyDescent="0.25">
      <c r="A104" s="241" t="s">
        <v>256</v>
      </c>
      <c r="B104" s="241" t="s">
        <v>256</v>
      </c>
      <c r="C104" s="242" t="s">
        <v>556</v>
      </c>
      <c r="D104" s="245" t="s">
        <v>316</v>
      </c>
      <c r="E104" s="245" t="s">
        <v>317</v>
      </c>
      <c r="F104" s="245" t="s">
        <v>644</v>
      </c>
      <c r="G104" s="245" t="s">
        <v>77</v>
      </c>
      <c r="H104" s="245">
        <v>1</v>
      </c>
      <c r="I104" s="245"/>
      <c r="J104" s="244">
        <f>'INFORMATIVO 02 04 19'!C73</f>
        <v>15625</v>
      </c>
      <c r="K104" s="243">
        <v>1</v>
      </c>
      <c r="L104" s="243">
        <v>0</v>
      </c>
      <c r="M104" s="242">
        <v>2</v>
      </c>
      <c r="N104" s="242" t="s">
        <v>2</v>
      </c>
      <c r="O104" s="339">
        <v>43891</v>
      </c>
      <c r="P104" s="339">
        <v>43983</v>
      </c>
      <c r="Q104" s="55"/>
      <c r="R104" s="64"/>
      <c r="S104" s="64"/>
      <c r="T104" s="55" t="s">
        <v>1</v>
      </c>
      <c r="U104" s="192"/>
      <c r="V104" s="6"/>
      <c r="W104" s="6"/>
      <c r="X104" s="6"/>
      <c r="Y104" s="6"/>
      <c r="Z104" s="6"/>
      <c r="AA104" s="6"/>
      <c r="AB104" s="6"/>
      <c r="AC104" s="6"/>
      <c r="AD104" s="6"/>
      <c r="AE104" s="6"/>
      <c r="AF104" s="6"/>
      <c r="AG104" s="6"/>
      <c r="AH104" s="6"/>
      <c r="AI104" s="6"/>
      <c r="AJ104" s="6"/>
    </row>
    <row r="105" spans="1:36" ht="122.25" customHeight="1" x14ac:dyDescent="0.25">
      <c r="A105" s="241" t="s">
        <v>257</v>
      </c>
      <c r="B105" s="241" t="s">
        <v>257</v>
      </c>
      <c r="C105" s="242" t="s">
        <v>556</v>
      </c>
      <c r="D105" s="245" t="s">
        <v>225</v>
      </c>
      <c r="E105" s="245" t="s">
        <v>321</v>
      </c>
      <c r="F105" s="245" t="s">
        <v>629</v>
      </c>
      <c r="G105" s="245" t="s">
        <v>77</v>
      </c>
      <c r="H105" s="245">
        <v>1</v>
      </c>
      <c r="I105" s="245"/>
      <c r="J105" s="244">
        <f>'INFORMATIVO 02 04 19'!C90</f>
        <v>25000</v>
      </c>
      <c r="K105" s="243">
        <v>1</v>
      </c>
      <c r="L105" s="243">
        <v>0</v>
      </c>
      <c r="M105" s="242">
        <v>2</v>
      </c>
      <c r="N105" s="242" t="s">
        <v>2</v>
      </c>
      <c r="O105" s="339">
        <v>43891</v>
      </c>
      <c r="P105" s="339">
        <v>43983</v>
      </c>
      <c r="Q105" s="55"/>
      <c r="R105" s="64"/>
      <c r="S105" s="64"/>
      <c r="T105" s="55" t="s">
        <v>1</v>
      </c>
      <c r="U105" s="192"/>
      <c r="V105" s="6"/>
      <c r="W105" s="6"/>
      <c r="X105" s="6"/>
      <c r="Y105" s="6"/>
      <c r="Z105" s="6"/>
      <c r="AA105" s="6"/>
      <c r="AB105" s="6"/>
      <c r="AC105" s="6"/>
      <c r="AD105" s="6"/>
      <c r="AE105" s="6"/>
      <c r="AF105" s="6"/>
      <c r="AG105" s="6"/>
      <c r="AH105" s="6"/>
      <c r="AI105" s="6"/>
      <c r="AJ105" s="6"/>
    </row>
    <row r="106" spans="1:36" ht="69.75" x14ac:dyDescent="0.25">
      <c r="A106" s="241" t="s">
        <v>249</v>
      </c>
      <c r="B106" s="241" t="s">
        <v>663</v>
      </c>
      <c r="C106" s="242" t="s">
        <v>556</v>
      </c>
      <c r="D106" s="245" t="s">
        <v>533</v>
      </c>
      <c r="E106" s="245" t="s">
        <v>581</v>
      </c>
      <c r="F106" s="245" t="s">
        <v>340</v>
      </c>
      <c r="G106" s="245" t="s">
        <v>34</v>
      </c>
      <c r="H106" s="245">
        <v>1</v>
      </c>
      <c r="I106" s="245"/>
      <c r="J106" s="244">
        <v>50000</v>
      </c>
      <c r="K106" s="243">
        <v>1</v>
      </c>
      <c r="L106" s="243">
        <v>0</v>
      </c>
      <c r="M106" s="242" t="s">
        <v>335</v>
      </c>
      <c r="N106" s="242" t="s">
        <v>4</v>
      </c>
      <c r="O106" s="351" t="s">
        <v>650</v>
      </c>
      <c r="P106" s="339">
        <v>43586</v>
      </c>
      <c r="Q106" s="55"/>
      <c r="R106" s="64"/>
      <c r="S106" s="64"/>
      <c r="T106" s="55" t="s">
        <v>1</v>
      </c>
      <c r="U106" s="192"/>
      <c r="V106" s="6"/>
      <c r="W106" s="6"/>
      <c r="X106" s="6"/>
      <c r="Y106" s="6"/>
      <c r="Z106" s="6"/>
      <c r="AA106" s="6"/>
      <c r="AB106" s="6"/>
      <c r="AC106" s="6"/>
      <c r="AD106" s="6"/>
      <c r="AE106" s="6"/>
      <c r="AF106" s="6"/>
      <c r="AG106" s="6"/>
      <c r="AH106" s="6"/>
      <c r="AI106" s="6"/>
      <c r="AJ106" s="6"/>
    </row>
    <row r="107" spans="1:36" s="93" customFormat="1" ht="23.25" x14ac:dyDescent="0.25">
      <c r="A107" s="248"/>
      <c r="B107" s="248"/>
      <c r="C107" s="250"/>
      <c r="D107" s="250"/>
      <c r="E107" s="250"/>
      <c r="F107" s="250"/>
      <c r="G107" s="250"/>
      <c r="H107" s="250"/>
      <c r="I107" s="250"/>
      <c r="J107" s="251"/>
      <c r="K107" s="252"/>
      <c r="L107" s="253"/>
      <c r="M107" s="249"/>
      <c r="N107" s="249"/>
      <c r="O107" s="254"/>
      <c r="P107" s="254"/>
      <c r="Q107" s="190"/>
      <c r="R107" s="14"/>
      <c r="S107" s="14"/>
      <c r="T107" s="190"/>
      <c r="U107" s="91"/>
    </row>
    <row r="108" spans="1:36" s="93" customFormat="1" ht="33.75" customHeight="1" x14ac:dyDescent="0.25">
      <c r="A108" s="238">
        <v>7</v>
      </c>
      <c r="B108" s="238">
        <v>7</v>
      </c>
      <c r="C108" s="465" t="s">
        <v>561</v>
      </c>
      <c r="D108" s="466"/>
      <c r="E108" s="466"/>
      <c r="F108" s="466"/>
      <c r="G108" s="466"/>
      <c r="H108" s="466"/>
      <c r="I108" s="466"/>
      <c r="J108" s="239">
        <f>SUM(J109:J110)</f>
        <v>6211656.25</v>
      </c>
      <c r="K108" s="240"/>
      <c r="L108" s="240"/>
      <c r="M108" s="240"/>
      <c r="N108" s="240"/>
      <c r="O108" s="240"/>
      <c r="P108" s="240"/>
      <c r="Q108" s="47"/>
      <c r="R108" s="47"/>
      <c r="S108" s="47"/>
      <c r="T108" s="48"/>
      <c r="U108" s="91"/>
      <c r="V108" s="91"/>
      <c r="W108" s="91"/>
    </row>
    <row r="109" spans="1:36" ht="54" customHeight="1" x14ac:dyDescent="0.25">
      <c r="A109" s="241" t="s">
        <v>144</v>
      </c>
      <c r="B109" s="241" t="s">
        <v>144</v>
      </c>
      <c r="C109" s="242" t="s">
        <v>556</v>
      </c>
      <c r="D109" s="245" t="s">
        <v>563</v>
      </c>
      <c r="E109" s="245" t="s">
        <v>564</v>
      </c>
      <c r="F109" s="245" t="s">
        <v>340</v>
      </c>
      <c r="G109" s="245" t="s">
        <v>34</v>
      </c>
      <c r="H109" s="245"/>
      <c r="I109" s="245"/>
      <c r="J109" s="244">
        <f>'[1]PEP US$'!$E$73</f>
        <v>1923281.25</v>
      </c>
      <c r="K109" s="243">
        <v>0</v>
      </c>
      <c r="L109" s="243">
        <v>1</v>
      </c>
      <c r="M109" s="242" t="s">
        <v>340</v>
      </c>
      <c r="N109" s="242" t="s">
        <v>4</v>
      </c>
      <c r="O109" s="339">
        <v>43435</v>
      </c>
      <c r="P109" s="339">
        <v>43466</v>
      </c>
      <c r="Q109" s="55" t="s">
        <v>557</v>
      </c>
      <c r="R109" s="64"/>
      <c r="S109" s="64"/>
      <c r="T109" s="55" t="s">
        <v>75</v>
      </c>
      <c r="U109" s="192"/>
      <c r="V109" s="192"/>
      <c r="W109" s="192"/>
      <c r="X109" s="6"/>
      <c r="Y109" s="6"/>
      <c r="Z109" s="6"/>
      <c r="AA109" s="6"/>
      <c r="AB109" s="6"/>
      <c r="AC109" s="6"/>
      <c r="AD109" s="6"/>
      <c r="AE109" s="6"/>
      <c r="AF109" s="6"/>
      <c r="AG109" s="6"/>
      <c r="AH109" s="6"/>
      <c r="AI109" s="6"/>
      <c r="AJ109" s="6"/>
    </row>
    <row r="110" spans="1:36" ht="83.25" customHeight="1" x14ac:dyDescent="0.25">
      <c r="A110" s="241" t="s">
        <v>562</v>
      </c>
      <c r="B110" s="241" t="s">
        <v>562</v>
      </c>
      <c r="C110" s="242" t="s">
        <v>556</v>
      </c>
      <c r="D110" s="245" t="s">
        <v>565</v>
      </c>
      <c r="E110" s="245" t="s">
        <v>566</v>
      </c>
      <c r="F110" s="245" t="s">
        <v>647</v>
      </c>
      <c r="G110" s="245" t="s">
        <v>34</v>
      </c>
      <c r="H110" s="245"/>
      <c r="I110" s="245"/>
      <c r="J110" s="244">
        <f>'[1]PEP US$'!$E$19</f>
        <v>4288375</v>
      </c>
      <c r="K110" s="243">
        <v>0</v>
      </c>
      <c r="L110" s="243">
        <v>1</v>
      </c>
      <c r="M110" s="242">
        <v>1</v>
      </c>
      <c r="N110" s="242" t="s">
        <v>4</v>
      </c>
      <c r="O110" s="339">
        <v>43586</v>
      </c>
      <c r="P110" s="339">
        <v>43983</v>
      </c>
      <c r="Q110" s="55" t="s">
        <v>557</v>
      </c>
      <c r="R110" s="64"/>
      <c r="S110" s="64"/>
      <c r="T110" s="55" t="s">
        <v>1</v>
      </c>
      <c r="U110" s="192"/>
      <c r="V110" s="192"/>
      <c r="W110" s="192"/>
      <c r="X110" s="6"/>
      <c r="Y110" s="6"/>
      <c r="Z110" s="6"/>
      <c r="AA110" s="6"/>
      <c r="AB110" s="6"/>
      <c r="AC110" s="6"/>
      <c r="AD110" s="6"/>
      <c r="AE110" s="6"/>
      <c r="AF110" s="6"/>
      <c r="AG110" s="6"/>
      <c r="AH110" s="6"/>
      <c r="AI110" s="6"/>
      <c r="AJ110" s="6"/>
    </row>
    <row r="111" spans="1:36" s="93" customFormat="1" ht="30.75" customHeight="1" x14ac:dyDescent="0.25">
      <c r="A111" s="241"/>
      <c r="B111" s="241"/>
      <c r="C111" s="242"/>
      <c r="D111" s="245"/>
      <c r="E111" s="245"/>
      <c r="F111" s="245"/>
      <c r="G111" s="245"/>
      <c r="H111" s="242"/>
      <c r="I111" s="242"/>
      <c r="J111" s="244"/>
      <c r="K111" s="242"/>
      <c r="L111" s="255"/>
      <c r="M111" s="256"/>
      <c r="N111" s="243"/>
      <c r="O111" s="242"/>
      <c r="P111" s="242"/>
      <c r="Q111" s="55"/>
      <c r="R111" s="64"/>
      <c r="S111" s="64"/>
      <c r="T111" s="55"/>
      <c r="U111" s="91"/>
    </row>
    <row r="112" spans="1:36" s="93" customFormat="1" ht="23.25" x14ac:dyDescent="0.25">
      <c r="A112" s="237"/>
      <c r="B112" s="237"/>
      <c r="C112" s="237"/>
      <c r="D112" s="279"/>
      <c r="E112" s="279"/>
      <c r="F112" s="279"/>
      <c r="G112" s="279"/>
      <c r="H112" s="237"/>
      <c r="I112" s="283"/>
      <c r="J112" s="284"/>
      <c r="K112" s="285"/>
      <c r="L112" s="285"/>
      <c r="M112" s="283"/>
      <c r="N112" s="237"/>
      <c r="O112" s="237"/>
      <c r="P112" s="237"/>
      <c r="Q112" s="68"/>
      <c r="R112" s="133"/>
      <c r="S112" s="133"/>
      <c r="T112" s="68"/>
    </row>
    <row r="113" spans="1:20" s="93" customFormat="1" ht="23.25" x14ac:dyDescent="0.25">
      <c r="A113" s="237"/>
      <c r="B113" s="237"/>
      <c r="C113" s="237"/>
      <c r="D113" s="476"/>
      <c r="E113" s="476"/>
      <c r="F113" s="289"/>
      <c r="G113" s="279"/>
      <c r="H113" s="237"/>
      <c r="I113" s="283"/>
      <c r="J113" s="284"/>
      <c r="K113" s="285"/>
      <c r="L113" s="285"/>
      <c r="M113" s="283"/>
      <c r="N113" s="237"/>
      <c r="O113" s="237"/>
      <c r="P113" s="237"/>
      <c r="Q113" s="68"/>
      <c r="R113" s="133"/>
      <c r="S113" s="133"/>
      <c r="T113" s="68"/>
    </row>
    <row r="114" spans="1:20" s="93" customFormat="1" ht="46.5" x14ac:dyDescent="0.25">
      <c r="A114" s="237"/>
      <c r="B114" s="237"/>
      <c r="C114" s="237"/>
      <c r="D114" s="279"/>
      <c r="E114" s="279"/>
      <c r="F114" s="279"/>
      <c r="G114" s="246" t="s">
        <v>419</v>
      </c>
      <c r="H114" s="241"/>
      <c r="I114" s="257"/>
      <c r="J114" s="258">
        <v>200000000</v>
      </c>
      <c r="K114" s="285"/>
      <c r="L114" s="285"/>
      <c r="M114" s="283"/>
      <c r="N114" s="237"/>
      <c r="O114" s="237"/>
      <c r="P114" s="237"/>
      <c r="Q114" s="68"/>
      <c r="R114" s="133"/>
      <c r="S114" s="133"/>
      <c r="T114" s="68"/>
    </row>
    <row r="115" spans="1:20" s="93" customFormat="1" ht="23.25" x14ac:dyDescent="0.25">
      <c r="A115" s="248"/>
      <c r="B115" s="248"/>
      <c r="C115" s="467" t="s">
        <v>74</v>
      </c>
      <c r="D115" s="259" t="s">
        <v>4</v>
      </c>
      <c r="E115" s="290"/>
      <c r="F115" s="290"/>
      <c r="G115" s="246"/>
      <c r="H115" s="241"/>
      <c r="I115" s="257"/>
      <c r="J115" s="258"/>
      <c r="K115" s="291"/>
      <c r="L115" s="291"/>
      <c r="M115" s="292"/>
      <c r="N115" s="248"/>
      <c r="O115" s="248"/>
      <c r="P115" s="248"/>
      <c r="Q115" s="74"/>
      <c r="R115" s="9"/>
      <c r="S115" s="9"/>
      <c r="T115" s="74"/>
    </row>
    <row r="116" spans="1:20" s="93" customFormat="1" ht="46.5" x14ac:dyDescent="0.25">
      <c r="A116" s="248"/>
      <c r="B116" s="248"/>
      <c r="C116" s="468"/>
      <c r="D116" s="259" t="s">
        <v>2</v>
      </c>
      <c r="E116" s="290"/>
      <c r="F116" s="290"/>
      <c r="G116" s="246" t="s">
        <v>420</v>
      </c>
      <c r="H116" s="260"/>
      <c r="I116" s="261"/>
      <c r="J116" s="258">
        <f>J108+J100+J89+J53+J38+J19+J10</f>
        <v>200000001.01999998</v>
      </c>
      <c r="K116" s="323">
        <f>J114-J116</f>
        <v>-1.0199999809265137</v>
      </c>
      <c r="L116" s="291"/>
      <c r="M116" s="292"/>
      <c r="N116" s="248"/>
      <c r="O116" s="248"/>
      <c r="P116" s="248"/>
      <c r="Q116" s="74"/>
      <c r="R116" s="9"/>
      <c r="S116" s="9"/>
      <c r="T116" s="74"/>
    </row>
    <row r="117" spans="1:20" s="93" customFormat="1" ht="23.25" x14ac:dyDescent="0.25">
      <c r="A117" s="248"/>
      <c r="B117" s="248"/>
      <c r="C117" s="469"/>
      <c r="D117" s="246" t="s">
        <v>3</v>
      </c>
      <c r="E117" s="290"/>
      <c r="F117" s="290"/>
      <c r="G117" s="246"/>
      <c r="H117" s="241"/>
      <c r="I117" s="257"/>
      <c r="J117" s="258"/>
      <c r="K117" s="291"/>
      <c r="L117" s="291"/>
      <c r="M117" s="292"/>
      <c r="N117" s="248"/>
      <c r="O117" s="248"/>
      <c r="P117" s="248"/>
      <c r="Q117" s="74"/>
      <c r="R117" s="9"/>
      <c r="S117" s="9"/>
      <c r="T117" s="74"/>
    </row>
    <row r="118" spans="1:20" s="93" customFormat="1" ht="23.25" x14ac:dyDescent="0.25">
      <c r="A118" s="248"/>
      <c r="B118" s="248"/>
      <c r="C118" s="248"/>
      <c r="D118" s="290"/>
      <c r="E118" s="290"/>
      <c r="F118" s="290"/>
      <c r="G118" s="293"/>
      <c r="H118" s="294"/>
      <c r="I118" s="295"/>
      <c r="J118" s="296"/>
      <c r="K118" s="297"/>
      <c r="L118" s="297"/>
      <c r="M118" s="292"/>
      <c r="N118" s="248"/>
      <c r="O118" s="248"/>
      <c r="P118" s="248"/>
      <c r="Q118" s="74"/>
      <c r="R118" s="9"/>
      <c r="S118" s="9"/>
      <c r="T118" s="74"/>
    </row>
    <row r="119" spans="1:20" s="93" customFormat="1" ht="23.25" x14ac:dyDescent="0.25">
      <c r="A119" s="248"/>
      <c r="B119" s="248"/>
      <c r="C119" s="467" t="s">
        <v>15</v>
      </c>
      <c r="D119" s="259" t="s">
        <v>1</v>
      </c>
      <c r="E119" s="290"/>
      <c r="F119" s="290"/>
      <c r="G119" s="246"/>
      <c r="H119" s="241"/>
      <c r="I119" s="257"/>
      <c r="J119" s="262"/>
      <c r="K119" s="291"/>
      <c r="L119" s="297"/>
      <c r="M119" s="292"/>
      <c r="N119" s="248"/>
      <c r="O119" s="248"/>
      <c r="P119" s="248"/>
      <c r="Q119" s="74"/>
      <c r="R119" s="9"/>
      <c r="S119" s="9"/>
      <c r="T119" s="74"/>
    </row>
    <row r="120" spans="1:20" s="93" customFormat="1" ht="23.25" x14ac:dyDescent="0.25">
      <c r="A120" s="248"/>
      <c r="B120" s="248"/>
      <c r="C120" s="468"/>
      <c r="D120" s="259" t="s">
        <v>58</v>
      </c>
      <c r="E120" s="290"/>
      <c r="F120" s="290"/>
      <c r="G120" s="246"/>
      <c r="H120" s="241"/>
      <c r="I120" s="257"/>
      <c r="J120" s="262"/>
      <c r="K120" s="297"/>
      <c r="L120" s="291"/>
      <c r="M120" s="292"/>
      <c r="N120" s="248"/>
      <c r="O120" s="248"/>
      <c r="P120" s="248"/>
      <c r="Q120" s="74"/>
      <c r="R120" s="9"/>
      <c r="S120" s="9"/>
      <c r="T120" s="74"/>
    </row>
    <row r="121" spans="1:20" s="93" customFormat="1" ht="23.25" x14ac:dyDescent="0.25">
      <c r="A121" s="248"/>
      <c r="B121" s="248"/>
      <c r="C121" s="468"/>
      <c r="D121" s="259" t="s">
        <v>38</v>
      </c>
      <c r="E121" s="290"/>
      <c r="F121" s="290"/>
      <c r="G121" s="293"/>
      <c r="H121" s="294"/>
      <c r="I121" s="295"/>
      <c r="J121" s="296"/>
      <c r="K121" s="297"/>
      <c r="L121" s="291"/>
      <c r="M121" s="292"/>
      <c r="N121" s="248"/>
      <c r="O121" s="248"/>
      <c r="P121" s="248"/>
      <c r="Q121" s="74"/>
      <c r="R121" s="9"/>
      <c r="S121" s="9"/>
      <c r="T121" s="74"/>
    </row>
    <row r="122" spans="1:20" s="93" customFormat="1" ht="23.25" x14ac:dyDescent="0.25">
      <c r="A122" s="248"/>
      <c r="B122" s="248"/>
      <c r="C122" s="468"/>
      <c r="D122" s="259" t="s">
        <v>6</v>
      </c>
      <c r="E122" s="290"/>
      <c r="F122" s="290"/>
      <c r="G122" s="290"/>
      <c r="H122" s="248"/>
      <c r="I122" s="292"/>
      <c r="J122" s="296"/>
      <c r="K122" s="291"/>
      <c r="L122" s="291"/>
      <c r="M122" s="292"/>
      <c r="N122" s="248"/>
      <c r="O122" s="248"/>
      <c r="P122" s="248"/>
      <c r="Q122" s="74"/>
      <c r="R122" s="9"/>
      <c r="S122" s="9"/>
      <c r="T122" s="74"/>
    </row>
    <row r="123" spans="1:20" s="93" customFormat="1" ht="46.5" x14ac:dyDescent="0.25">
      <c r="A123" s="248"/>
      <c r="B123" s="248"/>
      <c r="C123" s="468"/>
      <c r="D123" s="259" t="s">
        <v>67</v>
      </c>
      <c r="E123" s="290"/>
      <c r="F123" s="290"/>
      <c r="G123" s="290"/>
      <c r="H123" s="248"/>
      <c r="I123" s="292"/>
      <c r="J123" s="298"/>
      <c r="K123" s="291"/>
      <c r="L123" s="291"/>
      <c r="M123" s="292"/>
      <c r="N123" s="248"/>
      <c r="O123" s="248"/>
      <c r="P123" s="248"/>
      <c r="Q123" s="74"/>
      <c r="R123" s="9"/>
      <c r="S123" s="9"/>
      <c r="T123" s="74"/>
    </row>
    <row r="124" spans="1:20" s="93" customFormat="1" ht="23.25" x14ac:dyDescent="0.25">
      <c r="A124" s="248"/>
      <c r="B124" s="248"/>
      <c r="C124" s="468"/>
      <c r="D124" s="259" t="s">
        <v>53</v>
      </c>
      <c r="E124" s="290"/>
      <c r="F124" s="290"/>
      <c r="G124" s="290"/>
      <c r="H124" s="248"/>
      <c r="I124" s="292"/>
      <c r="J124" s="298"/>
      <c r="K124" s="291"/>
      <c r="L124" s="291"/>
      <c r="M124" s="292"/>
      <c r="N124" s="248"/>
      <c r="O124" s="248"/>
      <c r="P124" s="248"/>
      <c r="Q124" s="74"/>
      <c r="R124" s="9"/>
      <c r="S124" s="9"/>
      <c r="T124" s="74"/>
    </row>
    <row r="125" spans="1:20" s="93" customFormat="1" ht="23.25" x14ac:dyDescent="0.25">
      <c r="A125" s="248"/>
      <c r="B125" s="248"/>
      <c r="C125" s="468"/>
      <c r="D125" s="259" t="s">
        <v>17</v>
      </c>
      <c r="E125" s="290"/>
      <c r="F125" s="290"/>
      <c r="G125" s="290"/>
      <c r="H125" s="248"/>
      <c r="I125" s="292"/>
      <c r="J125" s="299"/>
      <c r="K125" s="295"/>
      <c r="L125" s="291"/>
      <c r="M125" s="292"/>
      <c r="N125" s="248"/>
      <c r="O125" s="248"/>
      <c r="P125" s="248"/>
      <c r="Q125" s="74"/>
      <c r="R125" s="9"/>
      <c r="S125" s="9"/>
      <c r="T125" s="74"/>
    </row>
    <row r="126" spans="1:20" s="93" customFormat="1" ht="23.25" x14ac:dyDescent="0.25">
      <c r="A126" s="248"/>
      <c r="B126" s="248"/>
      <c r="C126" s="469"/>
      <c r="D126" s="259" t="s">
        <v>75</v>
      </c>
      <c r="E126" s="290"/>
      <c r="F126" s="290"/>
      <c r="G126" s="290"/>
      <c r="H126" s="248"/>
      <c r="I126" s="292"/>
      <c r="J126" s="298"/>
      <c r="K126" s="291"/>
      <c r="L126" s="291"/>
      <c r="M126" s="292"/>
      <c r="N126" s="248"/>
      <c r="O126" s="248"/>
      <c r="P126" s="248"/>
      <c r="Q126" s="74"/>
      <c r="R126" s="9"/>
      <c r="S126" s="9"/>
      <c r="T126" s="74"/>
    </row>
    <row r="127" spans="1:20" s="93" customFormat="1" ht="23.25" x14ac:dyDescent="0.25">
      <c r="A127" s="248"/>
      <c r="B127" s="248"/>
      <c r="C127" s="248"/>
      <c r="D127" s="290"/>
      <c r="E127" s="290"/>
      <c r="F127" s="290"/>
      <c r="G127" s="290"/>
      <c r="H127" s="248"/>
      <c r="I127" s="292"/>
      <c r="J127" s="298"/>
      <c r="K127" s="291"/>
      <c r="L127" s="291"/>
      <c r="M127" s="292"/>
      <c r="N127" s="248"/>
      <c r="O127" s="248"/>
      <c r="P127" s="248"/>
      <c r="Q127" s="74"/>
      <c r="R127" s="9"/>
      <c r="S127" s="9"/>
      <c r="T127" s="74"/>
    </row>
    <row r="128" spans="1:20" s="93" customFormat="1" ht="46.5" x14ac:dyDescent="0.25">
      <c r="A128" s="248"/>
      <c r="B128" s="248"/>
      <c r="C128" s="470" t="s">
        <v>57</v>
      </c>
      <c r="D128" s="471" t="s">
        <v>54</v>
      </c>
      <c r="E128" s="259" t="s">
        <v>41</v>
      </c>
      <c r="F128" s="398"/>
      <c r="G128" s="290"/>
      <c r="H128" s="248"/>
      <c r="I128" s="292"/>
      <c r="J128" s="298"/>
      <c r="K128" s="291"/>
      <c r="L128" s="291"/>
      <c r="M128" s="292"/>
      <c r="N128" s="248"/>
      <c r="O128" s="248"/>
      <c r="P128" s="248"/>
      <c r="Q128" s="74"/>
      <c r="R128" s="9"/>
      <c r="S128" s="9"/>
      <c r="T128" s="74"/>
    </row>
    <row r="129" spans="1:20" s="93" customFormat="1" ht="23.25" x14ac:dyDescent="0.25">
      <c r="A129" s="248"/>
      <c r="B129" s="248"/>
      <c r="C129" s="470"/>
      <c r="D129" s="471"/>
      <c r="E129" s="259" t="s">
        <v>76</v>
      </c>
      <c r="F129" s="398"/>
      <c r="G129" s="290"/>
      <c r="H129" s="248"/>
      <c r="I129" s="292"/>
      <c r="J129" s="298"/>
      <c r="K129" s="291"/>
      <c r="L129" s="291"/>
      <c r="M129" s="292"/>
      <c r="N129" s="248"/>
      <c r="O129" s="248"/>
      <c r="P129" s="248"/>
      <c r="Q129" s="74"/>
      <c r="R129" s="9"/>
      <c r="S129" s="9"/>
      <c r="T129" s="74"/>
    </row>
    <row r="130" spans="1:20" s="93" customFormat="1" ht="46.5" x14ac:dyDescent="0.25">
      <c r="A130" s="248"/>
      <c r="B130" s="248"/>
      <c r="C130" s="470"/>
      <c r="D130" s="471"/>
      <c r="E130" s="259" t="s">
        <v>77</v>
      </c>
      <c r="F130" s="398"/>
      <c r="G130" s="290"/>
      <c r="H130" s="248"/>
      <c r="I130" s="292"/>
      <c r="J130" s="298"/>
      <c r="K130" s="291"/>
      <c r="L130" s="291"/>
      <c r="M130" s="292"/>
      <c r="N130" s="248"/>
      <c r="O130" s="248"/>
      <c r="P130" s="248"/>
      <c r="Q130" s="74"/>
      <c r="R130" s="9"/>
      <c r="S130" s="9"/>
      <c r="T130" s="74"/>
    </row>
    <row r="131" spans="1:20" s="93" customFormat="1" ht="23.25" x14ac:dyDescent="0.25">
      <c r="A131" s="248"/>
      <c r="B131" s="248"/>
      <c r="C131" s="470"/>
      <c r="D131" s="471"/>
      <c r="E131" s="259" t="s">
        <v>31</v>
      </c>
      <c r="F131" s="398"/>
      <c r="G131" s="290"/>
      <c r="H131" s="248"/>
      <c r="I131" s="292"/>
      <c r="J131" s="298"/>
      <c r="K131" s="291"/>
      <c r="L131" s="291"/>
      <c r="M131" s="292"/>
      <c r="N131" s="248"/>
      <c r="O131" s="248"/>
      <c r="P131" s="248"/>
      <c r="Q131" s="74"/>
      <c r="R131" s="9"/>
      <c r="S131" s="9"/>
      <c r="T131" s="74"/>
    </row>
    <row r="132" spans="1:20" s="93" customFormat="1" ht="23.25" x14ac:dyDescent="0.25">
      <c r="A132" s="248"/>
      <c r="B132" s="248"/>
      <c r="C132" s="470"/>
      <c r="D132" s="471"/>
      <c r="E132" s="259" t="s">
        <v>34</v>
      </c>
      <c r="F132" s="398"/>
      <c r="G132" s="290"/>
      <c r="H132" s="248"/>
      <c r="I132" s="292"/>
      <c r="J132" s="298"/>
      <c r="K132" s="291"/>
      <c r="L132" s="291"/>
      <c r="M132" s="292"/>
      <c r="N132" s="248"/>
      <c r="O132" s="248"/>
      <c r="P132" s="248"/>
      <c r="Q132" s="74"/>
      <c r="R132" s="9"/>
      <c r="S132" s="9"/>
      <c r="T132" s="74"/>
    </row>
    <row r="133" spans="1:20" s="93" customFormat="1" ht="46.5" x14ac:dyDescent="0.25">
      <c r="A133" s="248"/>
      <c r="B133" s="248"/>
      <c r="C133" s="470"/>
      <c r="D133" s="471"/>
      <c r="E133" s="259" t="s">
        <v>42</v>
      </c>
      <c r="F133" s="398"/>
      <c r="G133" s="290"/>
      <c r="H133" s="248"/>
      <c r="I133" s="292"/>
      <c r="J133" s="298"/>
      <c r="K133" s="291"/>
      <c r="L133" s="291"/>
      <c r="M133" s="292"/>
      <c r="N133" s="248"/>
      <c r="O133" s="248"/>
      <c r="P133" s="248"/>
      <c r="Q133" s="74"/>
      <c r="R133" s="9"/>
      <c r="S133" s="9"/>
      <c r="T133" s="74"/>
    </row>
    <row r="134" spans="1:20" s="93" customFormat="1" ht="46.5" x14ac:dyDescent="0.25">
      <c r="A134" s="248"/>
      <c r="B134" s="248"/>
      <c r="C134" s="470"/>
      <c r="D134" s="471"/>
      <c r="E134" s="259" t="s">
        <v>78</v>
      </c>
      <c r="F134" s="398"/>
      <c r="G134" s="290"/>
      <c r="H134" s="248"/>
      <c r="I134" s="292"/>
      <c r="J134" s="298"/>
      <c r="K134" s="291"/>
      <c r="L134" s="291"/>
      <c r="M134" s="292"/>
      <c r="N134" s="248"/>
      <c r="O134" s="248"/>
      <c r="P134" s="248"/>
      <c r="Q134" s="74"/>
      <c r="R134" s="9"/>
      <c r="S134" s="9"/>
      <c r="T134" s="74"/>
    </row>
    <row r="135" spans="1:20" s="93" customFormat="1" ht="23.25" x14ac:dyDescent="0.25">
      <c r="A135" s="248"/>
      <c r="B135" s="248"/>
      <c r="C135" s="470"/>
      <c r="D135" s="472" t="s">
        <v>56</v>
      </c>
      <c r="E135" s="259" t="s">
        <v>35</v>
      </c>
      <c r="F135" s="398"/>
      <c r="G135" s="290"/>
      <c r="H135" s="248"/>
      <c r="I135" s="292"/>
      <c r="J135" s="298"/>
      <c r="K135" s="291"/>
      <c r="L135" s="291"/>
      <c r="M135" s="292"/>
      <c r="N135" s="248"/>
      <c r="O135" s="248"/>
      <c r="P135" s="248"/>
      <c r="Q135" s="74"/>
      <c r="R135" s="9"/>
      <c r="S135" s="9"/>
      <c r="T135" s="74"/>
    </row>
    <row r="136" spans="1:20" s="93" customFormat="1" ht="23.25" x14ac:dyDescent="0.25">
      <c r="A136" s="248"/>
      <c r="B136" s="248"/>
      <c r="C136" s="470"/>
      <c r="D136" s="472"/>
      <c r="E136" s="259" t="s">
        <v>36</v>
      </c>
      <c r="F136" s="398"/>
      <c r="G136" s="290"/>
      <c r="H136" s="248"/>
      <c r="I136" s="292"/>
      <c r="J136" s="298"/>
      <c r="K136" s="291"/>
      <c r="L136" s="291"/>
      <c r="M136" s="292"/>
      <c r="N136" s="248"/>
      <c r="O136" s="248"/>
      <c r="P136" s="248"/>
      <c r="Q136" s="74"/>
      <c r="R136" s="9"/>
      <c r="S136" s="9"/>
      <c r="T136" s="74"/>
    </row>
    <row r="137" spans="1:20" s="93" customFormat="1" ht="23.25" x14ac:dyDescent="0.25">
      <c r="A137" s="248"/>
      <c r="B137" s="248"/>
      <c r="C137" s="470"/>
      <c r="D137" s="472"/>
      <c r="E137" s="259" t="s">
        <v>37</v>
      </c>
      <c r="F137" s="398"/>
      <c r="G137" s="290"/>
      <c r="H137" s="248"/>
      <c r="I137" s="292"/>
      <c r="J137" s="298"/>
      <c r="K137" s="291"/>
      <c r="L137" s="291"/>
      <c r="M137" s="292"/>
      <c r="N137" s="248"/>
      <c r="O137" s="248"/>
      <c r="P137" s="248"/>
      <c r="Q137" s="74"/>
      <c r="R137" s="9"/>
      <c r="S137" s="9"/>
      <c r="T137" s="74"/>
    </row>
    <row r="138" spans="1:20" s="93" customFormat="1" ht="23.25" x14ac:dyDescent="0.25">
      <c r="A138" s="248"/>
      <c r="B138" s="248"/>
      <c r="C138" s="470"/>
      <c r="D138" s="472"/>
      <c r="E138" s="259" t="s">
        <v>31</v>
      </c>
      <c r="F138" s="398"/>
      <c r="G138" s="290"/>
      <c r="H138" s="248"/>
      <c r="I138" s="292"/>
      <c r="J138" s="298"/>
      <c r="K138" s="291"/>
      <c r="L138" s="291"/>
      <c r="M138" s="292"/>
      <c r="N138" s="248"/>
      <c r="O138" s="248"/>
      <c r="P138" s="248"/>
      <c r="Q138" s="74"/>
      <c r="R138" s="9"/>
      <c r="S138" s="9"/>
      <c r="T138" s="74"/>
    </row>
    <row r="139" spans="1:20" s="93" customFormat="1" ht="23.25" x14ac:dyDescent="0.25">
      <c r="A139" s="248"/>
      <c r="B139" s="248"/>
      <c r="C139" s="470"/>
      <c r="D139" s="472"/>
      <c r="E139" s="259" t="s">
        <v>34</v>
      </c>
      <c r="F139" s="398"/>
      <c r="G139" s="290"/>
      <c r="H139" s="248"/>
      <c r="I139" s="292"/>
      <c r="J139" s="298"/>
      <c r="K139" s="291"/>
      <c r="L139" s="291"/>
      <c r="M139" s="292"/>
      <c r="N139" s="248"/>
      <c r="O139" s="248"/>
      <c r="P139" s="248"/>
      <c r="Q139" s="74"/>
      <c r="R139" s="9"/>
      <c r="S139" s="9"/>
      <c r="T139" s="74"/>
    </row>
    <row r="140" spans="1:20" s="93" customFormat="1" ht="23.25" x14ac:dyDescent="0.25">
      <c r="A140" s="248"/>
      <c r="B140" s="248"/>
      <c r="C140" s="470"/>
      <c r="D140" s="472"/>
      <c r="E140" s="259" t="s">
        <v>43</v>
      </c>
      <c r="F140" s="398"/>
      <c r="G140" s="290"/>
      <c r="H140" s="248"/>
      <c r="I140" s="292"/>
      <c r="J140" s="298"/>
      <c r="K140" s="291"/>
      <c r="L140" s="291"/>
      <c r="M140" s="292"/>
      <c r="N140" s="248"/>
      <c r="O140" s="248"/>
      <c r="P140" s="248"/>
      <c r="Q140" s="74"/>
      <c r="R140" s="9"/>
      <c r="S140" s="9"/>
      <c r="T140" s="74"/>
    </row>
    <row r="141" spans="1:20" s="93" customFormat="1" ht="46.5" x14ac:dyDescent="0.25">
      <c r="A141" s="248"/>
      <c r="B141" s="248"/>
      <c r="C141" s="470"/>
      <c r="D141" s="472"/>
      <c r="E141" s="259" t="s">
        <v>79</v>
      </c>
      <c r="F141" s="398"/>
      <c r="G141" s="290"/>
      <c r="H141" s="248"/>
      <c r="I141" s="292"/>
      <c r="J141" s="298"/>
      <c r="K141" s="291"/>
      <c r="L141" s="291"/>
      <c r="M141" s="292"/>
      <c r="N141" s="248"/>
      <c r="O141" s="248"/>
      <c r="P141" s="248"/>
      <c r="Q141" s="74"/>
      <c r="R141" s="9"/>
      <c r="S141" s="9"/>
      <c r="T141" s="74"/>
    </row>
    <row r="142" spans="1:20" s="93" customFormat="1" ht="46.5" x14ac:dyDescent="0.25">
      <c r="A142" s="248"/>
      <c r="B142" s="248"/>
      <c r="C142" s="470"/>
      <c r="D142" s="472"/>
      <c r="E142" s="259" t="s">
        <v>55</v>
      </c>
      <c r="F142" s="398"/>
      <c r="G142" s="290"/>
      <c r="H142" s="248"/>
      <c r="I142" s="292"/>
      <c r="J142" s="298"/>
      <c r="K142" s="291"/>
      <c r="L142" s="291"/>
      <c r="M142" s="292"/>
      <c r="N142" s="248"/>
      <c r="O142" s="248"/>
      <c r="P142" s="248"/>
      <c r="Q142" s="74"/>
      <c r="R142" s="9"/>
      <c r="S142" s="9"/>
      <c r="T142" s="74"/>
    </row>
    <row r="143" spans="1:20" s="93" customFormat="1" ht="23.25" x14ac:dyDescent="0.25">
      <c r="A143" s="248"/>
      <c r="B143" s="248"/>
      <c r="C143" s="470"/>
      <c r="D143" s="472"/>
      <c r="E143" s="259" t="s">
        <v>5</v>
      </c>
      <c r="F143" s="398"/>
      <c r="G143" s="290"/>
      <c r="H143" s="248"/>
      <c r="I143" s="292"/>
      <c r="J143" s="298"/>
      <c r="K143" s="291"/>
      <c r="L143" s="291"/>
      <c r="M143" s="292"/>
      <c r="N143" s="248"/>
      <c r="O143" s="248"/>
      <c r="P143" s="248"/>
      <c r="Q143" s="74"/>
      <c r="R143" s="9"/>
      <c r="S143" s="9"/>
      <c r="T143" s="74"/>
    </row>
    <row r="144" spans="1:20" s="93" customFormat="1" ht="46.5" x14ac:dyDescent="0.25">
      <c r="A144" s="248"/>
      <c r="B144" s="248"/>
      <c r="C144" s="470"/>
      <c r="D144" s="472"/>
      <c r="E144" s="259" t="s">
        <v>13</v>
      </c>
      <c r="F144" s="398"/>
      <c r="G144" s="290"/>
      <c r="H144" s="248"/>
      <c r="I144" s="292"/>
      <c r="J144" s="298"/>
      <c r="K144" s="291"/>
      <c r="L144" s="291"/>
      <c r="M144" s="292"/>
      <c r="N144" s="248"/>
      <c r="O144" s="248"/>
      <c r="P144" s="248"/>
      <c r="Q144" s="74"/>
      <c r="R144" s="9"/>
      <c r="S144" s="9"/>
      <c r="T144" s="74"/>
    </row>
    <row r="145" spans="1:20" s="93" customFormat="1" ht="23.25" x14ac:dyDescent="0.25">
      <c r="A145" s="248"/>
      <c r="B145" s="248"/>
      <c r="C145" s="470"/>
      <c r="D145" s="473" t="s">
        <v>80</v>
      </c>
      <c r="E145" s="259" t="s">
        <v>81</v>
      </c>
      <c r="F145" s="398"/>
      <c r="G145" s="290"/>
      <c r="H145" s="248"/>
      <c r="I145" s="292"/>
      <c r="J145" s="298"/>
      <c r="K145" s="291"/>
      <c r="L145" s="291"/>
      <c r="M145" s="292"/>
      <c r="N145" s="248"/>
      <c r="O145" s="248"/>
      <c r="P145" s="248"/>
      <c r="Q145" s="74"/>
      <c r="R145" s="9"/>
      <c r="S145" s="9"/>
      <c r="T145" s="74"/>
    </row>
    <row r="146" spans="1:20" s="93" customFormat="1" ht="23.25" x14ac:dyDescent="0.25">
      <c r="A146" s="248"/>
      <c r="B146" s="248"/>
      <c r="C146" s="470"/>
      <c r="D146" s="474"/>
      <c r="E146" s="259" t="s">
        <v>31</v>
      </c>
      <c r="F146" s="398"/>
      <c r="G146" s="290"/>
      <c r="H146" s="248"/>
      <c r="I146" s="292"/>
      <c r="J146" s="298"/>
      <c r="K146" s="291"/>
      <c r="L146" s="291"/>
      <c r="M146" s="292"/>
      <c r="N146" s="248"/>
      <c r="O146" s="248"/>
      <c r="P146" s="248"/>
      <c r="Q146" s="74"/>
      <c r="R146" s="9"/>
      <c r="S146" s="9"/>
      <c r="T146" s="74"/>
    </row>
    <row r="147" spans="1:20" s="93" customFormat="1" ht="23.25" x14ac:dyDescent="0.25">
      <c r="A147" s="248"/>
      <c r="B147" s="248"/>
      <c r="C147" s="470"/>
      <c r="D147" s="475"/>
      <c r="E147" s="259" t="s">
        <v>34</v>
      </c>
      <c r="F147" s="398"/>
      <c r="G147" s="290"/>
      <c r="H147" s="248"/>
      <c r="I147" s="292"/>
      <c r="J147" s="298"/>
      <c r="K147" s="291"/>
      <c r="L147" s="291"/>
      <c r="M147" s="292"/>
      <c r="N147" s="248"/>
      <c r="O147" s="248"/>
      <c r="P147" s="248"/>
      <c r="Q147" s="74"/>
      <c r="R147" s="9"/>
      <c r="S147" s="9"/>
      <c r="T147" s="74"/>
    </row>
  </sheetData>
  <mergeCells count="34">
    <mergeCell ref="C108:I108"/>
    <mergeCell ref="C115:C117"/>
    <mergeCell ref="C119:C126"/>
    <mergeCell ref="C128:C147"/>
    <mergeCell ref="D128:D134"/>
    <mergeCell ref="D135:D144"/>
    <mergeCell ref="D145:D147"/>
    <mergeCell ref="D113:E113"/>
    <mergeCell ref="C10:I10"/>
    <mergeCell ref="N8:N9"/>
    <mergeCell ref="O8:P8"/>
    <mergeCell ref="C100:I100"/>
    <mergeCell ref="C38:I38"/>
    <mergeCell ref="C53:I53"/>
    <mergeCell ref="C89:I89"/>
    <mergeCell ref="C19:I19"/>
    <mergeCell ref="Y1:Z1"/>
    <mergeCell ref="C2:E2"/>
    <mergeCell ref="C4:E4"/>
    <mergeCell ref="F8:F9"/>
    <mergeCell ref="G8:G9"/>
    <mergeCell ref="H8:H9"/>
    <mergeCell ref="I8:I9"/>
    <mergeCell ref="J8:L8"/>
    <mergeCell ref="M8:M9"/>
    <mergeCell ref="Q8:Q9"/>
    <mergeCell ref="R8:R9"/>
    <mergeCell ref="S8:S9"/>
    <mergeCell ref="T8:T9"/>
    <mergeCell ref="A8:A9"/>
    <mergeCell ref="B8:B9"/>
    <mergeCell ref="C8:C9"/>
    <mergeCell ref="D8:D9"/>
    <mergeCell ref="E8:E9"/>
  </mergeCells>
  <dataValidations count="6">
    <dataValidation type="list" allowBlank="1" showInputMessage="1" showErrorMessage="1" sqref="G90:G99" xr:uid="{00000000-0002-0000-0100-000000000000}">
      <formula1>$E$145:$E$147</formula1>
    </dataValidation>
    <dataValidation type="list" allowBlank="1" showInputMessage="1" showErrorMessage="1" sqref="G65 G67:G70" xr:uid="{00000000-0002-0000-0100-000001000000}">
      <formula1>$E$124:$E$130</formula1>
    </dataValidation>
    <dataValidation type="list" allowBlank="1" showInputMessage="1" showErrorMessage="1" sqref="G106 G39:G51 G11:G17 G20:G36" xr:uid="{00000000-0002-0000-0100-000002000000}">
      <formula1>$E$135:$E$144</formula1>
    </dataValidation>
    <dataValidation type="list" allowBlank="1" showInputMessage="1" showErrorMessage="1" sqref="T20:T36 T39:T51 T109:T111 T90:T99 T11:T17 T54:T88 T101:T107" xr:uid="{00000000-0002-0000-0100-000003000000}">
      <formula1>$D$119:$D$126</formula1>
    </dataValidation>
    <dataValidation type="list" allowBlank="1" showInputMessage="1" showErrorMessage="1" sqref="N109:N110 N39:N51 N54:N87 N90:N99 N101:N107 N11:N17 N20:N36" xr:uid="{00000000-0002-0000-0100-000004000000}">
      <formula1>$D$115:$D$117</formula1>
    </dataValidation>
    <dataValidation type="list" allowBlank="1" showInputMessage="1" showErrorMessage="1" sqref="G109:G110 G107 G101:G105 G66 G71:G87 G54:G64" xr:uid="{00000000-0002-0000-0100-000005000000}">
      <formula1>$E$128:$E$134</formula1>
    </dataValidation>
  </dataValidations>
  <printOptions horizontalCentered="1"/>
  <pageMargins left="0.11811023622047245" right="0.11811023622047245" top="0.55118110236220474" bottom="0.55118110236220474" header="0.31496062992125984" footer="0.31496062992125984"/>
  <pageSetup paperSize="9" scale="30" orientation="landscape" verticalDpi="90" r:id="rId1"/>
  <headerFooter>
    <oddFoote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2:I127"/>
  <sheetViews>
    <sheetView view="pageBreakPreview" topLeftCell="A94" zoomScale="130" zoomScaleSheetLayoutView="130" workbookViewId="0">
      <selection activeCell="B99" sqref="B99"/>
    </sheetView>
  </sheetViews>
  <sheetFormatPr defaultRowHeight="15" x14ac:dyDescent="0.25"/>
  <cols>
    <col min="1" max="1" width="9.140625" style="151"/>
    <col min="2" max="2" width="51.42578125" style="151" customWidth="1"/>
    <col min="3" max="3" width="17.28515625" style="151" customWidth="1"/>
    <col min="4" max="6" width="14.28515625" style="151" customWidth="1"/>
    <col min="7" max="16384" width="9.140625" style="151"/>
  </cols>
  <sheetData>
    <row r="2" spans="2:7" x14ac:dyDescent="0.25">
      <c r="B2" s="477">
        <v>43514</v>
      </c>
      <c r="C2" s="478"/>
      <c r="D2" s="478"/>
      <c r="E2" s="478"/>
      <c r="F2" s="478"/>
      <c r="G2" s="478"/>
    </row>
    <row r="5" spans="2:7" x14ac:dyDescent="0.25">
      <c r="B5" s="149" t="s">
        <v>455</v>
      </c>
      <c r="C5" s="150" t="s">
        <v>456</v>
      </c>
      <c r="D5" s="225" t="s">
        <v>492</v>
      </c>
      <c r="E5" s="225" t="s">
        <v>649</v>
      </c>
      <c r="F5" s="233" t="s">
        <v>497</v>
      </c>
    </row>
    <row r="6" spans="2:7" ht="28.5" x14ac:dyDescent="0.25">
      <c r="B6" s="152" t="s">
        <v>503</v>
      </c>
      <c r="C6" s="153">
        <v>3106250</v>
      </c>
      <c r="D6" s="153">
        <f>'[3]PEP US$'!$E$59</f>
        <v>2362500</v>
      </c>
      <c r="E6" s="325"/>
    </row>
    <row r="7" spans="2:7" x14ac:dyDescent="0.25">
      <c r="B7" s="154" t="s">
        <v>197</v>
      </c>
      <c r="C7" s="155">
        <v>156250</v>
      </c>
      <c r="D7" s="155">
        <v>156250</v>
      </c>
      <c r="E7" s="380">
        <v>156250</v>
      </c>
    </row>
    <row r="8" spans="2:7" x14ac:dyDescent="0.25">
      <c r="B8" s="154" t="s">
        <v>140</v>
      </c>
      <c r="C8" s="155">
        <v>250000</v>
      </c>
      <c r="D8" s="155">
        <v>250000</v>
      </c>
      <c r="E8" s="380">
        <v>250000</v>
      </c>
    </row>
    <row r="9" spans="2:7" x14ac:dyDescent="0.25">
      <c r="B9" s="154" t="s">
        <v>147</v>
      </c>
      <c r="C9" s="155">
        <v>62500</v>
      </c>
      <c r="D9" s="155">
        <v>62500</v>
      </c>
      <c r="E9" s="380">
        <v>62500</v>
      </c>
    </row>
    <row r="10" spans="2:7" x14ac:dyDescent="0.25">
      <c r="B10" s="154" t="s">
        <v>194</v>
      </c>
      <c r="C10" s="155">
        <v>93750</v>
      </c>
      <c r="D10" s="155">
        <v>93750</v>
      </c>
      <c r="E10" s="380">
        <v>93750</v>
      </c>
    </row>
    <row r="11" spans="2:7" x14ac:dyDescent="0.25">
      <c r="B11" s="154" t="s">
        <v>195</v>
      </c>
      <c r="C11" s="155">
        <v>125000</v>
      </c>
      <c r="D11" s="155">
        <v>125000</v>
      </c>
      <c r="E11" s="380">
        <v>125000</v>
      </c>
    </row>
    <row r="12" spans="2:7" x14ac:dyDescent="0.25">
      <c r="B12" s="154" t="s">
        <v>196</v>
      </c>
      <c r="C12" s="155">
        <v>37500</v>
      </c>
      <c r="D12" s="155">
        <v>37500</v>
      </c>
      <c r="E12" s="380">
        <v>37500</v>
      </c>
    </row>
    <row r="13" spans="2:7" x14ac:dyDescent="0.25">
      <c r="B13" s="154" t="s">
        <v>132</v>
      </c>
      <c r="C13" s="155">
        <v>781250</v>
      </c>
      <c r="D13" s="226">
        <f>F13</f>
        <v>481250</v>
      </c>
      <c r="E13" s="382">
        <v>481250</v>
      </c>
      <c r="F13" s="227">
        <f>C13-300000</f>
        <v>481250</v>
      </c>
    </row>
    <row r="14" spans="2:7" x14ac:dyDescent="0.25">
      <c r="B14" s="154" t="s">
        <v>148</v>
      </c>
      <c r="C14" s="155">
        <v>656250</v>
      </c>
      <c r="D14" s="226">
        <f>F14</f>
        <v>362500</v>
      </c>
      <c r="E14" s="382">
        <v>362500</v>
      </c>
      <c r="F14" s="227">
        <f>C14-200000-93750</f>
        <v>362500</v>
      </c>
      <c r="G14" s="227">
        <v>56250</v>
      </c>
    </row>
    <row r="15" spans="2:7" x14ac:dyDescent="0.25">
      <c r="B15" s="154" t="s">
        <v>165</v>
      </c>
      <c r="C15" s="155">
        <v>15625</v>
      </c>
      <c r="D15" s="155">
        <v>15625</v>
      </c>
      <c r="E15" s="380">
        <v>15625</v>
      </c>
      <c r="G15" s="173">
        <f>G14+F14</f>
        <v>418750</v>
      </c>
    </row>
    <row r="16" spans="2:7" x14ac:dyDescent="0.25">
      <c r="B16" s="154" t="s">
        <v>657</v>
      </c>
      <c r="C16" s="155">
        <v>15625</v>
      </c>
      <c r="D16" s="155">
        <v>15625</v>
      </c>
      <c r="E16" s="380">
        <v>15625</v>
      </c>
    </row>
    <row r="17" spans="2:7" x14ac:dyDescent="0.25">
      <c r="B17" s="154" t="s">
        <v>656</v>
      </c>
      <c r="C17" s="155">
        <v>56250</v>
      </c>
      <c r="D17" s="155">
        <v>56250</v>
      </c>
      <c r="E17" s="380">
        <v>56250</v>
      </c>
    </row>
    <row r="18" spans="2:7" x14ac:dyDescent="0.25">
      <c r="B18" s="154" t="s">
        <v>658</v>
      </c>
      <c r="C18" s="155">
        <v>37500</v>
      </c>
      <c r="D18" s="155">
        <v>37500</v>
      </c>
      <c r="E18" s="380">
        <v>37500</v>
      </c>
    </row>
    <row r="19" spans="2:7" x14ac:dyDescent="0.25">
      <c r="B19" s="154" t="s">
        <v>169</v>
      </c>
      <c r="C19" s="155">
        <v>78125</v>
      </c>
      <c r="D19" s="155">
        <v>78125</v>
      </c>
      <c r="E19" s="380">
        <v>78125</v>
      </c>
    </row>
    <row r="20" spans="2:7" x14ac:dyDescent="0.25">
      <c r="B20" s="154" t="s">
        <v>659</v>
      </c>
      <c r="C20" s="155">
        <v>25000</v>
      </c>
      <c r="D20" s="155">
        <v>25000</v>
      </c>
      <c r="E20" s="380">
        <v>25000</v>
      </c>
    </row>
    <row r="21" spans="2:7" x14ac:dyDescent="0.25">
      <c r="B21" s="154" t="s">
        <v>171</v>
      </c>
      <c r="C21" s="155">
        <v>37500</v>
      </c>
      <c r="D21" s="155">
        <v>37500</v>
      </c>
      <c r="E21" s="380">
        <v>37500</v>
      </c>
    </row>
    <row r="22" spans="2:7" x14ac:dyDescent="0.25">
      <c r="B22" s="154" t="s">
        <v>172</v>
      </c>
      <c r="C22" s="155">
        <v>37500</v>
      </c>
      <c r="D22" s="155">
        <v>37500</v>
      </c>
      <c r="E22" s="380">
        <v>37500</v>
      </c>
    </row>
    <row r="23" spans="2:7" x14ac:dyDescent="0.25">
      <c r="B23" s="154" t="s">
        <v>655</v>
      </c>
      <c r="C23" s="155">
        <v>37500</v>
      </c>
      <c r="D23" s="155">
        <v>37500</v>
      </c>
      <c r="E23" s="380">
        <v>37500</v>
      </c>
    </row>
    <row r="24" spans="2:7" x14ac:dyDescent="0.25">
      <c r="B24" s="154" t="s">
        <v>174</v>
      </c>
      <c r="C24" s="155">
        <v>62500</v>
      </c>
      <c r="D24" s="155">
        <v>62500</v>
      </c>
      <c r="E24" s="380">
        <v>62500</v>
      </c>
    </row>
    <row r="25" spans="2:7" x14ac:dyDescent="0.25">
      <c r="B25" s="154" t="s">
        <v>143</v>
      </c>
      <c r="C25" s="155">
        <v>15625</v>
      </c>
      <c r="D25" s="155">
        <v>15625</v>
      </c>
      <c r="E25" s="380">
        <v>15625</v>
      </c>
    </row>
    <row r="26" spans="2:7" x14ac:dyDescent="0.25">
      <c r="B26" s="156" t="s">
        <v>259</v>
      </c>
      <c r="C26" s="157">
        <f>500000+25000</f>
        <v>525000</v>
      </c>
      <c r="D26" s="226">
        <v>181250</v>
      </c>
      <c r="E26" s="390">
        <v>181250</v>
      </c>
      <c r="F26" s="160" t="s">
        <v>459</v>
      </c>
    </row>
    <row r="27" spans="2:7" x14ac:dyDescent="0.25">
      <c r="B27" s="154" t="s">
        <v>247</v>
      </c>
      <c r="C27" s="168"/>
      <c r="D27" s="155">
        <v>153125</v>
      </c>
      <c r="E27" s="380">
        <v>153125</v>
      </c>
      <c r="F27" s="160"/>
    </row>
    <row r="28" spans="2:7" x14ac:dyDescent="0.25">
      <c r="B28" s="154" t="s">
        <v>198</v>
      </c>
      <c r="C28" s="168"/>
      <c r="D28" s="155">
        <v>40625</v>
      </c>
      <c r="E28" s="382">
        <v>40625</v>
      </c>
      <c r="F28" s="160"/>
    </row>
    <row r="29" spans="2:7" x14ac:dyDescent="0.25">
      <c r="B29" s="156"/>
      <c r="C29" s="157"/>
      <c r="D29" s="226"/>
      <c r="E29" s="227"/>
      <c r="F29" s="160"/>
    </row>
    <row r="30" spans="2:7" x14ac:dyDescent="0.25">
      <c r="B30" s="158" t="s">
        <v>458</v>
      </c>
      <c r="C30" s="159">
        <f>SUM(C7:C26)</f>
        <v>3106250</v>
      </c>
      <c r="D30" s="159">
        <f>SUM(D7:D28)</f>
        <v>2362500</v>
      </c>
      <c r="E30" s="326">
        <f>SUM(E7:E28)</f>
        <v>2362500</v>
      </c>
      <c r="F30" s="228">
        <f>D6-D30</f>
        <v>0</v>
      </c>
      <c r="G30" s="160" t="s">
        <v>460</v>
      </c>
    </row>
    <row r="31" spans="2:7" x14ac:dyDescent="0.25">
      <c r="B31" s="162"/>
      <c r="C31" s="163"/>
    </row>
    <row r="32" spans="2:7" ht="60" x14ac:dyDescent="0.25">
      <c r="B32" s="164" t="s">
        <v>504</v>
      </c>
      <c r="C32" s="165">
        <v>500000</v>
      </c>
      <c r="D32" s="165">
        <f>'[3]PEP US$'!$E$52</f>
        <v>1750000</v>
      </c>
      <c r="E32" s="165">
        <f>'[3]PEP US$'!$E$52</f>
        <v>1750000</v>
      </c>
      <c r="F32" s="173">
        <f>(D32-D35)/2</f>
        <v>562500</v>
      </c>
      <c r="G32" s="151" t="s">
        <v>651</v>
      </c>
    </row>
    <row r="33" spans="2:6" x14ac:dyDescent="0.25">
      <c r="B33" s="154" t="s">
        <v>258</v>
      </c>
      <c r="C33" s="155">
        <v>210938</v>
      </c>
      <c r="D33" s="155">
        <v>562500</v>
      </c>
      <c r="E33" s="380">
        <v>562500</v>
      </c>
    </row>
    <row r="34" spans="2:6" x14ac:dyDescent="0.25">
      <c r="B34" s="154" t="s">
        <v>654</v>
      </c>
      <c r="C34" s="155">
        <v>289062</v>
      </c>
      <c r="D34" s="155">
        <v>562500</v>
      </c>
      <c r="E34" s="380">
        <v>562500</v>
      </c>
    </row>
    <row r="35" spans="2:6" x14ac:dyDescent="0.25">
      <c r="B35" s="230" t="s">
        <v>493</v>
      </c>
      <c r="C35" s="226"/>
      <c r="D35" s="226">
        <v>625000</v>
      </c>
      <c r="E35" s="382">
        <v>625000</v>
      </c>
    </row>
    <row r="36" spans="2:6" x14ac:dyDescent="0.25">
      <c r="B36" s="158" t="s">
        <v>458</v>
      </c>
      <c r="C36" s="159">
        <f>SUM(C33:C35)</f>
        <v>500000</v>
      </c>
      <c r="D36" s="159">
        <f>SUM(D33:D35)</f>
        <v>1750000</v>
      </c>
      <c r="E36" s="326"/>
    </row>
    <row r="37" spans="2:6" x14ac:dyDescent="0.25">
      <c r="B37" s="154"/>
      <c r="C37" s="168"/>
    </row>
    <row r="38" spans="2:6" ht="30" x14ac:dyDescent="0.25">
      <c r="B38" s="164" t="s">
        <v>505</v>
      </c>
      <c r="C38" s="165">
        <v>890625</v>
      </c>
      <c r="D38" s="165">
        <f>'[3]PEP US$'!$E$62</f>
        <v>100000</v>
      </c>
      <c r="E38" s="165"/>
      <c r="F38" s="229">
        <f>D38/6</f>
        <v>16666.666666666668</v>
      </c>
    </row>
    <row r="39" spans="2:6" x14ac:dyDescent="0.25">
      <c r="B39" s="154" t="s">
        <v>259</v>
      </c>
      <c r="C39" s="168">
        <v>375000</v>
      </c>
      <c r="D39" s="229">
        <v>16666.669999999998</v>
      </c>
      <c r="E39" s="391">
        <v>16666.669999999998</v>
      </c>
    </row>
    <row r="40" spans="2:6" x14ac:dyDescent="0.25">
      <c r="B40" s="154" t="s">
        <v>268</v>
      </c>
      <c r="C40" s="155">
        <v>312500</v>
      </c>
      <c r="D40" s="229">
        <v>16666.669999999998</v>
      </c>
      <c r="E40" s="391">
        <v>16666.669999999998</v>
      </c>
    </row>
    <row r="41" spans="2:6" x14ac:dyDescent="0.25">
      <c r="B41" s="154" t="s">
        <v>436</v>
      </c>
      <c r="C41" s="155">
        <v>78126</v>
      </c>
      <c r="D41" s="229">
        <v>16666.669999999998</v>
      </c>
      <c r="E41" s="391">
        <v>16666.669999999998</v>
      </c>
    </row>
    <row r="42" spans="2:6" x14ac:dyDescent="0.25">
      <c r="B42" s="154" t="s">
        <v>439</v>
      </c>
      <c r="C42" s="155">
        <v>62500</v>
      </c>
      <c r="D42" s="229">
        <v>16666.669999999998</v>
      </c>
      <c r="E42" s="391">
        <v>16666.669999999998</v>
      </c>
    </row>
    <row r="43" spans="2:6" x14ac:dyDescent="0.25">
      <c r="B43" s="154" t="s">
        <v>441</v>
      </c>
      <c r="C43" s="155">
        <v>37500</v>
      </c>
      <c r="D43" s="229">
        <v>16666.669999999998</v>
      </c>
      <c r="E43" s="391">
        <v>16666.669999999998</v>
      </c>
    </row>
    <row r="44" spans="2:6" x14ac:dyDescent="0.25">
      <c r="B44" s="154" t="s">
        <v>443</v>
      </c>
      <c r="C44" s="155">
        <v>25000</v>
      </c>
      <c r="D44" s="229">
        <v>16666.669999999998</v>
      </c>
      <c r="E44" s="391">
        <v>16666.669999999998</v>
      </c>
    </row>
    <row r="45" spans="2:6" x14ac:dyDescent="0.25">
      <c r="B45" s="158" t="s">
        <v>458</v>
      </c>
      <c r="C45" s="159">
        <f>SUM(C39:C44)</f>
        <v>890626</v>
      </c>
      <c r="D45" s="159">
        <f>SUM(D39:D44)</f>
        <v>100000.01999999999</v>
      </c>
      <c r="E45" s="326"/>
    </row>
    <row r="46" spans="2:6" x14ac:dyDescent="0.25">
      <c r="B46" s="158"/>
      <c r="C46" s="159"/>
    </row>
    <row r="47" spans="2:6" x14ac:dyDescent="0.25">
      <c r="B47" s="164" t="s">
        <v>506</v>
      </c>
      <c r="C47" s="165">
        <v>1031250</v>
      </c>
      <c r="D47" s="165">
        <f>'[3]PEP US$'!$E$63</f>
        <v>1031250</v>
      </c>
      <c r="E47" s="165">
        <f>'[3]PEP US$'!$E$63</f>
        <v>1031250</v>
      </c>
    </row>
    <row r="48" spans="2:6" x14ac:dyDescent="0.25">
      <c r="B48" s="154" t="s">
        <v>261</v>
      </c>
      <c r="C48" s="155">
        <v>937500</v>
      </c>
      <c r="E48" s="381">
        <v>937500</v>
      </c>
    </row>
    <row r="49" spans="2:7" x14ac:dyDescent="0.25">
      <c r="B49" s="154" t="s">
        <v>244</v>
      </c>
      <c r="C49" s="155">
        <v>93750</v>
      </c>
      <c r="E49" s="380">
        <v>93750</v>
      </c>
      <c r="F49" s="173"/>
    </row>
    <row r="50" spans="2:7" x14ac:dyDescent="0.25">
      <c r="B50" s="158" t="s">
        <v>458</v>
      </c>
      <c r="C50" s="159">
        <f>SUM(C48:C49)</f>
        <v>1031250</v>
      </c>
      <c r="E50" s="173">
        <f>SUM(E48:E49)</f>
        <v>1031250</v>
      </c>
    </row>
    <row r="51" spans="2:7" x14ac:dyDescent="0.25">
      <c r="B51" s="162"/>
      <c r="C51" s="159"/>
    </row>
    <row r="52" spans="2:7" ht="30" x14ac:dyDescent="0.25">
      <c r="B52" s="164" t="s">
        <v>507</v>
      </c>
      <c r="C52" s="165">
        <v>3090625</v>
      </c>
      <c r="D52" s="165">
        <f>'[3]PEP US$'!$E$64</f>
        <v>3559375</v>
      </c>
      <c r="E52" s="327"/>
    </row>
    <row r="53" spans="2:7" x14ac:dyDescent="0.25">
      <c r="B53" s="154" t="s">
        <v>262</v>
      </c>
      <c r="C53" s="155">
        <v>90625</v>
      </c>
      <c r="D53" s="155">
        <v>759375</v>
      </c>
      <c r="E53" s="379">
        <v>559375</v>
      </c>
      <c r="F53" s="231">
        <f>D52-D56</f>
        <v>0</v>
      </c>
    </row>
    <row r="54" spans="2:7" x14ac:dyDescent="0.25">
      <c r="B54" s="154" t="s">
        <v>245</v>
      </c>
      <c r="C54" s="155">
        <v>2812500</v>
      </c>
      <c r="D54" s="226">
        <f>F54</f>
        <v>2612500</v>
      </c>
      <c r="E54" s="380">
        <v>2812500</v>
      </c>
      <c r="F54" s="227">
        <f>C54-200000</f>
        <v>2612500</v>
      </c>
    </row>
    <row r="55" spans="2:7" x14ac:dyDescent="0.25">
      <c r="B55" s="154" t="s">
        <v>246</v>
      </c>
      <c r="C55" s="155">
        <v>187500</v>
      </c>
      <c r="D55" s="173">
        <f>C55</f>
        <v>187500</v>
      </c>
      <c r="E55" s="380">
        <v>187500</v>
      </c>
      <c r="F55" s="160" t="s">
        <v>459</v>
      </c>
    </row>
    <row r="56" spans="2:7" x14ac:dyDescent="0.25">
      <c r="B56" s="158" t="s">
        <v>458</v>
      </c>
      <c r="C56" s="159">
        <f>SUM(C53:C55)</f>
        <v>3090625</v>
      </c>
      <c r="D56" s="159">
        <f>SUM(D53:D55)</f>
        <v>3559375</v>
      </c>
      <c r="E56" s="326">
        <f>SUM(E53:E55)</f>
        <v>3559375</v>
      </c>
      <c r="F56" s="228">
        <f>D52-D56</f>
        <v>0</v>
      </c>
      <c r="G56" s="160" t="s">
        <v>460</v>
      </c>
    </row>
    <row r="57" spans="2:7" x14ac:dyDescent="0.25">
      <c r="B57" s="154"/>
      <c r="C57" s="155"/>
      <c r="E57" s="231">
        <f>D56-E54-E55</f>
        <v>559375</v>
      </c>
    </row>
    <row r="58" spans="2:7" x14ac:dyDescent="0.25">
      <c r="B58" s="154"/>
      <c r="C58" s="155"/>
    </row>
    <row r="59" spans="2:7" x14ac:dyDescent="0.25">
      <c r="B59" s="154"/>
      <c r="C59" s="168"/>
    </row>
    <row r="60" spans="2:7" ht="30" x14ac:dyDescent="0.25">
      <c r="B60" s="162" t="s">
        <v>508</v>
      </c>
      <c r="C60" s="170">
        <v>710938</v>
      </c>
      <c r="D60" s="170">
        <f>'[3]PEP US$'!$E$65</f>
        <v>710937.5</v>
      </c>
      <c r="E60" s="328">
        <f>SUM(E61:E65)</f>
        <v>710938</v>
      </c>
    </row>
    <row r="61" spans="2:7" x14ac:dyDescent="0.25">
      <c r="B61" s="154" t="s">
        <v>263</v>
      </c>
      <c r="C61" s="155">
        <v>312500</v>
      </c>
      <c r="E61" s="380">
        <v>312500</v>
      </c>
    </row>
    <row r="62" spans="2:7" x14ac:dyDescent="0.25">
      <c r="B62" s="154" t="s">
        <v>264</v>
      </c>
      <c r="C62" s="155">
        <v>7813</v>
      </c>
      <c r="E62" s="380">
        <v>7813</v>
      </c>
    </row>
    <row r="63" spans="2:7" x14ac:dyDescent="0.25">
      <c r="B63" s="154" t="s">
        <v>265</v>
      </c>
      <c r="C63" s="155">
        <v>62500</v>
      </c>
      <c r="E63" s="380">
        <v>62500</v>
      </c>
    </row>
    <row r="64" spans="2:7" x14ac:dyDescent="0.25">
      <c r="B64" s="154" t="s">
        <v>270</v>
      </c>
      <c r="C64" s="155">
        <v>250000</v>
      </c>
      <c r="E64" s="380">
        <v>250000</v>
      </c>
    </row>
    <row r="65" spans="2:7" x14ac:dyDescent="0.25">
      <c r="B65" s="156" t="s">
        <v>259</v>
      </c>
      <c r="C65" s="157">
        <v>78125</v>
      </c>
      <c r="E65" s="382">
        <v>78125</v>
      </c>
    </row>
    <row r="66" spans="2:7" x14ac:dyDescent="0.25">
      <c r="B66" s="158" t="s">
        <v>458</v>
      </c>
      <c r="C66" s="159">
        <f>SUM(C61:C65)</f>
        <v>710938</v>
      </c>
      <c r="D66" s="160" t="s">
        <v>459</v>
      </c>
      <c r="E66" s="160"/>
      <c r="F66" s="161">
        <f>C60-C66</f>
        <v>0</v>
      </c>
      <c r="G66" s="160" t="s">
        <v>460</v>
      </c>
    </row>
    <row r="67" spans="2:7" x14ac:dyDescent="0.25">
      <c r="B67" s="154"/>
      <c r="C67" s="155"/>
    </row>
    <row r="68" spans="2:7" x14ac:dyDescent="0.25">
      <c r="B68" s="154"/>
      <c r="C68" s="155"/>
    </row>
    <row r="69" spans="2:7" x14ac:dyDescent="0.25">
      <c r="B69" s="154"/>
      <c r="C69" s="155"/>
    </row>
    <row r="70" spans="2:7" x14ac:dyDescent="0.25">
      <c r="B70" s="164" t="s">
        <v>509</v>
      </c>
      <c r="C70" s="165">
        <v>1353125</v>
      </c>
      <c r="D70" s="165">
        <f>'[3]PEP US$'!$E$66</f>
        <v>1353125</v>
      </c>
      <c r="E70" s="165">
        <f>'[3]PEP US$'!$E$66</f>
        <v>1353125</v>
      </c>
    </row>
    <row r="71" spans="2:7" x14ac:dyDescent="0.25">
      <c r="B71" s="154" t="s">
        <v>278</v>
      </c>
      <c r="C71" s="155">
        <v>1312500</v>
      </c>
      <c r="E71" s="380">
        <v>1312500</v>
      </c>
    </row>
    <row r="72" spans="2:7" x14ac:dyDescent="0.25">
      <c r="B72" s="154" t="s">
        <v>494</v>
      </c>
      <c r="C72" s="155">
        <v>25000</v>
      </c>
      <c r="E72" s="380">
        <v>25000</v>
      </c>
    </row>
    <row r="73" spans="2:7" x14ac:dyDescent="0.25">
      <c r="B73" s="154" t="s">
        <v>256</v>
      </c>
      <c r="C73" s="155">
        <v>15625</v>
      </c>
      <c r="E73" s="380">
        <v>15625</v>
      </c>
    </row>
    <row r="74" spans="2:7" x14ac:dyDescent="0.25">
      <c r="B74" s="158" t="s">
        <v>458</v>
      </c>
      <c r="C74" s="159">
        <f>SUM(C71:C73)</f>
        <v>1353125</v>
      </c>
      <c r="E74" s="173">
        <f>SUM(E71:E73)</f>
        <v>1353125</v>
      </c>
    </row>
    <row r="75" spans="2:7" x14ac:dyDescent="0.25">
      <c r="B75" s="158"/>
      <c r="C75" s="159"/>
    </row>
    <row r="76" spans="2:7" x14ac:dyDescent="0.25">
      <c r="B76" s="164" t="s">
        <v>467</v>
      </c>
      <c r="C76" s="165">
        <v>2812500</v>
      </c>
      <c r="D76" s="165">
        <f>'[3]PEP US$'!$E$55</f>
        <v>4071875</v>
      </c>
      <c r="E76" s="165">
        <f>'[3]PEP US$'!$E$55</f>
        <v>4071875</v>
      </c>
    </row>
    <row r="77" spans="2:7" x14ac:dyDescent="0.25">
      <c r="B77" s="154" t="s">
        <v>141</v>
      </c>
      <c r="C77" s="155">
        <v>937500</v>
      </c>
      <c r="D77" s="155">
        <f>D76-D78</f>
        <v>1357291.666666667</v>
      </c>
      <c r="E77" s="380">
        <f>E76-E78</f>
        <v>1357291.666666667</v>
      </c>
    </row>
    <row r="78" spans="2:7" x14ac:dyDescent="0.25">
      <c r="B78" s="154" t="s">
        <v>179</v>
      </c>
      <c r="C78" s="155">
        <v>1875000</v>
      </c>
      <c r="D78" s="155">
        <f>D76*F78</f>
        <v>2714583.333333333</v>
      </c>
      <c r="E78" s="380">
        <v>2714583.333333333</v>
      </c>
      <c r="F78" s="232">
        <f>C78/C76</f>
        <v>0.66666666666666663</v>
      </c>
    </row>
    <row r="79" spans="2:7" x14ac:dyDescent="0.25">
      <c r="B79" s="158" t="s">
        <v>458</v>
      </c>
      <c r="C79" s="159">
        <f>SUM(C77:C78)</f>
        <v>2812500</v>
      </c>
      <c r="D79" s="159">
        <f>SUM(D77:D78)</f>
        <v>4071875</v>
      </c>
      <c r="E79" s="326">
        <f>SUM(E77:E78)</f>
        <v>4071875</v>
      </c>
    </row>
    <row r="80" spans="2:7" x14ac:dyDescent="0.25">
      <c r="B80" s="154"/>
      <c r="C80" s="168"/>
    </row>
    <row r="81" spans="2:8" x14ac:dyDescent="0.25">
      <c r="B81" s="162" t="s">
        <v>468</v>
      </c>
      <c r="C81" s="170">
        <v>203125</v>
      </c>
      <c r="D81" s="170">
        <v>203125</v>
      </c>
      <c r="E81" s="328"/>
    </row>
    <row r="82" spans="2:8" x14ac:dyDescent="0.25">
      <c r="B82" s="154" t="s">
        <v>269</v>
      </c>
      <c r="C82" s="155">
        <v>46875</v>
      </c>
      <c r="E82" s="382">
        <v>46875</v>
      </c>
    </row>
    <row r="83" spans="2:8" x14ac:dyDescent="0.25">
      <c r="B83" s="154" t="s">
        <v>242</v>
      </c>
      <c r="C83" s="155">
        <v>140625</v>
      </c>
      <c r="E83" s="382">
        <v>140625</v>
      </c>
    </row>
    <row r="84" spans="2:8" x14ac:dyDescent="0.25">
      <c r="B84" s="156" t="s">
        <v>259</v>
      </c>
      <c r="C84" s="157">
        <v>15625</v>
      </c>
      <c r="E84" s="382">
        <v>15625</v>
      </c>
    </row>
    <row r="85" spans="2:8" x14ac:dyDescent="0.25">
      <c r="B85" s="158" t="s">
        <v>458</v>
      </c>
      <c r="C85" s="159">
        <f>SUM(C82:C84)</f>
        <v>203125</v>
      </c>
      <c r="D85" s="384"/>
      <c r="E85" s="385">
        <f>SUM(E82:E84)</f>
        <v>203125</v>
      </c>
      <c r="F85" s="386"/>
      <c r="G85" s="384"/>
    </row>
    <row r="86" spans="2:8" x14ac:dyDescent="0.25">
      <c r="B86" s="154"/>
      <c r="C86" s="168"/>
    </row>
    <row r="87" spans="2:8" ht="75" x14ac:dyDescent="0.25">
      <c r="B87" s="164" t="s">
        <v>495</v>
      </c>
      <c r="C87" s="165">
        <v>228125</v>
      </c>
      <c r="D87" s="165">
        <f>'[3]PEP US$'!$E$67</f>
        <v>228125</v>
      </c>
      <c r="E87" s="327"/>
    </row>
    <row r="88" spans="2:8" x14ac:dyDescent="0.25">
      <c r="B88" s="154" t="s">
        <v>271</v>
      </c>
      <c r="C88" s="155">
        <v>93750</v>
      </c>
      <c r="E88" s="380">
        <v>93750</v>
      </c>
    </row>
    <row r="89" spans="2:8" x14ac:dyDescent="0.25">
      <c r="B89" s="154" t="s">
        <v>652</v>
      </c>
      <c r="C89" s="155">
        <v>109375</v>
      </c>
      <c r="E89" s="380">
        <v>109375</v>
      </c>
    </row>
    <row r="90" spans="2:8" x14ac:dyDescent="0.25">
      <c r="B90" s="154" t="s">
        <v>257</v>
      </c>
      <c r="C90" s="155">
        <v>25000</v>
      </c>
      <c r="E90" s="380">
        <v>25000</v>
      </c>
    </row>
    <row r="91" spans="2:8" x14ac:dyDescent="0.25">
      <c r="B91" s="158" t="s">
        <v>458</v>
      </c>
      <c r="C91" s="159">
        <f>SUM(C88:C90)</f>
        <v>228125</v>
      </c>
    </row>
    <row r="92" spans="2:8" x14ac:dyDescent="0.25">
      <c r="B92" s="154"/>
      <c r="C92" s="168"/>
    </row>
    <row r="93" spans="2:8" x14ac:dyDescent="0.25">
      <c r="B93" s="162" t="s">
        <v>470</v>
      </c>
      <c r="C93" s="170">
        <f>'[5]PEP US$'!E39+'[5]PEP US$'!E40+'[5]PEP US$'!E42</f>
        <v>5012500</v>
      </c>
      <c r="D93" s="160" t="s">
        <v>459</v>
      </c>
      <c r="E93" s="160"/>
      <c r="F93" s="161">
        <f>'[5]PEP US$'!E41</f>
        <v>234375</v>
      </c>
      <c r="G93" s="160" t="s">
        <v>471</v>
      </c>
      <c r="H93" s="160"/>
    </row>
    <row r="94" spans="2:8" x14ac:dyDescent="0.25">
      <c r="B94" s="154"/>
      <c r="C94" s="168"/>
      <c r="D94" s="171" t="s">
        <v>472</v>
      </c>
      <c r="E94" s="171"/>
    </row>
    <row r="95" spans="2:8" x14ac:dyDescent="0.25">
      <c r="B95" s="154"/>
      <c r="C95" s="168"/>
    </row>
    <row r="96" spans="2:8" x14ac:dyDescent="0.25">
      <c r="B96" s="162" t="s">
        <v>473</v>
      </c>
      <c r="C96" s="170">
        <v>11806248.4375</v>
      </c>
    </row>
    <row r="97" spans="2:7" x14ac:dyDescent="0.25">
      <c r="B97" s="154"/>
      <c r="C97" s="168"/>
    </row>
    <row r="98" spans="2:7" x14ac:dyDescent="0.25">
      <c r="B98" s="154"/>
      <c r="C98" s="168"/>
    </row>
    <row r="99" spans="2:7" x14ac:dyDescent="0.25">
      <c r="B99" s="164" t="s">
        <v>474</v>
      </c>
      <c r="C99" s="165">
        <v>843750</v>
      </c>
      <c r="D99" s="165">
        <f>'[3]PEP US$'!$E$54</f>
        <v>843750</v>
      </c>
      <c r="E99" s="327"/>
    </row>
    <row r="100" spans="2:7" x14ac:dyDescent="0.25">
      <c r="B100" s="154" t="s">
        <v>177</v>
      </c>
      <c r="C100" s="155">
        <v>375000</v>
      </c>
      <c r="E100" s="380">
        <v>375000</v>
      </c>
    </row>
    <row r="101" spans="2:7" x14ac:dyDescent="0.25">
      <c r="B101" s="154" t="s">
        <v>178</v>
      </c>
      <c r="C101" s="155">
        <v>468750</v>
      </c>
      <c r="E101" s="380">
        <v>468750</v>
      </c>
    </row>
    <row r="102" spans="2:7" x14ac:dyDescent="0.25">
      <c r="B102" s="158" t="s">
        <v>458</v>
      </c>
      <c r="C102" s="159">
        <f>SUM(C100:C101)</f>
        <v>843750</v>
      </c>
    </row>
    <row r="103" spans="2:7" x14ac:dyDescent="0.25">
      <c r="B103" s="154"/>
      <c r="C103" s="168"/>
    </row>
    <row r="104" spans="2:7" x14ac:dyDescent="0.25">
      <c r="B104" s="154"/>
      <c r="C104" s="168"/>
    </row>
    <row r="105" spans="2:7" x14ac:dyDescent="0.25">
      <c r="B105" s="162" t="s">
        <v>475</v>
      </c>
      <c r="C105" s="170">
        <v>2090813</v>
      </c>
      <c r="D105" s="170">
        <f>'[3]PEP US$'!$E$60</f>
        <v>1153312.5</v>
      </c>
      <c r="E105" s="170">
        <f>'[3]PEP US$'!$E$60</f>
        <v>1153312.5</v>
      </c>
    </row>
    <row r="106" spans="2:7" x14ac:dyDescent="0.25">
      <c r="B106" s="154" t="s">
        <v>432</v>
      </c>
      <c r="C106" s="155">
        <v>37500</v>
      </c>
      <c r="D106" s="155">
        <v>37500</v>
      </c>
      <c r="E106" s="390">
        <v>37500</v>
      </c>
    </row>
    <row r="107" spans="2:7" x14ac:dyDescent="0.25">
      <c r="B107" s="154" t="s">
        <v>404</v>
      </c>
      <c r="C107" s="155">
        <v>68750</v>
      </c>
      <c r="D107" s="155">
        <v>68750</v>
      </c>
      <c r="E107" s="390">
        <v>68750</v>
      </c>
      <c r="F107" s="173">
        <f>D106+D107+D108+D110</f>
        <v>268750</v>
      </c>
    </row>
    <row r="108" spans="2:7" x14ac:dyDescent="0.25">
      <c r="B108" s="154" t="s">
        <v>653</v>
      </c>
      <c r="C108" s="155">
        <v>37500</v>
      </c>
      <c r="D108" s="155">
        <v>37500</v>
      </c>
      <c r="E108" s="390">
        <v>37500</v>
      </c>
      <c r="F108" s="173">
        <f>F107-D105</f>
        <v>-884562.5</v>
      </c>
    </row>
    <row r="109" spans="2:7" x14ac:dyDescent="0.25">
      <c r="B109" s="154" t="s">
        <v>193</v>
      </c>
      <c r="C109" s="155">
        <v>1822063</v>
      </c>
      <c r="D109" s="155">
        <v>884563</v>
      </c>
      <c r="E109" s="390">
        <v>884563</v>
      </c>
    </row>
    <row r="110" spans="2:7" x14ac:dyDescent="0.25">
      <c r="B110" s="156" t="s">
        <v>259</v>
      </c>
      <c r="C110" s="157">
        <v>125000</v>
      </c>
      <c r="D110" s="157">
        <v>125000</v>
      </c>
      <c r="E110" s="390">
        <v>125000</v>
      </c>
      <c r="F110" s="160" t="s">
        <v>459</v>
      </c>
    </row>
    <row r="111" spans="2:7" x14ac:dyDescent="0.25">
      <c r="B111" s="158" t="s">
        <v>458</v>
      </c>
      <c r="C111" s="159">
        <f>SUM(C106:C110)</f>
        <v>2090813</v>
      </c>
      <c r="D111" s="159">
        <f>SUM(D106:D110)</f>
        <v>1153313</v>
      </c>
      <c r="E111" s="326"/>
      <c r="F111" s="161">
        <f>C105-C111</f>
        <v>0</v>
      </c>
      <c r="G111" s="160" t="s">
        <v>460</v>
      </c>
    </row>
    <row r="112" spans="2:7" x14ac:dyDescent="0.25">
      <c r="B112" s="158"/>
      <c r="C112" s="159"/>
    </row>
    <row r="113" spans="2:9" x14ac:dyDescent="0.25">
      <c r="B113" s="158"/>
      <c r="C113" s="159"/>
    </row>
    <row r="114" spans="2:9" ht="45" x14ac:dyDescent="0.25">
      <c r="B114" s="164" t="s">
        <v>496</v>
      </c>
      <c r="C114" s="172">
        <v>193750</v>
      </c>
      <c r="D114" s="172">
        <v>193750</v>
      </c>
      <c r="E114" s="329"/>
    </row>
    <row r="115" spans="2:9" x14ac:dyDescent="0.25">
      <c r="B115" s="154" t="s">
        <v>501</v>
      </c>
      <c r="C115" s="155">
        <v>0</v>
      </c>
      <c r="D115" s="155">
        <v>0</v>
      </c>
      <c r="E115" s="173"/>
    </row>
    <row r="116" spans="2:9" x14ac:dyDescent="0.25">
      <c r="B116" s="154" t="s">
        <v>502</v>
      </c>
      <c r="C116" s="155">
        <v>0</v>
      </c>
      <c r="D116" s="155">
        <v>0</v>
      </c>
      <c r="E116" s="173"/>
    </row>
    <row r="117" spans="2:9" x14ac:dyDescent="0.25">
      <c r="B117" s="158" t="s">
        <v>458</v>
      </c>
      <c r="C117" s="159">
        <f>SUM(C115:C116)</f>
        <v>0</v>
      </c>
    </row>
    <row r="118" spans="2:9" x14ac:dyDescent="0.25">
      <c r="B118" s="158"/>
      <c r="C118" s="159"/>
    </row>
    <row r="119" spans="2:9" x14ac:dyDescent="0.25">
      <c r="B119" s="162" t="s">
        <v>477</v>
      </c>
      <c r="C119" s="170">
        <v>840625</v>
      </c>
      <c r="D119" s="170">
        <f>'[3]PEP US$'!$E$72</f>
        <v>840625</v>
      </c>
      <c r="E119" s="328"/>
    </row>
    <row r="120" spans="2:9" x14ac:dyDescent="0.25">
      <c r="B120" s="154" t="s">
        <v>478</v>
      </c>
      <c r="C120" s="155">
        <v>387000</v>
      </c>
      <c r="D120" s="384"/>
      <c r="E120" s="384"/>
      <c r="F120" s="173"/>
    </row>
    <row r="121" spans="2:9" x14ac:dyDescent="0.25">
      <c r="B121" s="154"/>
      <c r="C121" s="168"/>
      <c r="D121" s="384"/>
      <c r="E121" s="384"/>
      <c r="F121" s="386"/>
      <c r="G121" s="384"/>
      <c r="H121" s="174"/>
      <c r="I121" s="151" t="s">
        <v>479</v>
      </c>
    </row>
    <row r="122" spans="2:9" x14ac:dyDescent="0.25">
      <c r="B122" s="149" t="s">
        <v>458</v>
      </c>
      <c r="C122" s="167">
        <f>SUM(C120:C121)</f>
        <v>387000</v>
      </c>
    </row>
    <row r="123" spans="2:9" x14ac:dyDescent="0.25">
      <c r="B123" s="154"/>
      <c r="C123" s="168"/>
      <c r="D123" s="171" t="s">
        <v>480</v>
      </c>
      <c r="E123" s="171"/>
    </row>
    <row r="124" spans="2:9" x14ac:dyDescent="0.25">
      <c r="B124" s="154"/>
      <c r="C124" s="168"/>
      <c r="F124" s="173"/>
    </row>
    <row r="125" spans="2:9" x14ac:dyDescent="0.25">
      <c r="B125" s="168"/>
      <c r="C125" s="168"/>
    </row>
    <row r="126" spans="2:9" x14ac:dyDescent="0.25">
      <c r="B126" s="169" t="s">
        <v>481</v>
      </c>
      <c r="C126" s="166">
        <v>156250</v>
      </c>
    </row>
    <row r="127" spans="2:9" x14ac:dyDescent="0.25">
      <c r="B127" s="168" t="s">
        <v>482</v>
      </c>
      <c r="C127" s="168"/>
    </row>
  </sheetData>
  <mergeCells count="1">
    <mergeCell ref="B2:G2"/>
  </mergeCells>
  <pageMargins left="0.511811024" right="0.511811024" top="0.78740157499999996" bottom="0.78740157499999996" header="0.31496062000000002" footer="0.31496062000000002"/>
  <pageSetup paperSize="9" scale="7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J147"/>
  <sheetViews>
    <sheetView view="pageBreakPreview" topLeftCell="B7" zoomScale="55" zoomScaleNormal="40" zoomScaleSheetLayoutView="55" workbookViewId="0">
      <pane ySplit="3" topLeftCell="A10" activePane="bottomLeft" state="frozen"/>
      <selection activeCell="A7" sqref="A7"/>
      <selection pane="bottomLeft" activeCell="K12" sqref="K12"/>
    </sheetView>
  </sheetViews>
  <sheetFormatPr defaultColWidth="8.7109375" defaultRowHeight="15.75" x14ac:dyDescent="0.25"/>
  <cols>
    <col min="1" max="1" width="8.28515625" style="200" hidden="1" customWidth="1"/>
    <col min="2" max="2" width="8.28515625" style="200" customWidth="1"/>
    <col min="3" max="3" width="19.28515625" style="200" customWidth="1"/>
    <col min="4" max="4" width="44" style="304" customWidth="1"/>
    <col min="5" max="5" width="73.140625" style="304" customWidth="1"/>
    <col min="6" max="6" width="53.7109375" style="304" customWidth="1"/>
    <col min="7" max="7" width="32.28515625" style="304" customWidth="1"/>
    <col min="8" max="8" width="13.85546875" style="200" hidden="1" customWidth="1"/>
    <col min="9" max="9" width="12.42578125" style="6" hidden="1" customWidth="1"/>
    <col min="10" max="10" width="34.42578125" style="305" bestFit="1" customWidth="1"/>
    <col min="11" max="11" width="22.140625" style="306" bestFit="1" customWidth="1"/>
    <col min="12" max="12" width="25.7109375" style="306" customWidth="1"/>
    <col min="13" max="13" width="25.42578125" style="6" customWidth="1"/>
    <col min="14" max="14" width="21.42578125" style="200" customWidth="1"/>
    <col min="15" max="15" width="22.28515625" style="200" customWidth="1"/>
    <col min="16" max="16" width="26.28515625" style="200" customWidth="1"/>
    <col min="17" max="17" width="23.42578125" style="200" customWidth="1"/>
    <col min="18" max="18" width="18.85546875" style="6" hidden="1" customWidth="1"/>
    <col min="19" max="19" width="18.85546875" style="6" customWidth="1"/>
    <col min="20" max="20" width="24.85546875" style="200" customWidth="1"/>
    <col min="21" max="36" width="8.7109375" style="93"/>
    <col min="37" max="16384" width="8.7109375" style="6"/>
  </cols>
  <sheetData>
    <row r="1" spans="1:26" s="93" customFormat="1" x14ac:dyDescent="0.25">
      <c r="A1" s="199"/>
      <c r="B1" s="199"/>
      <c r="C1" s="199"/>
      <c r="D1" s="271"/>
      <c r="E1" s="271"/>
      <c r="F1" s="271"/>
      <c r="G1" s="271"/>
      <c r="H1" s="199"/>
      <c r="J1" s="272"/>
      <c r="K1" s="273"/>
      <c r="L1" s="273"/>
      <c r="N1" s="199"/>
      <c r="O1" s="274"/>
      <c r="P1" s="274"/>
      <c r="Q1" s="199"/>
      <c r="T1" s="199"/>
      <c r="Y1" s="455"/>
      <c r="Z1" s="456"/>
    </row>
    <row r="2" spans="1:26" s="93" customFormat="1" x14ac:dyDescent="0.25">
      <c r="A2" s="199"/>
      <c r="B2" s="199"/>
      <c r="C2" s="457" t="s">
        <v>19</v>
      </c>
      <c r="D2" s="457"/>
      <c r="E2" s="457"/>
      <c r="F2" s="68"/>
      <c r="G2" s="271"/>
      <c r="H2" s="199"/>
      <c r="J2" s="272"/>
      <c r="K2" s="273"/>
      <c r="L2" s="273"/>
      <c r="N2" s="199"/>
      <c r="O2" s="199"/>
      <c r="P2" s="199"/>
      <c r="Q2" s="199"/>
      <c r="T2" s="199"/>
    </row>
    <row r="3" spans="1:26" s="93" customFormat="1" x14ac:dyDescent="0.25">
      <c r="A3" s="199"/>
      <c r="B3" s="199"/>
      <c r="C3" s="68"/>
      <c r="D3" s="68"/>
      <c r="E3" s="68"/>
      <c r="F3" s="68"/>
      <c r="G3" s="271"/>
      <c r="H3" s="199"/>
      <c r="J3" s="272"/>
      <c r="K3" s="273"/>
      <c r="L3" s="273"/>
      <c r="N3" s="275"/>
      <c r="O3" s="199"/>
      <c r="P3" s="199"/>
      <c r="Q3" s="199"/>
      <c r="T3" s="199"/>
    </row>
    <row r="4" spans="1:26" s="93" customFormat="1" x14ac:dyDescent="0.25">
      <c r="A4" s="199"/>
      <c r="B4" s="199"/>
      <c r="C4" s="458" t="s">
        <v>152</v>
      </c>
      <c r="D4" s="458"/>
      <c r="E4" s="458"/>
      <c r="F4" s="186"/>
      <c r="G4" s="44" t="s">
        <v>333</v>
      </c>
      <c r="H4" s="199"/>
      <c r="J4" s="272"/>
      <c r="K4" s="273"/>
      <c r="L4" s="273"/>
      <c r="N4" s="275"/>
      <c r="O4" s="199"/>
      <c r="P4" s="199"/>
      <c r="Q4" s="199"/>
      <c r="T4" s="199"/>
    </row>
    <row r="5" spans="1:26" s="93" customFormat="1" x14ac:dyDescent="0.25">
      <c r="A5" s="199"/>
      <c r="B5" s="199"/>
      <c r="C5" s="44" t="s">
        <v>150</v>
      </c>
      <c r="D5" s="271"/>
      <c r="G5" s="44" t="s">
        <v>151</v>
      </c>
      <c r="H5" s="199"/>
      <c r="J5" s="272"/>
      <c r="N5" s="276"/>
      <c r="O5" s="199"/>
      <c r="P5" s="199"/>
      <c r="Q5" s="199"/>
      <c r="T5" s="199"/>
    </row>
    <row r="6" spans="1:26" s="93" customFormat="1" x14ac:dyDescent="0.25">
      <c r="A6" s="199"/>
      <c r="B6" s="199"/>
      <c r="C6" s="44" t="s">
        <v>146</v>
      </c>
      <c r="D6" s="271"/>
      <c r="E6" s="271"/>
      <c r="F6" s="271"/>
      <c r="G6" s="44" t="s">
        <v>145</v>
      </c>
      <c r="H6" s="199"/>
      <c r="J6" s="272"/>
      <c r="K6" s="93" t="s">
        <v>153</v>
      </c>
      <c r="L6" s="277">
        <v>3.2</v>
      </c>
      <c r="N6" s="199"/>
      <c r="O6" s="199"/>
      <c r="P6" s="199"/>
      <c r="Q6" s="199"/>
      <c r="T6" s="199"/>
    </row>
    <row r="7" spans="1:26" s="93" customFormat="1" ht="66" customHeight="1" x14ac:dyDescent="0.25">
      <c r="A7" s="236"/>
      <c r="B7" s="236"/>
      <c r="C7" s="237"/>
      <c r="D7" s="278"/>
      <c r="E7" s="279" t="s">
        <v>596</v>
      </c>
      <c r="F7" s="278"/>
      <c r="G7" s="278"/>
      <c r="H7" s="236"/>
      <c r="I7" s="280"/>
      <c r="J7" s="281"/>
      <c r="K7" s="282"/>
      <c r="L7" s="282"/>
      <c r="M7" s="280"/>
      <c r="N7" s="236"/>
      <c r="O7" s="236"/>
      <c r="P7" s="236"/>
      <c r="Q7" s="199"/>
      <c r="T7" s="199"/>
    </row>
    <row r="8" spans="1:26" ht="23.25" x14ac:dyDescent="0.25">
      <c r="A8" s="452" t="s">
        <v>135</v>
      </c>
      <c r="B8" s="452" t="s">
        <v>135</v>
      </c>
      <c r="C8" s="453" t="s">
        <v>24</v>
      </c>
      <c r="D8" s="454" t="s">
        <v>25</v>
      </c>
      <c r="E8" s="454" t="s">
        <v>45</v>
      </c>
      <c r="F8" s="459" t="s">
        <v>200</v>
      </c>
      <c r="G8" s="454" t="s">
        <v>529</v>
      </c>
      <c r="H8" s="453" t="s">
        <v>44</v>
      </c>
      <c r="I8" s="453" t="s">
        <v>46</v>
      </c>
      <c r="J8" s="461" t="s">
        <v>26</v>
      </c>
      <c r="K8" s="461"/>
      <c r="L8" s="461"/>
      <c r="M8" s="453" t="s">
        <v>52</v>
      </c>
      <c r="N8" s="453" t="s">
        <v>49</v>
      </c>
      <c r="O8" s="453" t="s">
        <v>27</v>
      </c>
      <c r="P8" s="453"/>
      <c r="Q8" s="453" t="s">
        <v>18</v>
      </c>
      <c r="R8" s="453" t="s">
        <v>50</v>
      </c>
      <c r="S8" s="462" t="s">
        <v>50</v>
      </c>
      <c r="T8" s="453" t="s">
        <v>15</v>
      </c>
      <c r="U8" s="91"/>
      <c r="V8" s="91"/>
      <c r="W8" s="91"/>
    </row>
    <row r="9" spans="1:26" ht="93" x14ac:dyDescent="0.25">
      <c r="A9" s="452"/>
      <c r="B9" s="452"/>
      <c r="C9" s="453"/>
      <c r="D9" s="454"/>
      <c r="E9" s="454"/>
      <c r="F9" s="460"/>
      <c r="G9" s="454"/>
      <c r="H9" s="453"/>
      <c r="I9" s="453"/>
      <c r="J9" s="268" t="s">
        <v>537</v>
      </c>
      <c r="K9" s="269" t="s">
        <v>48</v>
      </c>
      <c r="L9" s="269" t="s">
        <v>47</v>
      </c>
      <c r="M9" s="453"/>
      <c r="N9" s="453"/>
      <c r="O9" s="270" t="s">
        <v>28</v>
      </c>
      <c r="P9" s="270" t="s">
        <v>7</v>
      </c>
      <c r="Q9" s="453"/>
      <c r="R9" s="453"/>
      <c r="S9" s="462"/>
      <c r="T9" s="453"/>
      <c r="U9" s="91"/>
      <c r="V9" s="91"/>
      <c r="W9" s="91"/>
    </row>
    <row r="10" spans="1:26" ht="40.5" customHeight="1" x14ac:dyDescent="0.25">
      <c r="A10" s="238">
        <v>1</v>
      </c>
      <c r="B10" s="238">
        <v>1</v>
      </c>
      <c r="C10" s="463" t="s">
        <v>0</v>
      </c>
      <c r="D10" s="464"/>
      <c r="E10" s="464"/>
      <c r="F10" s="464"/>
      <c r="G10" s="464"/>
      <c r="H10" s="464"/>
      <c r="I10" s="464"/>
      <c r="J10" s="239">
        <f>SUM(J11:J17)</f>
        <v>138770796.875</v>
      </c>
      <c r="K10" s="240"/>
      <c r="L10" s="240"/>
      <c r="M10" s="240"/>
      <c r="N10" s="240"/>
      <c r="O10" s="240"/>
      <c r="P10" s="240"/>
      <c r="Q10" s="47"/>
      <c r="R10" s="47"/>
      <c r="S10" s="47"/>
      <c r="T10" s="48"/>
      <c r="U10" s="91"/>
      <c r="V10" s="91"/>
      <c r="W10" s="91"/>
    </row>
    <row r="11" spans="1:26" s="6" customFormat="1" ht="74.25" customHeight="1" x14ac:dyDescent="0.25">
      <c r="A11" s="241" t="s">
        <v>136</v>
      </c>
      <c r="B11" s="241" t="s">
        <v>136</v>
      </c>
      <c r="C11" s="242" t="s">
        <v>556</v>
      </c>
      <c r="D11" s="245" t="s">
        <v>518</v>
      </c>
      <c r="E11" s="245" t="s">
        <v>201</v>
      </c>
      <c r="F11" s="245" t="s">
        <v>613</v>
      </c>
      <c r="G11" s="245" t="s">
        <v>35</v>
      </c>
      <c r="H11" s="245">
        <v>1</v>
      </c>
      <c r="I11" s="245"/>
      <c r="J11" s="375">
        <f>'[1]PEP US$'!$E$28</f>
        <v>28969235.9375</v>
      </c>
      <c r="K11" s="349">
        <f>'[2]PEP US$'!$C$28/J11</f>
        <v>0.27134231998589453</v>
      </c>
      <c r="L11" s="349">
        <f>'[1]PEP US$'!$D$28/'[1]PEP US$'!$E$28</f>
        <v>0.72865768001410547</v>
      </c>
      <c r="M11" s="242">
        <v>1</v>
      </c>
      <c r="N11" s="242" t="s">
        <v>3</v>
      </c>
      <c r="O11" s="339">
        <v>44348</v>
      </c>
      <c r="P11" s="339">
        <v>44501</v>
      </c>
      <c r="Q11" s="55" t="s">
        <v>557</v>
      </c>
      <c r="R11" s="55"/>
      <c r="S11" s="55"/>
      <c r="T11" s="55" t="s">
        <v>1</v>
      </c>
      <c r="U11" s="192"/>
      <c r="V11" s="192"/>
      <c r="W11" s="192"/>
    </row>
    <row r="12" spans="1:26" s="6" customFormat="1" ht="89.25" customHeight="1" x14ac:dyDescent="0.25">
      <c r="A12" s="241" t="s">
        <v>137</v>
      </c>
      <c r="B12" s="241" t="s">
        <v>137</v>
      </c>
      <c r="C12" s="242" t="s">
        <v>556</v>
      </c>
      <c r="D12" s="245" t="s">
        <v>199</v>
      </c>
      <c r="E12" s="245" t="s">
        <v>154</v>
      </c>
      <c r="F12" s="245" t="s">
        <v>614</v>
      </c>
      <c r="G12" s="245" t="s">
        <v>36</v>
      </c>
      <c r="H12" s="245">
        <v>1</v>
      </c>
      <c r="I12" s="350"/>
      <c r="J12" s="375">
        <f>'[1]PEP US$'!$E$32+'[1]PEP US$'!$E$34</f>
        <v>16835937.5</v>
      </c>
      <c r="K12" s="243">
        <f>('[1]PEP US$'!$C$32+'[1]PEP US$'!$C$34)/J12</f>
        <v>0.46403712296983757</v>
      </c>
      <c r="L12" s="243">
        <f>100%-K12</f>
        <v>0.53596287703016243</v>
      </c>
      <c r="M12" s="242">
        <v>1</v>
      </c>
      <c r="N12" s="242" t="s">
        <v>2</v>
      </c>
      <c r="O12" s="351" t="s">
        <v>510</v>
      </c>
      <c r="P12" s="351" t="s">
        <v>530</v>
      </c>
      <c r="Q12" s="55" t="s">
        <v>557</v>
      </c>
      <c r="R12" s="55"/>
      <c r="S12" s="55"/>
      <c r="T12" s="55" t="s">
        <v>1</v>
      </c>
      <c r="U12" s="192"/>
      <c r="V12" s="192"/>
      <c r="W12" s="192"/>
    </row>
    <row r="13" spans="1:26" s="6" customFormat="1" ht="98.25" customHeight="1" x14ac:dyDescent="0.25">
      <c r="A13" s="241" t="s">
        <v>138</v>
      </c>
      <c r="B13" s="241" t="s">
        <v>138</v>
      </c>
      <c r="C13" s="242" t="s">
        <v>556</v>
      </c>
      <c r="D13" s="245" t="s">
        <v>483</v>
      </c>
      <c r="E13" s="245" t="s">
        <v>157</v>
      </c>
      <c r="F13" s="245" t="s">
        <v>615</v>
      </c>
      <c r="G13" s="245" t="s">
        <v>36</v>
      </c>
      <c r="H13" s="245">
        <v>1</v>
      </c>
      <c r="I13" s="352"/>
      <c r="J13" s="375">
        <f>'[1]PEP US$'!$E$42</f>
        <v>11806248.4375</v>
      </c>
      <c r="K13" s="243">
        <f>'[1]PEP US$'!$C$42/'[1]PEP US$'!$E$42</f>
        <v>0.60296447895241911</v>
      </c>
      <c r="L13" s="243">
        <f>100%-K13</f>
        <v>0.39703552104758089</v>
      </c>
      <c r="M13" s="242">
        <v>1</v>
      </c>
      <c r="N13" s="242" t="s">
        <v>2</v>
      </c>
      <c r="O13" s="351" t="s">
        <v>237</v>
      </c>
      <c r="P13" s="351" t="s">
        <v>327</v>
      </c>
      <c r="Q13" s="55" t="s">
        <v>557</v>
      </c>
      <c r="R13" s="55"/>
      <c r="S13" s="55"/>
      <c r="T13" s="55" t="s">
        <v>1</v>
      </c>
      <c r="U13" s="192"/>
      <c r="V13" s="192"/>
      <c r="W13" s="192"/>
    </row>
    <row r="14" spans="1:26" s="6" customFormat="1" ht="93" customHeight="1" x14ac:dyDescent="0.25">
      <c r="A14" s="241" t="s">
        <v>139</v>
      </c>
      <c r="B14" s="241" t="s">
        <v>139</v>
      </c>
      <c r="C14" s="242" t="s">
        <v>556</v>
      </c>
      <c r="D14" s="245" t="s">
        <v>598</v>
      </c>
      <c r="E14" s="348" t="s">
        <v>275</v>
      </c>
      <c r="F14" s="245" t="s">
        <v>616</v>
      </c>
      <c r="G14" s="245" t="s">
        <v>36</v>
      </c>
      <c r="H14" s="245">
        <v>1</v>
      </c>
      <c r="I14" s="352"/>
      <c r="J14" s="375">
        <f>'INFORMATIVO 02 04 19'!D7</f>
        <v>156250</v>
      </c>
      <c r="K14" s="243">
        <v>1</v>
      </c>
      <c r="L14" s="243">
        <f t="shared" ref="L14" si="0">100%-K14</f>
        <v>0</v>
      </c>
      <c r="M14" s="242">
        <v>2</v>
      </c>
      <c r="N14" s="242" t="s">
        <v>2</v>
      </c>
      <c r="O14" s="351" t="s">
        <v>446</v>
      </c>
      <c r="P14" s="351" t="s">
        <v>511</v>
      </c>
      <c r="Q14" s="55"/>
      <c r="R14" s="55"/>
      <c r="S14" s="55"/>
      <c r="T14" s="55" t="s">
        <v>1</v>
      </c>
      <c r="U14" s="192" t="s">
        <v>588</v>
      </c>
      <c r="V14" s="192"/>
      <c r="W14" s="192"/>
    </row>
    <row r="15" spans="1:26" s="6" customFormat="1" ht="82.5" customHeight="1" x14ac:dyDescent="0.25">
      <c r="A15" s="241" t="s">
        <v>197</v>
      </c>
      <c r="B15" s="241" t="s">
        <v>197</v>
      </c>
      <c r="C15" s="242" t="s">
        <v>556</v>
      </c>
      <c r="D15" s="245" t="s">
        <v>484</v>
      </c>
      <c r="E15" s="245" t="s">
        <v>181</v>
      </c>
      <c r="F15" s="245" t="s">
        <v>617</v>
      </c>
      <c r="G15" s="245" t="s">
        <v>35</v>
      </c>
      <c r="H15" s="245">
        <v>1</v>
      </c>
      <c r="I15" s="245"/>
      <c r="J15" s="375">
        <f>'[1]PEP US$'!$E$11-'[1]PEP US$'!$E$19</f>
        <v>23340625</v>
      </c>
      <c r="K15" s="243">
        <f>'[1]PEP US$'!$C$11/J15</f>
        <v>0.93975097067880575</v>
      </c>
      <c r="L15" s="243">
        <f>100%-K15</f>
        <v>6.0249029321194247E-2</v>
      </c>
      <c r="M15" s="242">
        <v>1</v>
      </c>
      <c r="N15" s="242" t="s">
        <v>3</v>
      </c>
      <c r="O15" s="351" t="s">
        <v>234</v>
      </c>
      <c r="P15" s="351" t="s">
        <v>446</v>
      </c>
      <c r="Q15" s="55" t="s">
        <v>557</v>
      </c>
      <c r="R15" s="64"/>
      <c r="S15" s="64"/>
      <c r="T15" s="55" t="s">
        <v>1</v>
      </c>
      <c r="U15" s="192"/>
      <c r="V15" s="192"/>
      <c r="W15" s="192"/>
    </row>
    <row r="16" spans="1:26" s="6" customFormat="1" ht="116.25" x14ac:dyDescent="0.25">
      <c r="A16" s="241" t="s">
        <v>274</v>
      </c>
      <c r="B16" s="241" t="s">
        <v>274</v>
      </c>
      <c r="C16" s="242" t="s">
        <v>556</v>
      </c>
      <c r="D16" s="245" t="s">
        <v>571</v>
      </c>
      <c r="E16" s="348" t="s">
        <v>572</v>
      </c>
      <c r="F16" s="245" t="s">
        <v>614</v>
      </c>
      <c r="G16" s="245" t="s">
        <v>34</v>
      </c>
      <c r="H16" s="245">
        <v>1</v>
      </c>
      <c r="I16" s="352"/>
      <c r="J16" s="375">
        <f>'[1]PEP US$'!$E$20</f>
        <v>57562500</v>
      </c>
      <c r="K16" s="243">
        <f>100%-L16</f>
        <v>0</v>
      </c>
      <c r="L16" s="243">
        <v>1</v>
      </c>
      <c r="M16" s="242">
        <v>1</v>
      </c>
      <c r="N16" s="242" t="s">
        <v>4</v>
      </c>
      <c r="O16" s="351"/>
      <c r="P16" s="351"/>
      <c r="Q16" s="55" t="s">
        <v>557</v>
      </c>
      <c r="R16" s="55"/>
      <c r="S16" s="55"/>
      <c r="T16" s="55" t="s">
        <v>58</v>
      </c>
      <c r="U16" s="192"/>
      <c r="V16" s="192"/>
      <c r="W16" s="192"/>
    </row>
    <row r="17" spans="1:23" s="6" customFormat="1" ht="75" customHeight="1" x14ac:dyDescent="0.25">
      <c r="A17" s="241" t="s">
        <v>280</v>
      </c>
      <c r="B17" s="241" t="s">
        <v>280</v>
      </c>
      <c r="C17" s="242" t="s">
        <v>556</v>
      </c>
      <c r="D17" s="245" t="s">
        <v>598</v>
      </c>
      <c r="E17" s="245" t="s">
        <v>600</v>
      </c>
      <c r="F17" s="245" t="s">
        <v>618</v>
      </c>
      <c r="G17" s="245" t="s">
        <v>36</v>
      </c>
      <c r="H17" s="245"/>
      <c r="I17" s="245"/>
      <c r="J17" s="376">
        <f>100000</f>
        <v>100000</v>
      </c>
      <c r="K17" s="243">
        <v>1</v>
      </c>
      <c r="L17" s="243">
        <v>0</v>
      </c>
      <c r="M17" s="242">
        <v>2</v>
      </c>
      <c r="N17" s="242" t="s">
        <v>2</v>
      </c>
      <c r="O17" s="339">
        <v>43678</v>
      </c>
      <c r="P17" s="339">
        <v>43800</v>
      </c>
      <c r="Q17" s="55"/>
      <c r="R17" s="64"/>
      <c r="S17" s="64"/>
      <c r="T17" s="55" t="s">
        <v>1</v>
      </c>
      <c r="U17" s="192" t="s">
        <v>597</v>
      </c>
      <c r="V17" s="192"/>
      <c r="W17" s="192"/>
    </row>
    <row r="18" spans="1:23" s="93" customFormat="1" ht="23.25" x14ac:dyDescent="0.25">
      <c r="A18" s="237"/>
      <c r="B18" s="237"/>
      <c r="C18" s="279"/>
      <c r="D18" s="279"/>
      <c r="E18" s="279"/>
      <c r="F18" s="279"/>
      <c r="G18" s="279"/>
      <c r="H18" s="279"/>
      <c r="I18" s="279"/>
      <c r="J18" s="284"/>
      <c r="K18" s="285"/>
      <c r="L18" s="285"/>
      <c r="M18" s="283"/>
      <c r="N18" s="237"/>
      <c r="O18" s="237"/>
      <c r="P18" s="237"/>
      <c r="Q18" s="68"/>
      <c r="R18" s="133"/>
      <c r="S18" s="133"/>
      <c r="T18" s="68"/>
      <c r="U18" s="91"/>
    </row>
    <row r="19" spans="1:23" ht="40.5" customHeight="1" x14ac:dyDescent="0.25">
      <c r="A19" s="238">
        <v>2</v>
      </c>
      <c r="B19" s="238">
        <v>2</v>
      </c>
      <c r="C19" s="465" t="s">
        <v>8</v>
      </c>
      <c r="D19" s="466"/>
      <c r="E19" s="466"/>
      <c r="F19" s="466"/>
      <c r="G19" s="466"/>
      <c r="H19" s="466"/>
      <c r="I19" s="466"/>
      <c r="J19" s="239">
        <f>SUM(J20:J36)</f>
        <v>16476214.045</v>
      </c>
      <c r="K19" s="240"/>
      <c r="L19" s="240"/>
      <c r="M19" s="240"/>
      <c r="N19" s="240"/>
      <c r="O19" s="240"/>
      <c r="P19" s="240"/>
      <c r="Q19" s="47"/>
      <c r="R19" s="47"/>
      <c r="S19" s="47"/>
      <c r="T19" s="48"/>
      <c r="U19" s="91"/>
      <c r="V19" s="91"/>
      <c r="W19" s="91"/>
    </row>
    <row r="20" spans="1:23" s="6" customFormat="1" ht="81" customHeight="1" x14ac:dyDescent="0.25">
      <c r="A20" s="241" t="s">
        <v>140</v>
      </c>
      <c r="B20" s="241" t="s">
        <v>140</v>
      </c>
      <c r="C20" s="242" t="s">
        <v>556</v>
      </c>
      <c r="D20" s="245" t="s">
        <v>260</v>
      </c>
      <c r="E20" s="245" t="s">
        <v>260</v>
      </c>
      <c r="F20" s="245" t="s">
        <v>616</v>
      </c>
      <c r="G20" s="245" t="s">
        <v>34</v>
      </c>
      <c r="H20" s="245">
        <v>1</v>
      </c>
      <c r="I20" s="245"/>
      <c r="J20" s="377">
        <f>'INFORMATIVO 02 04 19'!D8</f>
        <v>250000</v>
      </c>
      <c r="K20" s="243">
        <v>1</v>
      </c>
      <c r="L20" s="243">
        <v>0</v>
      </c>
      <c r="M20" s="242">
        <v>2</v>
      </c>
      <c r="N20" s="242" t="s">
        <v>4</v>
      </c>
      <c r="O20" s="339">
        <v>43891</v>
      </c>
      <c r="P20" s="339">
        <v>43952</v>
      </c>
      <c r="Q20" s="55" t="s">
        <v>70</v>
      </c>
      <c r="R20" s="64"/>
      <c r="S20" s="64"/>
      <c r="T20" s="55" t="s">
        <v>1</v>
      </c>
      <c r="U20" s="353" t="s">
        <v>586</v>
      </c>
      <c r="V20" s="192"/>
      <c r="W20" s="192"/>
    </row>
    <row r="21" spans="1:23" s="6" customFormat="1" ht="82.5" customHeight="1" x14ac:dyDescent="0.25">
      <c r="A21" s="241" t="s">
        <v>147</v>
      </c>
      <c r="B21" s="241" t="s">
        <v>147</v>
      </c>
      <c r="C21" s="242" t="s">
        <v>556</v>
      </c>
      <c r="D21" s="348" t="s">
        <v>361</v>
      </c>
      <c r="E21" s="348" t="s">
        <v>266</v>
      </c>
      <c r="F21" s="245" t="s">
        <v>616</v>
      </c>
      <c r="G21" s="245" t="s">
        <v>34</v>
      </c>
      <c r="H21" s="245">
        <v>1</v>
      </c>
      <c r="I21" s="245"/>
      <c r="J21" s="378">
        <f>'INFORMATIVO 02 04 19'!D9</f>
        <v>62500</v>
      </c>
      <c r="K21" s="243">
        <v>1</v>
      </c>
      <c r="L21" s="243">
        <v>0</v>
      </c>
      <c r="M21" s="242">
        <v>2</v>
      </c>
      <c r="N21" s="242" t="s">
        <v>4</v>
      </c>
      <c r="O21" s="339">
        <v>43891</v>
      </c>
      <c r="P21" s="339">
        <v>43952</v>
      </c>
      <c r="Q21" s="55" t="s">
        <v>70</v>
      </c>
      <c r="R21" s="64"/>
      <c r="S21" s="64"/>
      <c r="T21" s="55" t="s">
        <v>1</v>
      </c>
      <c r="U21" s="192" t="s">
        <v>587</v>
      </c>
      <c r="V21" s="192"/>
      <c r="W21" s="192"/>
    </row>
    <row r="22" spans="1:23" s="6" customFormat="1" ht="98.25" customHeight="1" x14ac:dyDescent="0.25">
      <c r="A22" s="241" t="s">
        <v>194</v>
      </c>
      <c r="B22" s="241" t="s">
        <v>194</v>
      </c>
      <c r="C22" s="242" t="s">
        <v>556</v>
      </c>
      <c r="D22" s="348" t="s">
        <v>527</v>
      </c>
      <c r="E22" s="348" t="s">
        <v>528</v>
      </c>
      <c r="F22" s="245" t="s">
        <v>616</v>
      </c>
      <c r="G22" s="245" t="s">
        <v>34</v>
      </c>
      <c r="H22" s="245">
        <v>1</v>
      </c>
      <c r="I22" s="245"/>
      <c r="J22" s="378">
        <f>'INFORMATIVO 02 04 19'!D10</f>
        <v>93750</v>
      </c>
      <c r="K22" s="243">
        <v>1</v>
      </c>
      <c r="L22" s="243">
        <v>0</v>
      </c>
      <c r="M22" s="242">
        <v>2</v>
      </c>
      <c r="N22" s="242" t="s">
        <v>4</v>
      </c>
      <c r="O22" s="339">
        <v>43891</v>
      </c>
      <c r="P22" s="339">
        <v>43952</v>
      </c>
      <c r="Q22" s="55" t="s">
        <v>70</v>
      </c>
      <c r="R22" s="64"/>
      <c r="S22" s="64"/>
      <c r="T22" s="55" t="s">
        <v>1</v>
      </c>
      <c r="U22" s="192" t="s">
        <v>587</v>
      </c>
      <c r="V22" s="192"/>
      <c r="W22" s="192"/>
    </row>
    <row r="23" spans="1:23" s="6" customFormat="1" ht="121.5" customHeight="1" x14ac:dyDescent="0.25">
      <c r="A23" s="241" t="s">
        <v>195</v>
      </c>
      <c r="B23" s="241" t="s">
        <v>195</v>
      </c>
      <c r="C23" s="242" t="s">
        <v>556</v>
      </c>
      <c r="D23" s="348" t="s">
        <v>363</v>
      </c>
      <c r="E23" s="348" t="s">
        <v>267</v>
      </c>
      <c r="F23" s="245" t="s">
        <v>616</v>
      </c>
      <c r="G23" s="245" t="s">
        <v>34</v>
      </c>
      <c r="H23" s="245">
        <v>1</v>
      </c>
      <c r="I23" s="245"/>
      <c r="J23" s="378">
        <f>'INFORMATIVO 02 04 19'!D11</f>
        <v>125000</v>
      </c>
      <c r="K23" s="243">
        <v>1</v>
      </c>
      <c r="L23" s="243">
        <v>0</v>
      </c>
      <c r="M23" s="242">
        <v>2</v>
      </c>
      <c r="N23" s="242" t="s">
        <v>4</v>
      </c>
      <c r="O23" s="339">
        <v>43891</v>
      </c>
      <c r="P23" s="339">
        <v>43952</v>
      </c>
      <c r="Q23" s="55" t="s">
        <v>70</v>
      </c>
      <c r="R23" s="64"/>
      <c r="S23" s="64"/>
      <c r="T23" s="55" t="s">
        <v>1</v>
      </c>
      <c r="U23" s="192" t="s">
        <v>587</v>
      </c>
      <c r="V23" s="192"/>
      <c r="W23" s="192"/>
    </row>
    <row r="24" spans="1:23" s="6" customFormat="1" ht="118.5" customHeight="1" x14ac:dyDescent="0.25">
      <c r="A24" s="241" t="s">
        <v>196</v>
      </c>
      <c r="B24" s="241" t="s">
        <v>196</v>
      </c>
      <c r="C24" s="242" t="s">
        <v>556</v>
      </c>
      <c r="D24" s="348" t="s">
        <v>366</v>
      </c>
      <c r="E24" s="348" t="s">
        <v>273</v>
      </c>
      <c r="F24" s="245" t="s">
        <v>616</v>
      </c>
      <c r="G24" s="245" t="s">
        <v>34</v>
      </c>
      <c r="H24" s="245">
        <v>1</v>
      </c>
      <c r="I24" s="354"/>
      <c r="J24" s="377">
        <f>'INFORMATIVO 02 04 19'!D12</f>
        <v>37500</v>
      </c>
      <c r="K24" s="243">
        <v>1</v>
      </c>
      <c r="L24" s="243">
        <v>0</v>
      </c>
      <c r="M24" s="242">
        <v>2</v>
      </c>
      <c r="N24" s="242" t="s">
        <v>4</v>
      </c>
      <c r="O24" s="339">
        <v>43891</v>
      </c>
      <c r="P24" s="339">
        <v>43952</v>
      </c>
      <c r="Q24" s="55" t="s">
        <v>70</v>
      </c>
      <c r="R24" s="64"/>
      <c r="S24" s="64"/>
      <c r="T24" s="55" t="s">
        <v>1</v>
      </c>
      <c r="U24" s="192"/>
      <c r="V24" s="192"/>
      <c r="W24" s="192"/>
    </row>
    <row r="25" spans="1:23" s="6" customFormat="1" ht="89.25" customHeight="1" x14ac:dyDescent="0.25">
      <c r="A25" s="241" t="s">
        <v>258</v>
      </c>
      <c r="B25" s="241" t="s">
        <v>258</v>
      </c>
      <c r="C25" s="242" t="s">
        <v>556</v>
      </c>
      <c r="D25" s="245" t="s">
        <v>364</v>
      </c>
      <c r="E25" s="245" t="s">
        <v>281</v>
      </c>
      <c r="F25" s="245" t="s">
        <v>619</v>
      </c>
      <c r="G25" s="245" t="s">
        <v>34</v>
      </c>
      <c r="H25" s="245">
        <v>1</v>
      </c>
      <c r="I25" s="245"/>
      <c r="J25" s="377">
        <f>'INFORMATIVO 02 04 19'!D33</f>
        <v>562500</v>
      </c>
      <c r="K25" s="243">
        <v>1</v>
      </c>
      <c r="L25" s="243">
        <v>0</v>
      </c>
      <c r="M25" s="242">
        <v>2</v>
      </c>
      <c r="N25" s="242" t="s">
        <v>4</v>
      </c>
      <c r="O25" s="339">
        <v>44440</v>
      </c>
      <c r="P25" s="339">
        <v>44501</v>
      </c>
      <c r="Q25" s="55" t="s">
        <v>70</v>
      </c>
      <c r="R25" s="64"/>
      <c r="S25" s="64"/>
      <c r="T25" s="55" t="s">
        <v>1</v>
      </c>
      <c r="U25" s="192" t="s">
        <v>589</v>
      </c>
      <c r="V25" s="192"/>
      <c r="W25" s="192"/>
    </row>
    <row r="26" spans="1:23" s="92" customFormat="1" ht="317.25" customHeight="1" x14ac:dyDescent="0.25">
      <c r="A26" s="355" t="s">
        <v>259</v>
      </c>
      <c r="B26" s="355" t="s">
        <v>259</v>
      </c>
      <c r="C26" s="356" t="s">
        <v>556</v>
      </c>
      <c r="D26" s="357" t="s">
        <v>294</v>
      </c>
      <c r="E26" s="357" t="s">
        <v>397</v>
      </c>
      <c r="F26" s="358" t="s">
        <v>620</v>
      </c>
      <c r="G26" s="358" t="s">
        <v>34</v>
      </c>
      <c r="H26" s="358">
        <v>1</v>
      </c>
      <c r="I26" s="358"/>
      <c r="J26" s="395">
        <f>'INFORMATIVO 02 04 19'!D39+'INFORMATIVO 02 04 19'!D26+'INFORMATIVO 02 04 19'!D110+'INFORMATIVO 02 04 19'!C84+'INFORMATIVO 02 04 19'!C65</f>
        <v>416666.67</v>
      </c>
      <c r="K26" s="359">
        <v>1</v>
      </c>
      <c r="L26" s="359">
        <v>0</v>
      </c>
      <c r="M26" s="356">
        <v>2</v>
      </c>
      <c r="N26" s="356" t="s">
        <v>4</v>
      </c>
      <c r="O26" s="360">
        <v>43891</v>
      </c>
      <c r="P26" s="360">
        <v>43952</v>
      </c>
      <c r="Q26" s="361" t="s">
        <v>590</v>
      </c>
      <c r="R26" s="362"/>
      <c r="S26" s="362"/>
      <c r="T26" s="361" t="s">
        <v>1</v>
      </c>
      <c r="U26" s="363"/>
      <c r="V26" s="363"/>
      <c r="W26" s="363"/>
    </row>
    <row r="27" spans="1:23" s="92" customFormat="1" ht="66.75" customHeight="1" x14ac:dyDescent="0.25">
      <c r="A27" s="355" t="s">
        <v>261</v>
      </c>
      <c r="B27" s="355" t="s">
        <v>261</v>
      </c>
      <c r="C27" s="356" t="s">
        <v>556</v>
      </c>
      <c r="D27" s="364" t="s">
        <v>301</v>
      </c>
      <c r="E27" s="364" t="s">
        <v>301</v>
      </c>
      <c r="F27" s="358" t="s">
        <v>621</v>
      </c>
      <c r="G27" s="358" t="s">
        <v>34</v>
      </c>
      <c r="H27" s="358">
        <v>1</v>
      </c>
      <c r="I27" s="358"/>
      <c r="J27" s="376">
        <f>'INFORMATIVO 02 04 19'!C48</f>
        <v>937500</v>
      </c>
      <c r="K27" s="359">
        <v>1</v>
      </c>
      <c r="L27" s="359">
        <v>0</v>
      </c>
      <c r="M27" s="356">
        <v>2</v>
      </c>
      <c r="N27" s="356" t="s">
        <v>4</v>
      </c>
      <c r="O27" s="360">
        <v>43678</v>
      </c>
      <c r="P27" s="360">
        <v>43739</v>
      </c>
      <c r="Q27" s="361" t="s">
        <v>538</v>
      </c>
      <c r="R27" s="362"/>
      <c r="S27" s="362"/>
      <c r="T27" s="361" t="s">
        <v>1</v>
      </c>
      <c r="U27" s="363"/>
      <c r="V27" s="363"/>
      <c r="W27" s="363"/>
    </row>
    <row r="28" spans="1:23" s="6" customFormat="1" ht="69.75" x14ac:dyDescent="0.25">
      <c r="A28" s="241" t="s">
        <v>262</v>
      </c>
      <c r="B28" s="241" t="s">
        <v>262</v>
      </c>
      <c r="C28" s="242" t="s">
        <v>556</v>
      </c>
      <c r="D28" s="246" t="s">
        <v>304</v>
      </c>
      <c r="E28" s="246" t="s">
        <v>305</v>
      </c>
      <c r="F28" s="245" t="s">
        <v>622</v>
      </c>
      <c r="G28" s="245" t="s">
        <v>34</v>
      </c>
      <c r="H28" s="245">
        <v>1</v>
      </c>
      <c r="I28" s="245"/>
      <c r="J28" s="377">
        <f>'INFORMATIVO 02 04 19'!E53</f>
        <v>559375</v>
      </c>
      <c r="K28" s="243">
        <v>1</v>
      </c>
      <c r="L28" s="243">
        <v>0</v>
      </c>
      <c r="M28" s="242">
        <v>2</v>
      </c>
      <c r="N28" s="242" t="s">
        <v>4</v>
      </c>
      <c r="O28" s="339">
        <v>43831</v>
      </c>
      <c r="P28" s="339">
        <v>43891</v>
      </c>
      <c r="Q28" s="55" t="s">
        <v>590</v>
      </c>
      <c r="R28" s="64"/>
      <c r="S28" s="64"/>
      <c r="T28" s="55" t="s">
        <v>1</v>
      </c>
      <c r="U28" s="192"/>
      <c r="V28" s="192"/>
      <c r="W28" s="192"/>
    </row>
    <row r="29" spans="1:23" s="6" customFormat="1" ht="123" customHeight="1" x14ac:dyDescent="0.25">
      <c r="A29" s="241" t="s">
        <v>263</v>
      </c>
      <c r="B29" s="241" t="s">
        <v>263</v>
      </c>
      <c r="C29" s="242" t="s">
        <v>556</v>
      </c>
      <c r="D29" s="245" t="s">
        <v>310</v>
      </c>
      <c r="E29" s="348" t="s">
        <v>591</v>
      </c>
      <c r="F29" s="245" t="s">
        <v>623</v>
      </c>
      <c r="G29" s="245" t="s">
        <v>34</v>
      </c>
      <c r="H29" s="245">
        <v>1</v>
      </c>
      <c r="I29" s="245"/>
      <c r="J29" s="377">
        <f>'INFORMATIVO 02 04 19'!C61</f>
        <v>312500</v>
      </c>
      <c r="K29" s="243">
        <v>1</v>
      </c>
      <c r="L29" s="243">
        <v>0</v>
      </c>
      <c r="M29" s="242">
        <v>2</v>
      </c>
      <c r="N29" s="242" t="s">
        <v>4</v>
      </c>
      <c r="O29" s="339">
        <v>43831</v>
      </c>
      <c r="P29" s="339">
        <v>43891</v>
      </c>
      <c r="Q29" s="55" t="s">
        <v>538</v>
      </c>
      <c r="R29" s="64"/>
      <c r="S29" s="64"/>
      <c r="T29" s="55" t="s">
        <v>1</v>
      </c>
      <c r="U29" s="192"/>
      <c r="V29" s="192"/>
      <c r="W29" s="192"/>
    </row>
    <row r="30" spans="1:23" s="6" customFormat="1" ht="80.25" customHeight="1" x14ac:dyDescent="0.25">
      <c r="A30" s="241" t="s">
        <v>264</v>
      </c>
      <c r="B30" s="241" t="s">
        <v>264</v>
      </c>
      <c r="C30" s="242" t="s">
        <v>556</v>
      </c>
      <c r="D30" s="245" t="s">
        <v>310</v>
      </c>
      <c r="E30" s="348" t="s">
        <v>312</v>
      </c>
      <c r="F30" s="245" t="s">
        <v>623</v>
      </c>
      <c r="G30" s="245" t="s">
        <v>34</v>
      </c>
      <c r="H30" s="245">
        <v>1</v>
      </c>
      <c r="I30" s="245"/>
      <c r="J30" s="377">
        <f>'INFORMATIVO 02 04 19'!C62</f>
        <v>7813</v>
      </c>
      <c r="K30" s="243">
        <v>1</v>
      </c>
      <c r="L30" s="243">
        <v>0</v>
      </c>
      <c r="M30" s="242">
        <v>2</v>
      </c>
      <c r="N30" s="242" t="s">
        <v>4</v>
      </c>
      <c r="O30" s="339">
        <v>43831</v>
      </c>
      <c r="P30" s="339">
        <v>43891</v>
      </c>
      <c r="Q30" s="55" t="s">
        <v>538</v>
      </c>
      <c r="R30" s="64"/>
      <c r="S30" s="64"/>
      <c r="T30" s="55" t="s">
        <v>1</v>
      </c>
      <c r="U30" s="192"/>
      <c r="V30" s="192"/>
      <c r="W30" s="192"/>
    </row>
    <row r="31" spans="1:23" s="6" customFormat="1" ht="78.75" customHeight="1" x14ac:dyDescent="0.25">
      <c r="A31" s="241" t="s">
        <v>265</v>
      </c>
      <c r="B31" s="241" t="s">
        <v>265</v>
      </c>
      <c r="C31" s="242" t="s">
        <v>556</v>
      </c>
      <c r="D31" s="245" t="s">
        <v>310</v>
      </c>
      <c r="E31" s="348" t="s">
        <v>313</v>
      </c>
      <c r="F31" s="245" t="s">
        <v>623</v>
      </c>
      <c r="G31" s="245" t="s">
        <v>34</v>
      </c>
      <c r="H31" s="245">
        <v>1</v>
      </c>
      <c r="I31" s="245"/>
      <c r="J31" s="377">
        <f>'INFORMATIVO 02 04 19'!C63</f>
        <v>62500</v>
      </c>
      <c r="K31" s="243">
        <v>1</v>
      </c>
      <c r="L31" s="243">
        <v>0</v>
      </c>
      <c r="M31" s="242">
        <v>2</v>
      </c>
      <c r="N31" s="242" t="s">
        <v>4</v>
      </c>
      <c r="O31" s="339">
        <v>43831</v>
      </c>
      <c r="P31" s="339">
        <v>43891</v>
      </c>
      <c r="Q31" s="55" t="s">
        <v>538</v>
      </c>
      <c r="R31" s="64"/>
      <c r="S31" s="64"/>
      <c r="T31" s="55" t="s">
        <v>1</v>
      </c>
      <c r="U31" s="192"/>
      <c r="V31" s="192"/>
      <c r="W31" s="192"/>
    </row>
    <row r="32" spans="1:23" s="6" customFormat="1" ht="192" customHeight="1" x14ac:dyDescent="0.25">
      <c r="A32" s="332" t="s">
        <v>278</v>
      </c>
      <c r="B32" s="332" t="s">
        <v>278</v>
      </c>
      <c r="C32" s="317" t="s">
        <v>556</v>
      </c>
      <c r="D32" s="318" t="s">
        <v>319</v>
      </c>
      <c r="E32" s="318" t="s">
        <v>326</v>
      </c>
      <c r="F32" s="318" t="s">
        <v>624</v>
      </c>
      <c r="G32" s="318" t="s">
        <v>34</v>
      </c>
      <c r="H32" s="318">
        <v>1</v>
      </c>
      <c r="I32" s="318"/>
      <c r="J32" s="377">
        <f>'INFORMATIVO 02 04 19'!C71</f>
        <v>1312500</v>
      </c>
      <c r="K32" s="335">
        <v>1</v>
      </c>
      <c r="L32" s="335">
        <v>0</v>
      </c>
      <c r="M32" s="317">
        <v>2</v>
      </c>
      <c r="N32" s="317" t="s">
        <v>4</v>
      </c>
      <c r="O32" s="321">
        <v>43891</v>
      </c>
      <c r="P32" s="321">
        <v>43952</v>
      </c>
      <c r="Q32" s="320" t="s">
        <v>590</v>
      </c>
      <c r="R32" s="338"/>
      <c r="S32" s="338"/>
      <c r="T32" s="320" t="s">
        <v>1</v>
      </c>
      <c r="U32" s="192"/>
      <c r="V32" s="192"/>
      <c r="W32" s="192"/>
    </row>
    <row r="33" spans="1:36" ht="175.5" customHeight="1" x14ac:dyDescent="0.25">
      <c r="A33" s="332" t="s">
        <v>279</v>
      </c>
      <c r="B33" s="332" t="s">
        <v>279</v>
      </c>
      <c r="C33" s="317" t="s">
        <v>556</v>
      </c>
      <c r="D33" s="318" t="s">
        <v>325</v>
      </c>
      <c r="E33" s="318" t="s">
        <v>399</v>
      </c>
      <c r="F33" s="318" t="s">
        <v>618</v>
      </c>
      <c r="G33" s="318" t="s">
        <v>34</v>
      </c>
      <c r="H33" s="318">
        <v>1</v>
      </c>
      <c r="I33" s="318"/>
      <c r="J33" s="376">
        <f>'[3]PEP US$'!$E$57-J34-J17</f>
        <v>2981250</v>
      </c>
      <c r="K33" s="335">
        <v>1</v>
      </c>
      <c r="L33" s="335">
        <v>0</v>
      </c>
      <c r="M33" s="317">
        <v>2</v>
      </c>
      <c r="N33" s="317" t="s">
        <v>4</v>
      </c>
      <c r="O33" s="321">
        <v>43709</v>
      </c>
      <c r="P33" s="321">
        <v>43770</v>
      </c>
      <c r="Q33" s="320" t="s">
        <v>538</v>
      </c>
      <c r="R33" s="338"/>
      <c r="S33" s="338"/>
      <c r="T33" s="320" t="s">
        <v>1</v>
      </c>
      <c r="U33" s="192"/>
      <c r="V33" s="192"/>
      <c r="W33" s="192"/>
      <c r="X33" s="6"/>
      <c r="Y33" s="6"/>
      <c r="Z33" s="6"/>
      <c r="AA33" s="6"/>
      <c r="AB33" s="6"/>
      <c r="AC33" s="6"/>
      <c r="AD33" s="6"/>
      <c r="AE33" s="6"/>
      <c r="AF33" s="6"/>
      <c r="AG33" s="6"/>
      <c r="AH33" s="6"/>
      <c r="AI33" s="6"/>
      <c r="AJ33" s="6"/>
    </row>
    <row r="34" spans="1:36" ht="69.75" x14ac:dyDescent="0.25">
      <c r="A34" s="332" t="s">
        <v>280</v>
      </c>
      <c r="B34" s="332" t="s">
        <v>280</v>
      </c>
      <c r="C34" s="317" t="s">
        <v>556</v>
      </c>
      <c r="D34" s="318" t="s">
        <v>325</v>
      </c>
      <c r="E34" s="318" t="s">
        <v>599</v>
      </c>
      <c r="F34" s="318" t="s">
        <v>618</v>
      </c>
      <c r="G34" s="318" t="s">
        <v>34</v>
      </c>
      <c r="H34" s="318"/>
      <c r="I34" s="318"/>
      <c r="J34" s="376">
        <f>2812500</f>
        <v>2812500</v>
      </c>
      <c r="K34" s="335">
        <v>1</v>
      </c>
      <c r="L34" s="335">
        <v>0</v>
      </c>
      <c r="M34" s="317">
        <v>2</v>
      </c>
      <c r="N34" s="317" t="s">
        <v>4</v>
      </c>
      <c r="O34" s="321">
        <v>43678</v>
      </c>
      <c r="P34" s="321">
        <v>43739</v>
      </c>
      <c r="Q34" s="320" t="s">
        <v>538</v>
      </c>
      <c r="R34" s="338"/>
      <c r="S34" s="338"/>
      <c r="T34" s="320" t="s">
        <v>1</v>
      </c>
      <c r="U34" s="192"/>
      <c r="V34" s="192"/>
      <c r="W34" s="192"/>
      <c r="X34" s="6"/>
      <c r="Y34" s="6"/>
      <c r="Z34" s="6"/>
      <c r="AA34" s="6"/>
      <c r="AB34" s="6"/>
      <c r="AC34" s="6"/>
      <c r="AD34" s="6"/>
      <c r="AE34" s="6"/>
      <c r="AF34" s="6"/>
      <c r="AG34" s="6"/>
      <c r="AH34" s="6"/>
      <c r="AI34" s="6"/>
      <c r="AJ34" s="6"/>
    </row>
    <row r="35" spans="1:36" s="92" customFormat="1" ht="99" customHeight="1" x14ac:dyDescent="0.25">
      <c r="A35" s="355" t="s">
        <v>422</v>
      </c>
      <c r="B35" s="355" t="s">
        <v>422</v>
      </c>
      <c r="C35" s="356" t="s">
        <v>556</v>
      </c>
      <c r="D35" s="358" t="s">
        <v>573</v>
      </c>
      <c r="E35" s="358" t="s">
        <v>574</v>
      </c>
      <c r="F35" s="358" t="s">
        <v>625</v>
      </c>
      <c r="G35" s="358" t="s">
        <v>34</v>
      </c>
      <c r="H35" s="358"/>
      <c r="I35" s="358"/>
      <c r="J35" s="376">
        <f>'[1]PEP US$'!$E$35</f>
        <v>640796.875</v>
      </c>
      <c r="K35" s="359">
        <v>1</v>
      </c>
      <c r="L35" s="359">
        <v>0</v>
      </c>
      <c r="M35" s="356">
        <v>1</v>
      </c>
      <c r="N35" s="356" t="s">
        <v>4</v>
      </c>
      <c r="O35" s="360">
        <v>43617</v>
      </c>
      <c r="P35" s="360">
        <v>43678</v>
      </c>
      <c r="Q35" s="361" t="s">
        <v>539</v>
      </c>
      <c r="R35" s="362"/>
      <c r="S35" s="362"/>
      <c r="T35" s="361" t="s">
        <v>1</v>
      </c>
      <c r="U35" s="363"/>
      <c r="V35" s="363"/>
      <c r="W35" s="363"/>
    </row>
    <row r="36" spans="1:36" s="92" customFormat="1" ht="99" customHeight="1" x14ac:dyDescent="0.25">
      <c r="A36" s="355" t="s">
        <v>137</v>
      </c>
      <c r="B36" s="355" t="s">
        <v>137</v>
      </c>
      <c r="C36" s="356" t="s">
        <v>556</v>
      </c>
      <c r="D36" s="358" t="s">
        <v>582</v>
      </c>
      <c r="E36" s="358" t="s">
        <v>583</v>
      </c>
      <c r="F36" s="358" t="s">
        <v>625</v>
      </c>
      <c r="G36" s="358" t="s">
        <v>34</v>
      </c>
      <c r="H36" s="358">
        <v>1</v>
      </c>
      <c r="I36" s="369"/>
      <c r="J36" s="383">
        <f>'[1]PEP US$'!$E$33</f>
        <v>5301562.5</v>
      </c>
      <c r="K36" s="359">
        <v>1</v>
      </c>
      <c r="L36" s="359">
        <v>0</v>
      </c>
      <c r="M36" s="356">
        <v>1</v>
      </c>
      <c r="N36" s="356" t="s">
        <v>4</v>
      </c>
      <c r="O36" s="366" t="s">
        <v>510</v>
      </c>
      <c r="P36" s="360">
        <v>43525</v>
      </c>
      <c r="Q36" s="361" t="s">
        <v>601</v>
      </c>
      <c r="R36" s="361"/>
      <c r="S36" s="361"/>
      <c r="T36" s="361" t="s">
        <v>1</v>
      </c>
      <c r="U36" s="363"/>
      <c r="V36" s="363"/>
      <c r="W36" s="363"/>
    </row>
    <row r="37" spans="1:36" s="93" customFormat="1" ht="23.25" x14ac:dyDescent="0.25">
      <c r="A37" s="237"/>
      <c r="B37" s="237"/>
      <c r="C37" s="279"/>
      <c r="D37" s="279"/>
      <c r="E37" s="279"/>
      <c r="F37" s="279"/>
      <c r="G37" s="279"/>
      <c r="H37" s="279"/>
      <c r="I37" s="279"/>
      <c r="J37" s="284"/>
      <c r="K37" s="285"/>
      <c r="L37" s="285"/>
      <c r="M37" s="283"/>
      <c r="N37" s="237"/>
      <c r="O37" s="237"/>
      <c r="P37" s="237"/>
      <c r="Q37" s="68"/>
      <c r="R37" s="133"/>
      <c r="S37" s="133"/>
      <c r="T37" s="68"/>
      <c r="U37" s="91"/>
    </row>
    <row r="38" spans="1:36" ht="40.5" customHeight="1" x14ac:dyDescent="0.25">
      <c r="A38" s="238">
        <v>3</v>
      </c>
      <c r="B38" s="238">
        <v>3</v>
      </c>
      <c r="C38" s="465" t="s">
        <v>9</v>
      </c>
      <c r="D38" s="466"/>
      <c r="E38" s="466"/>
      <c r="F38" s="466"/>
      <c r="G38" s="466"/>
      <c r="H38" s="466"/>
      <c r="I38" s="466"/>
      <c r="J38" s="239">
        <f>SUM(J39:J50)</f>
        <v>12847395.836666666</v>
      </c>
      <c r="K38" s="266"/>
      <c r="L38" s="266"/>
      <c r="M38" s="266"/>
      <c r="N38" s="266"/>
      <c r="O38" s="266"/>
      <c r="P38" s="240"/>
      <c r="Q38" s="47"/>
      <c r="R38" s="47"/>
      <c r="S38" s="47"/>
      <c r="T38" s="48"/>
      <c r="U38" s="91"/>
      <c r="V38" s="91"/>
      <c r="W38" s="91"/>
    </row>
    <row r="39" spans="1:36" ht="95.25" customHeight="1" x14ac:dyDescent="0.25">
      <c r="A39" s="332" t="s">
        <v>132</v>
      </c>
      <c r="B39" s="332" t="s">
        <v>132</v>
      </c>
      <c r="C39" s="317" t="s">
        <v>556</v>
      </c>
      <c r="D39" s="336" t="s">
        <v>365</v>
      </c>
      <c r="E39" s="336" t="s">
        <v>272</v>
      </c>
      <c r="F39" s="318" t="s">
        <v>612</v>
      </c>
      <c r="G39" s="318" t="s">
        <v>36</v>
      </c>
      <c r="H39" s="318">
        <v>1</v>
      </c>
      <c r="I39" s="340"/>
      <c r="J39" s="377">
        <f>'INFORMATIVO 02 04 19'!E13</f>
        <v>481250</v>
      </c>
      <c r="K39" s="335">
        <v>1</v>
      </c>
      <c r="L39" s="335">
        <v>0</v>
      </c>
      <c r="M39" s="317">
        <v>2</v>
      </c>
      <c r="N39" s="317" t="s">
        <v>2</v>
      </c>
      <c r="O39" s="321">
        <v>43709</v>
      </c>
      <c r="P39" s="321">
        <v>43831</v>
      </c>
      <c r="Q39" s="320"/>
      <c r="R39" s="338"/>
      <c r="S39" s="338"/>
      <c r="T39" s="320" t="s">
        <v>1</v>
      </c>
      <c r="U39" s="192" t="s">
        <v>592</v>
      </c>
    </row>
    <row r="40" spans="1:36" ht="78" customHeight="1" x14ac:dyDescent="0.25">
      <c r="A40" s="332" t="s">
        <v>141</v>
      </c>
      <c r="B40" s="332" t="s">
        <v>141</v>
      </c>
      <c r="C40" s="317" t="s">
        <v>556</v>
      </c>
      <c r="D40" s="336" t="s">
        <v>540</v>
      </c>
      <c r="E40" s="336" t="s">
        <v>541</v>
      </c>
      <c r="F40" s="318" t="s">
        <v>626</v>
      </c>
      <c r="G40" s="318" t="s">
        <v>36</v>
      </c>
      <c r="H40" s="318">
        <v>1</v>
      </c>
      <c r="I40" s="340"/>
      <c r="J40" s="378">
        <f>'INFORMATIVO 02 04 19'!E77</f>
        <v>1357291.666666667</v>
      </c>
      <c r="K40" s="335">
        <v>1</v>
      </c>
      <c r="L40" s="335">
        <v>0</v>
      </c>
      <c r="M40" s="317">
        <v>2</v>
      </c>
      <c r="N40" s="317" t="s">
        <v>2</v>
      </c>
      <c r="O40" s="321">
        <v>43739</v>
      </c>
      <c r="P40" s="321">
        <v>43862</v>
      </c>
      <c r="Q40" s="320"/>
      <c r="R40" s="338"/>
      <c r="S40" s="338"/>
      <c r="T40" s="320" t="s">
        <v>1</v>
      </c>
      <c r="U40" s="192"/>
    </row>
    <row r="41" spans="1:36" ht="90.75" customHeight="1" x14ac:dyDescent="0.25">
      <c r="A41" s="241" t="s">
        <v>268</v>
      </c>
      <c r="B41" s="241" t="s">
        <v>268</v>
      </c>
      <c r="C41" s="242" t="s">
        <v>556</v>
      </c>
      <c r="D41" s="246" t="s">
        <v>367</v>
      </c>
      <c r="E41" s="246" t="s">
        <v>368</v>
      </c>
      <c r="F41" s="245" t="s">
        <v>627</v>
      </c>
      <c r="G41" s="245" t="s">
        <v>34</v>
      </c>
      <c r="H41" s="245">
        <v>1</v>
      </c>
      <c r="I41" s="354"/>
      <c r="J41" s="396">
        <f>'INFORMATIVO 02 04 19'!D40</f>
        <v>16666.669999999998</v>
      </c>
      <c r="K41" s="243">
        <v>1</v>
      </c>
      <c r="L41" s="243">
        <v>0</v>
      </c>
      <c r="M41" s="242">
        <v>2</v>
      </c>
      <c r="N41" s="242" t="s">
        <v>4</v>
      </c>
      <c r="O41" s="339">
        <v>43831</v>
      </c>
      <c r="P41" s="339">
        <v>43891</v>
      </c>
      <c r="Q41" s="55" t="s">
        <v>70</v>
      </c>
      <c r="R41" s="64"/>
      <c r="S41" s="64"/>
      <c r="T41" s="55" t="s">
        <v>1</v>
      </c>
      <c r="U41" s="192"/>
      <c r="V41" s="6"/>
      <c r="W41" s="6"/>
      <c r="X41" s="6"/>
      <c r="Y41" s="6"/>
      <c r="Z41" s="6"/>
      <c r="AA41" s="6"/>
      <c r="AB41" s="6"/>
      <c r="AC41" s="6"/>
      <c r="AD41" s="6"/>
      <c r="AE41" s="6"/>
      <c r="AF41" s="6"/>
      <c r="AG41" s="6"/>
      <c r="AH41" s="6"/>
      <c r="AI41" s="6"/>
      <c r="AJ41" s="6"/>
    </row>
    <row r="42" spans="1:36" ht="93" x14ac:dyDescent="0.25">
      <c r="A42" s="332" t="s">
        <v>269</v>
      </c>
      <c r="B42" s="332" t="s">
        <v>269</v>
      </c>
      <c r="C42" s="317" t="s">
        <v>556</v>
      </c>
      <c r="D42" s="336" t="s">
        <v>370</v>
      </c>
      <c r="E42" s="336" t="s">
        <v>369</v>
      </c>
      <c r="F42" s="318" t="s">
        <v>628</v>
      </c>
      <c r="G42" s="318" t="s">
        <v>34</v>
      </c>
      <c r="H42" s="318">
        <v>1</v>
      </c>
      <c r="I42" s="340"/>
      <c r="J42" s="377">
        <f>'INFORMATIVO 02 04 19'!C82</f>
        <v>46875</v>
      </c>
      <c r="K42" s="335">
        <v>1</v>
      </c>
      <c r="L42" s="335">
        <v>0</v>
      </c>
      <c r="M42" s="317">
        <v>2</v>
      </c>
      <c r="N42" s="317" t="s">
        <v>4</v>
      </c>
      <c r="O42" s="321">
        <v>44197</v>
      </c>
      <c r="P42" s="321">
        <v>44256</v>
      </c>
      <c r="Q42" s="320" t="s">
        <v>70</v>
      </c>
      <c r="R42" s="338"/>
      <c r="S42" s="338"/>
      <c r="T42" s="320" t="s">
        <v>1</v>
      </c>
      <c r="U42" s="192"/>
    </row>
    <row r="43" spans="1:36" ht="79.5" customHeight="1" x14ac:dyDescent="0.25">
      <c r="A43" s="241" t="s">
        <v>270</v>
      </c>
      <c r="B43" s="241" t="s">
        <v>270</v>
      </c>
      <c r="C43" s="242" t="s">
        <v>556</v>
      </c>
      <c r="D43" s="348" t="s">
        <v>372</v>
      </c>
      <c r="E43" s="348" t="s">
        <v>314</v>
      </c>
      <c r="F43" s="245" t="s">
        <v>623</v>
      </c>
      <c r="G43" s="245" t="s">
        <v>36</v>
      </c>
      <c r="H43" s="245">
        <v>1</v>
      </c>
      <c r="I43" s="354"/>
      <c r="J43" s="377">
        <f>'INFORMATIVO 02 04 19'!C64</f>
        <v>250000</v>
      </c>
      <c r="K43" s="243">
        <v>1</v>
      </c>
      <c r="L43" s="243">
        <v>0</v>
      </c>
      <c r="M43" s="242">
        <v>2</v>
      </c>
      <c r="N43" s="242" t="s">
        <v>2</v>
      </c>
      <c r="O43" s="339">
        <v>43647</v>
      </c>
      <c r="P43" s="339">
        <v>43800</v>
      </c>
      <c r="Q43" s="55"/>
      <c r="R43" s="64"/>
      <c r="S43" s="64"/>
      <c r="T43" s="55" t="s">
        <v>1</v>
      </c>
      <c r="U43" s="192"/>
    </row>
    <row r="44" spans="1:36" ht="126" customHeight="1" x14ac:dyDescent="0.25">
      <c r="A44" s="241" t="s">
        <v>271</v>
      </c>
      <c r="B44" s="241" t="s">
        <v>271</v>
      </c>
      <c r="C44" s="242" t="s">
        <v>556</v>
      </c>
      <c r="D44" s="246" t="s">
        <v>371</v>
      </c>
      <c r="E44" s="246" t="s">
        <v>323</v>
      </c>
      <c r="F44" s="245" t="s">
        <v>629</v>
      </c>
      <c r="G44" s="245" t="s">
        <v>34</v>
      </c>
      <c r="H44" s="245">
        <v>1</v>
      </c>
      <c r="I44" s="354"/>
      <c r="J44" s="377">
        <f>'INFORMATIVO 02 04 19'!C88</f>
        <v>93750</v>
      </c>
      <c r="K44" s="243">
        <v>1</v>
      </c>
      <c r="L44" s="243">
        <v>0</v>
      </c>
      <c r="M44" s="242">
        <v>2</v>
      </c>
      <c r="N44" s="242" t="s">
        <v>4</v>
      </c>
      <c r="O44" s="339">
        <v>43678</v>
      </c>
      <c r="P44" s="339">
        <v>43739</v>
      </c>
      <c r="Q44" s="55" t="s">
        <v>70</v>
      </c>
      <c r="R44" s="64"/>
      <c r="S44" s="64"/>
      <c r="T44" s="55" t="s">
        <v>1</v>
      </c>
      <c r="U44" s="192"/>
    </row>
    <row r="45" spans="1:36" s="368" customFormat="1" ht="109.5" customHeight="1" x14ac:dyDescent="0.25">
      <c r="A45" s="355" t="s">
        <v>424</v>
      </c>
      <c r="B45" s="355" t="s">
        <v>424</v>
      </c>
      <c r="C45" s="356" t="s">
        <v>556</v>
      </c>
      <c r="D45" s="358" t="s">
        <v>555</v>
      </c>
      <c r="E45" s="358" t="s">
        <v>160</v>
      </c>
      <c r="F45" s="358" t="s">
        <v>630</v>
      </c>
      <c r="G45" s="358" t="s">
        <v>35</v>
      </c>
      <c r="H45" s="358">
        <v>1</v>
      </c>
      <c r="I45" s="358"/>
      <c r="J45" s="383">
        <f>'[4]PEP US$'!$E$37+'[4]PEP US$'!$E$40</f>
        <v>4825000</v>
      </c>
      <c r="K45" s="359">
        <v>1</v>
      </c>
      <c r="L45" s="359">
        <v>0</v>
      </c>
      <c r="M45" s="356">
        <v>1</v>
      </c>
      <c r="N45" s="356" t="s">
        <v>3</v>
      </c>
      <c r="O45" s="360">
        <v>43647</v>
      </c>
      <c r="P45" s="360">
        <v>43800</v>
      </c>
      <c r="Q45" s="361" t="s">
        <v>557</v>
      </c>
      <c r="R45" s="362"/>
      <c r="S45" s="362"/>
      <c r="T45" s="361" t="s">
        <v>1</v>
      </c>
      <c r="U45" s="363"/>
    </row>
    <row r="46" spans="1:36" s="286" customFormat="1" ht="109.5" customHeight="1" x14ac:dyDescent="0.25">
      <c r="A46" s="332" t="s">
        <v>551</v>
      </c>
      <c r="B46" s="332" t="s">
        <v>551</v>
      </c>
      <c r="C46" s="317" t="s">
        <v>556</v>
      </c>
      <c r="D46" s="318" t="s">
        <v>602</v>
      </c>
      <c r="E46" s="318" t="s">
        <v>553</v>
      </c>
      <c r="F46" s="318" t="s">
        <v>631</v>
      </c>
      <c r="G46" s="318" t="s">
        <v>34</v>
      </c>
      <c r="H46" s="318">
        <v>1</v>
      </c>
      <c r="I46" s="318"/>
      <c r="J46" s="377">
        <v>50000</v>
      </c>
      <c r="K46" s="335">
        <v>1</v>
      </c>
      <c r="L46" s="335">
        <v>0</v>
      </c>
      <c r="M46" s="317">
        <v>1</v>
      </c>
      <c r="N46" s="317" t="s">
        <v>4</v>
      </c>
      <c r="O46" s="319" t="s">
        <v>514</v>
      </c>
      <c r="P46" s="319" t="s">
        <v>233</v>
      </c>
      <c r="Q46" s="320" t="s">
        <v>70</v>
      </c>
      <c r="R46" s="338"/>
      <c r="S46" s="338"/>
      <c r="T46" s="320" t="s">
        <v>1</v>
      </c>
      <c r="U46" s="333"/>
    </row>
    <row r="47" spans="1:36" s="368" customFormat="1" ht="279" x14ac:dyDescent="0.25">
      <c r="A47" s="355" t="s">
        <v>554</v>
      </c>
      <c r="B47" s="355" t="s">
        <v>554</v>
      </c>
      <c r="C47" s="356" t="s">
        <v>556</v>
      </c>
      <c r="D47" s="358" t="s">
        <v>559</v>
      </c>
      <c r="E47" s="358" t="s">
        <v>560</v>
      </c>
      <c r="F47" s="358" t="s">
        <v>632</v>
      </c>
      <c r="G47" s="358" t="s">
        <v>36</v>
      </c>
      <c r="H47" s="358">
        <v>1</v>
      </c>
      <c r="I47" s="370"/>
      <c r="J47" s="376">
        <f>'[3]PEP US$'!$E$41</f>
        <v>345312.5</v>
      </c>
      <c r="K47" s="359">
        <v>1</v>
      </c>
      <c r="L47" s="359">
        <v>0</v>
      </c>
      <c r="M47" s="356">
        <v>1</v>
      </c>
      <c r="N47" s="356" t="s">
        <v>2</v>
      </c>
      <c r="O47" s="360">
        <v>43831</v>
      </c>
      <c r="P47" s="360">
        <v>43983</v>
      </c>
      <c r="Q47" s="361" t="s">
        <v>557</v>
      </c>
      <c r="R47" s="362"/>
      <c r="S47" s="362"/>
      <c r="T47" s="361" t="s">
        <v>1</v>
      </c>
      <c r="U47" s="363"/>
    </row>
    <row r="48" spans="1:36" s="92" customFormat="1" ht="139.5" x14ac:dyDescent="0.25">
      <c r="A48" s="355" t="s">
        <v>175</v>
      </c>
      <c r="B48" s="355" t="s">
        <v>175</v>
      </c>
      <c r="C48" s="356" t="s">
        <v>556</v>
      </c>
      <c r="D48" s="358" t="s">
        <v>648</v>
      </c>
      <c r="E48" s="358" t="s">
        <v>595</v>
      </c>
      <c r="F48" s="365" t="s">
        <v>633</v>
      </c>
      <c r="G48" s="358" t="s">
        <v>36</v>
      </c>
      <c r="H48" s="358">
        <v>1</v>
      </c>
      <c r="I48" s="358"/>
      <c r="J48" s="394">
        <f>'[3]PEP US$'!$E$53+'INFORMATIVO 02 04 19'!D23+'INFORMATIVO 02 04 19'!D34+'INFORMATIVO 02 04 19'!C100+'INFORMATIVO 02 04 19'!C101</f>
        <v>2381250</v>
      </c>
      <c r="K48" s="359">
        <v>1</v>
      </c>
      <c r="L48" s="359">
        <v>0</v>
      </c>
      <c r="M48" s="356">
        <v>2</v>
      </c>
      <c r="N48" s="356" t="s">
        <v>3</v>
      </c>
      <c r="O48" s="360">
        <v>43647</v>
      </c>
      <c r="P48" s="360">
        <v>43800</v>
      </c>
      <c r="Q48" s="361"/>
      <c r="R48" s="362"/>
      <c r="S48" s="362"/>
      <c r="T48" s="361" t="s">
        <v>1</v>
      </c>
      <c r="V48" s="84"/>
      <c r="W48" s="84"/>
      <c r="X48" s="84"/>
      <c r="Y48" s="84"/>
      <c r="Z48" s="84"/>
      <c r="AA48" s="84"/>
      <c r="AB48" s="84"/>
      <c r="AC48" s="84"/>
      <c r="AD48" s="84"/>
      <c r="AE48" s="84"/>
      <c r="AF48" s="84"/>
      <c r="AG48" s="84"/>
      <c r="AH48" s="84"/>
      <c r="AI48" s="84"/>
      <c r="AJ48" s="84"/>
    </row>
    <row r="49" spans="1:36" s="92" customFormat="1" ht="69.75" x14ac:dyDescent="0.25">
      <c r="A49" s="355" t="s">
        <v>245</v>
      </c>
      <c r="B49" s="355" t="s">
        <v>245</v>
      </c>
      <c r="C49" s="356" t="s">
        <v>556</v>
      </c>
      <c r="D49" s="357" t="s">
        <v>603</v>
      </c>
      <c r="E49" s="357" t="s">
        <v>605</v>
      </c>
      <c r="F49" s="358" t="s">
        <v>622</v>
      </c>
      <c r="G49" s="358" t="s">
        <v>34</v>
      </c>
      <c r="H49" s="358">
        <v>1</v>
      </c>
      <c r="I49" s="358"/>
      <c r="J49" s="376">
        <f>'INFORMATIVO 02 04 19'!E54</f>
        <v>2812500</v>
      </c>
      <c r="K49" s="359">
        <v>1</v>
      </c>
      <c r="L49" s="359">
        <v>0</v>
      </c>
      <c r="M49" s="356">
        <v>2</v>
      </c>
      <c r="N49" s="356" t="s">
        <v>4</v>
      </c>
      <c r="O49" s="360">
        <v>43709</v>
      </c>
      <c r="P49" s="360">
        <v>43770</v>
      </c>
      <c r="Q49" s="361" t="s">
        <v>70</v>
      </c>
      <c r="R49" s="362"/>
      <c r="S49" s="362"/>
      <c r="T49" s="361" t="s">
        <v>1</v>
      </c>
      <c r="V49" s="84"/>
      <c r="W49" s="84"/>
      <c r="X49" s="84"/>
      <c r="Y49" s="84"/>
      <c r="Z49" s="84"/>
      <c r="AA49" s="84"/>
      <c r="AB49" s="84"/>
      <c r="AC49" s="84"/>
      <c r="AD49" s="84"/>
      <c r="AE49" s="84"/>
      <c r="AF49" s="84"/>
      <c r="AG49" s="84"/>
      <c r="AH49" s="84"/>
      <c r="AI49" s="84"/>
      <c r="AJ49" s="84"/>
    </row>
    <row r="50" spans="1:36" ht="93" x14ac:dyDescent="0.25">
      <c r="A50" s="241" t="s">
        <v>246</v>
      </c>
      <c r="B50" s="241" t="s">
        <v>246</v>
      </c>
      <c r="C50" s="242" t="s">
        <v>556</v>
      </c>
      <c r="D50" s="246" t="s">
        <v>604</v>
      </c>
      <c r="E50" s="246" t="s">
        <v>606</v>
      </c>
      <c r="F50" s="245" t="s">
        <v>622</v>
      </c>
      <c r="G50" s="245" t="s">
        <v>34</v>
      </c>
      <c r="H50" s="245">
        <v>1</v>
      </c>
      <c r="I50" s="245"/>
      <c r="J50" s="377">
        <f>'INFORMATIVO 02 04 19'!D55</f>
        <v>187500</v>
      </c>
      <c r="K50" s="243">
        <v>1</v>
      </c>
      <c r="L50" s="243">
        <v>0</v>
      </c>
      <c r="M50" s="242">
        <v>2</v>
      </c>
      <c r="N50" s="242" t="s">
        <v>4</v>
      </c>
      <c r="O50" s="339">
        <v>43709</v>
      </c>
      <c r="P50" s="339">
        <v>43770</v>
      </c>
      <c r="Q50" s="55" t="s">
        <v>70</v>
      </c>
      <c r="R50" s="64"/>
      <c r="S50" s="64"/>
      <c r="T50" s="55" t="s">
        <v>1</v>
      </c>
      <c r="U50" s="192"/>
    </row>
    <row r="51" spans="1:36" s="93" customFormat="1" ht="23.25" x14ac:dyDescent="0.25">
      <c r="A51" s="237"/>
      <c r="B51" s="237"/>
      <c r="C51" s="279"/>
      <c r="D51" s="279"/>
      <c r="E51" s="279"/>
      <c r="F51" s="279"/>
      <c r="G51" s="279"/>
      <c r="H51" s="279"/>
      <c r="I51" s="279"/>
      <c r="J51" s="284"/>
      <c r="K51" s="285"/>
      <c r="L51" s="285"/>
      <c r="M51" s="283"/>
      <c r="N51" s="237"/>
      <c r="O51" s="237"/>
      <c r="P51" s="237"/>
      <c r="Q51" s="68"/>
      <c r="R51" s="133"/>
      <c r="S51" s="133"/>
      <c r="T51" s="68"/>
      <c r="U51" s="91"/>
    </row>
    <row r="52" spans="1:36" ht="40.5" customHeight="1" x14ac:dyDescent="0.25">
      <c r="A52" s="238">
        <v>4</v>
      </c>
      <c r="B52" s="238">
        <v>4</v>
      </c>
      <c r="C52" s="465" t="s">
        <v>607</v>
      </c>
      <c r="D52" s="466"/>
      <c r="E52" s="466"/>
      <c r="F52" s="466"/>
      <c r="G52" s="466"/>
      <c r="H52" s="466"/>
      <c r="I52" s="466"/>
      <c r="J52" s="239">
        <f>SUM(J53:J87)</f>
        <v>23594375.013333332</v>
      </c>
      <c r="K52" s="240"/>
      <c r="L52" s="240"/>
      <c r="M52" s="240"/>
      <c r="N52" s="240"/>
      <c r="O52" s="240"/>
      <c r="P52" s="240"/>
      <c r="Q52" s="47"/>
      <c r="R52" s="47"/>
      <c r="S52" s="47"/>
      <c r="T52" s="48"/>
      <c r="U52" s="91"/>
      <c r="V52" s="91"/>
      <c r="W52" s="91"/>
    </row>
    <row r="53" spans="1:36" s="368" customFormat="1" ht="109.5" customHeight="1" x14ac:dyDescent="0.25">
      <c r="A53" s="355" t="s">
        <v>548</v>
      </c>
      <c r="B53" s="355" t="s">
        <v>548</v>
      </c>
      <c r="C53" s="356" t="s">
        <v>556</v>
      </c>
      <c r="D53" s="358" t="s">
        <v>552</v>
      </c>
      <c r="E53" s="358" t="s">
        <v>158</v>
      </c>
      <c r="F53" s="358" t="s">
        <v>635</v>
      </c>
      <c r="G53" s="358" t="s">
        <v>41</v>
      </c>
      <c r="H53" s="358">
        <v>1</v>
      </c>
      <c r="I53" s="358"/>
      <c r="J53" s="383">
        <f>'[1]PEP US$'!$E$7+'[1]PEP US$'!$E$8-J96</f>
        <v>2167500</v>
      </c>
      <c r="K53" s="359">
        <v>1</v>
      </c>
      <c r="L53" s="359">
        <v>0</v>
      </c>
      <c r="M53" s="356">
        <v>1</v>
      </c>
      <c r="N53" s="356" t="s">
        <v>3</v>
      </c>
      <c r="O53" s="366" t="s">
        <v>232</v>
      </c>
      <c r="P53" s="366" t="s">
        <v>233</v>
      </c>
      <c r="Q53" s="361" t="s">
        <v>557</v>
      </c>
      <c r="R53" s="362"/>
      <c r="S53" s="362"/>
      <c r="T53" s="361" t="s">
        <v>1</v>
      </c>
      <c r="U53" s="367"/>
    </row>
    <row r="54" spans="1:36" s="368" customFormat="1" ht="109.5" customHeight="1" x14ac:dyDescent="0.25">
      <c r="A54" s="355" t="s">
        <v>549</v>
      </c>
      <c r="B54" s="355" t="s">
        <v>549</v>
      </c>
      <c r="C54" s="356" t="s">
        <v>556</v>
      </c>
      <c r="D54" s="358" t="s">
        <v>558</v>
      </c>
      <c r="E54" s="358" t="s">
        <v>164</v>
      </c>
      <c r="F54" s="358" t="s">
        <v>634</v>
      </c>
      <c r="G54" s="358" t="s">
        <v>41</v>
      </c>
      <c r="H54" s="358">
        <v>1</v>
      </c>
      <c r="I54" s="358"/>
      <c r="J54" s="383">
        <f>'[1]PEP US$'!$E$9</f>
        <v>846875</v>
      </c>
      <c r="K54" s="359">
        <v>1</v>
      </c>
      <c r="L54" s="359">
        <v>0</v>
      </c>
      <c r="M54" s="356">
        <v>1</v>
      </c>
      <c r="N54" s="356" t="s">
        <v>2</v>
      </c>
      <c r="O54" s="360">
        <v>43831</v>
      </c>
      <c r="P54" s="360">
        <v>43983</v>
      </c>
      <c r="Q54" s="361" t="s">
        <v>557</v>
      </c>
      <c r="R54" s="362"/>
      <c r="S54" s="362"/>
      <c r="T54" s="361" t="s">
        <v>1</v>
      </c>
      <c r="U54" s="367"/>
    </row>
    <row r="55" spans="1:36" s="368" customFormat="1" ht="109.5" customHeight="1" x14ac:dyDescent="0.25">
      <c r="A55" s="355" t="s">
        <v>550</v>
      </c>
      <c r="B55" s="355" t="s">
        <v>550</v>
      </c>
      <c r="C55" s="356" t="s">
        <v>556</v>
      </c>
      <c r="D55" s="358" t="s">
        <v>558</v>
      </c>
      <c r="E55" s="358" t="s">
        <v>180</v>
      </c>
      <c r="F55" s="358" t="s">
        <v>636</v>
      </c>
      <c r="G55" s="358" t="s">
        <v>41</v>
      </c>
      <c r="H55" s="358">
        <v>1</v>
      </c>
      <c r="I55" s="358"/>
      <c r="J55" s="383">
        <f>'[1]PEP US$'!$E$10-J97</f>
        <v>214375</v>
      </c>
      <c r="K55" s="359">
        <v>1</v>
      </c>
      <c r="L55" s="359">
        <v>0</v>
      </c>
      <c r="M55" s="356">
        <v>1</v>
      </c>
      <c r="N55" s="356" t="s">
        <v>2</v>
      </c>
      <c r="O55" s="360">
        <v>43831</v>
      </c>
      <c r="P55" s="360">
        <v>43983</v>
      </c>
      <c r="Q55" s="361" t="s">
        <v>557</v>
      </c>
      <c r="R55" s="362"/>
      <c r="S55" s="362"/>
      <c r="T55" s="361" t="s">
        <v>1</v>
      </c>
      <c r="U55" s="367"/>
    </row>
    <row r="56" spans="1:36" s="84" customFormat="1" ht="168.75" customHeight="1" x14ac:dyDescent="0.25">
      <c r="A56" s="355" t="s">
        <v>148</v>
      </c>
      <c r="B56" s="355" t="s">
        <v>148</v>
      </c>
      <c r="C56" s="356" t="s">
        <v>556</v>
      </c>
      <c r="D56" s="364" t="s">
        <v>216</v>
      </c>
      <c r="E56" s="364" t="s">
        <v>593</v>
      </c>
      <c r="F56" s="364" t="s">
        <v>637</v>
      </c>
      <c r="G56" s="358" t="s">
        <v>41</v>
      </c>
      <c r="H56" s="358">
        <v>1</v>
      </c>
      <c r="I56" s="358"/>
      <c r="J56" s="388">
        <f>'INFORMATIVO 02 04 19'!D14+'INFORMATIVO 02 04 19'!D17+'INFORMATIVO 02 04 19'!E16+'INFORMATIVO 02 04 19'!E18+'INFORMATIVO 02 04 19'!E20</f>
        <v>496875</v>
      </c>
      <c r="K56" s="359">
        <v>1</v>
      </c>
      <c r="L56" s="359">
        <v>0</v>
      </c>
      <c r="M56" s="356">
        <v>2</v>
      </c>
      <c r="N56" s="356" t="s">
        <v>2</v>
      </c>
      <c r="O56" s="360">
        <v>43831</v>
      </c>
      <c r="P56" s="360">
        <v>43983</v>
      </c>
      <c r="Q56" s="361"/>
      <c r="R56" s="362"/>
      <c r="S56" s="362"/>
      <c r="T56" s="361" t="s">
        <v>1</v>
      </c>
      <c r="U56" s="371"/>
    </row>
    <row r="57" spans="1:36" ht="99" customHeight="1" x14ac:dyDescent="0.25">
      <c r="A57" s="332" t="s">
        <v>165</v>
      </c>
      <c r="B57" s="332" t="s">
        <v>165</v>
      </c>
      <c r="C57" s="317" t="s">
        <v>556</v>
      </c>
      <c r="D57" s="336" t="s">
        <v>543</v>
      </c>
      <c r="E57" s="336" t="s">
        <v>542</v>
      </c>
      <c r="F57" s="336" t="s">
        <v>637</v>
      </c>
      <c r="G57" s="318" t="s">
        <v>77</v>
      </c>
      <c r="H57" s="318">
        <v>1</v>
      </c>
      <c r="I57" s="318"/>
      <c r="J57" s="389">
        <f>'INFORMATIVO 02 04 19'!D15</f>
        <v>15625</v>
      </c>
      <c r="K57" s="335">
        <v>1</v>
      </c>
      <c r="L57" s="335">
        <v>0</v>
      </c>
      <c r="M57" s="317">
        <v>2</v>
      </c>
      <c r="N57" s="317" t="s">
        <v>2</v>
      </c>
      <c r="O57" s="321">
        <v>43922</v>
      </c>
      <c r="P57" s="321">
        <v>44013</v>
      </c>
      <c r="Q57" s="320"/>
      <c r="R57" s="338"/>
      <c r="S57" s="338"/>
      <c r="T57" s="320" t="s">
        <v>1</v>
      </c>
      <c r="U57" s="91"/>
    </row>
    <row r="58" spans="1:36" ht="114" customHeight="1" x14ac:dyDescent="0.25">
      <c r="A58" s="332" t="s">
        <v>169</v>
      </c>
      <c r="B58" s="332" t="s">
        <v>169</v>
      </c>
      <c r="C58" s="317" t="s">
        <v>556</v>
      </c>
      <c r="D58" s="336" t="s">
        <v>222</v>
      </c>
      <c r="E58" s="336" t="s">
        <v>531</v>
      </c>
      <c r="F58" s="336" t="s">
        <v>637</v>
      </c>
      <c r="G58" s="318" t="s">
        <v>77</v>
      </c>
      <c r="H58" s="318">
        <v>1</v>
      </c>
      <c r="I58" s="318"/>
      <c r="J58" s="389">
        <f>'INFORMATIVO 02 04 19'!D19</f>
        <v>78125</v>
      </c>
      <c r="K58" s="335">
        <v>1</v>
      </c>
      <c r="L58" s="335">
        <v>0</v>
      </c>
      <c r="M58" s="317">
        <v>2</v>
      </c>
      <c r="N58" s="317" t="s">
        <v>2</v>
      </c>
      <c r="O58" s="321">
        <v>43831</v>
      </c>
      <c r="P58" s="321">
        <v>43922</v>
      </c>
      <c r="Q58" s="320"/>
      <c r="R58" s="338"/>
      <c r="S58" s="338"/>
      <c r="T58" s="320" t="s">
        <v>1</v>
      </c>
      <c r="U58" s="91" t="s">
        <v>544</v>
      </c>
    </row>
    <row r="59" spans="1:36" ht="99.75" customHeight="1" x14ac:dyDescent="0.25">
      <c r="A59" s="332" t="s">
        <v>171</v>
      </c>
      <c r="B59" s="332" t="s">
        <v>171</v>
      </c>
      <c r="C59" s="317" t="s">
        <v>556</v>
      </c>
      <c r="D59" s="336" t="s">
        <v>223</v>
      </c>
      <c r="E59" s="336" t="s">
        <v>189</v>
      </c>
      <c r="F59" s="336" t="s">
        <v>637</v>
      </c>
      <c r="G59" s="318" t="s">
        <v>77</v>
      </c>
      <c r="H59" s="318">
        <v>1</v>
      </c>
      <c r="I59" s="318"/>
      <c r="J59" s="389">
        <v>37500</v>
      </c>
      <c r="K59" s="335">
        <v>1</v>
      </c>
      <c r="L59" s="335">
        <v>0</v>
      </c>
      <c r="M59" s="317">
        <v>2</v>
      </c>
      <c r="N59" s="317" t="s">
        <v>2</v>
      </c>
      <c r="O59" s="321">
        <v>43831</v>
      </c>
      <c r="P59" s="321">
        <v>43922</v>
      </c>
      <c r="Q59" s="320"/>
      <c r="R59" s="338"/>
      <c r="S59" s="338"/>
      <c r="T59" s="320" t="s">
        <v>1</v>
      </c>
      <c r="U59" s="91"/>
    </row>
    <row r="60" spans="1:36" ht="111" customHeight="1" x14ac:dyDescent="0.25">
      <c r="A60" s="332" t="s">
        <v>172</v>
      </c>
      <c r="B60" s="332" t="s">
        <v>172</v>
      </c>
      <c r="C60" s="317" t="s">
        <v>556</v>
      </c>
      <c r="D60" s="336" t="s">
        <v>223</v>
      </c>
      <c r="E60" s="336" t="s">
        <v>608</v>
      </c>
      <c r="F60" s="336" t="s">
        <v>637</v>
      </c>
      <c r="G60" s="318" t="s">
        <v>77</v>
      </c>
      <c r="H60" s="318">
        <v>1</v>
      </c>
      <c r="I60" s="318"/>
      <c r="J60" s="389">
        <f>'INFORMATIVO 02 04 19'!D22</f>
        <v>37500</v>
      </c>
      <c r="K60" s="335">
        <v>1</v>
      </c>
      <c r="L60" s="335">
        <v>0</v>
      </c>
      <c r="M60" s="317">
        <v>2</v>
      </c>
      <c r="N60" s="317" t="s">
        <v>2</v>
      </c>
      <c r="O60" s="321">
        <v>43831</v>
      </c>
      <c r="P60" s="321">
        <v>43922</v>
      </c>
      <c r="Q60" s="320"/>
      <c r="R60" s="338"/>
      <c r="S60" s="338"/>
      <c r="T60" s="320" t="s">
        <v>1</v>
      </c>
      <c r="U60" s="91"/>
    </row>
    <row r="61" spans="1:36" ht="103.5" customHeight="1" x14ac:dyDescent="0.25">
      <c r="A61" s="332" t="s">
        <v>174</v>
      </c>
      <c r="B61" s="332" t="s">
        <v>174</v>
      </c>
      <c r="C61" s="317" t="s">
        <v>556</v>
      </c>
      <c r="D61" s="336" t="s">
        <v>384</v>
      </c>
      <c r="E61" s="336" t="s">
        <v>192</v>
      </c>
      <c r="F61" s="336" t="s">
        <v>637</v>
      </c>
      <c r="G61" s="318" t="s">
        <v>77</v>
      </c>
      <c r="H61" s="318">
        <v>1</v>
      </c>
      <c r="I61" s="318"/>
      <c r="J61" s="375">
        <f>'INFORMATIVO 02 04 19'!D24</f>
        <v>62500</v>
      </c>
      <c r="K61" s="335">
        <v>1</v>
      </c>
      <c r="L61" s="335">
        <v>0</v>
      </c>
      <c r="M61" s="317">
        <v>2</v>
      </c>
      <c r="N61" s="317" t="s">
        <v>2</v>
      </c>
      <c r="O61" s="321">
        <v>43831</v>
      </c>
      <c r="P61" s="321">
        <v>43922</v>
      </c>
      <c r="Q61" s="320"/>
      <c r="R61" s="338"/>
      <c r="S61" s="338"/>
      <c r="T61" s="320" t="s">
        <v>1</v>
      </c>
      <c r="U61" s="91" t="s">
        <v>592</v>
      </c>
    </row>
    <row r="62" spans="1:36" ht="120" customHeight="1" x14ac:dyDescent="0.25">
      <c r="A62" s="332" t="s">
        <v>179</v>
      </c>
      <c r="B62" s="332" t="s">
        <v>179</v>
      </c>
      <c r="C62" s="317" t="s">
        <v>556</v>
      </c>
      <c r="D62" s="336" t="s">
        <v>388</v>
      </c>
      <c r="E62" s="336" t="s">
        <v>285</v>
      </c>
      <c r="F62" s="318" t="s">
        <v>638</v>
      </c>
      <c r="G62" s="318" t="s">
        <v>41</v>
      </c>
      <c r="H62" s="318">
        <v>1</v>
      </c>
      <c r="I62" s="318"/>
      <c r="J62" s="377">
        <f>'INFORMATIVO 02 04 19'!E78</f>
        <v>2714583.333333333</v>
      </c>
      <c r="K62" s="335">
        <v>1</v>
      </c>
      <c r="L62" s="335">
        <v>0</v>
      </c>
      <c r="M62" s="317">
        <v>2</v>
      </c>
      <c r="N62" s="317" t="s">
        <v>3</v>
      </c>
      <c r="O62" s="321">
        <v>43647</v>
      </c>
      <c r="P62" s="321">
        <v>43800</v>
      </c>
      <c r="Q62" s="320"/>
      <c r="R62" s="338"/>
      <c r="S62" s="338"/>
      <c r="T62" s="320" t="s">
        <v>1</v>
      </c>
      <c r="U62" s="91"/>
    </row>
    <row r="63" spans="1:36" ht="220.5" customHeight="1" x14ac:dyDescent="0.25">
      <c r="A63" s="332" t="s">
        <v>241</v>
      </c>
      <c r="B63" s="332" t="s">
        <v>241</v>
      </c>
      <c r="C63" s="317" t="s">
        <v>556</v>
      </c>
      <c r="D63" s="336" t="s">
        <v>387</v>
      </c>
      <c r="E63" s="336" t="s">
        <v>289</v>
      </c>
      <c r="F63" s="318" t="s">
        <v>639</v>
      </c>
      <c r="G63" s="318" t="s">
        <v>41</v>
      </c>
      <c r="H63" s="318">
        <v>1</v>
      </c>
      <c r="I63" s="318"/>
      <c r="J63" s="377">
        <f>'[3]PEP US$'!$E$61</f>
        <v>656250</v>
      </c>
      <c r="K63" s="335">
        <v>1</v>
      </c>
      <c r="L63" s="335">
        <v>0</v>
      </c>
      <c r="M63" s="317">
        <v>2</v>
      </c>
      <c r="N63" s="317" t="s">
        <v>2</v>
      </c>
      <c r="O63" s="319" t="s">
        <v>515</v>
      </c>
      <c r="P63" s="319" t="s">
        <v>610</v>
      </c>
      <c r="Q63" s="320"/>
      <c r="R63" s="338"/>
      <c r="S63" s="338"/>
      <c r="T63" s="320" t="s">
        <v>1</v>
      </c>
      <c r="U63" s="91"/>
    </row>
    <row r="64" spans="1:36" ht="139.5" x14ac:dyDescent="0.25">
      <c r="A64" s="332" t="s">
        <v>432</v>
      </c>
      <c r="B64" s="332" t="s">
        <v>432</v>
      </c>
      <c r="C64" s="317" t="s">
        <v>556</v>
      </c>
      <c r="D64" s="336" t="s">
        <v>609</v>
      </c>
      <c r="E64" s="336" t="s">
        <v>609</v>
      </c>
      <c r="F64" s="343" t="s">
        <v>640</v>
      </c>
      <c r="G64" s="343" t="s">
        <v>77</v>
      </c>
      <c r="H64" s="343">
        <v>1</v>
      </c>
      <c r="I64" s="343"/>
      <c r="J64" s="377">
        <f>'INFORMATIVO 02 04 19'!D106+'INFORMATIVO 02 04 19'!D108</f>
        <v>75000</v>
      </c>
      <c r="K64" s="344">
        <v>1</v>
      </c>
      <c r="L64" s="344">
        <v>0</v>
      </c>
      <c r="M64" s="345">
        <v>2</v>
      </c>
      <c r="N64" s="317" t="s">
        <v>2</v>
      </c>
      <c r="O64" s="319" t="s">
        <v>512</v>
      </c>
      <c r="P64" s="319" t="s">
        <v>513</v>
      </c>
      <c r="Q64" s="346"/>
      <c r="R64" s="347"/>
      <c r="S64" s="347"/>
      <c r="T64" s="320" t="s">
        <v>1</v>
      </c>
      <c r="U64" s="91" t="s">
        <v>592</v>
      </c>
    </row>
    <row r="65" spans="1:21" ht="115.5" customHeight="1" x14ac:dyDescent="0.25">
      <c r="A65" s="332" t="s">
        <v>404</v>
      </c>
      <c r="B65" s="332" t="s">
        <v>404</v>
      </c>
      <c r="C65" s="317" t="s">
        <v>556</v>
      </c>
      <c r="D65" s="336" t="s">
        <v>389</v>
      </c>
      <c r="E65" s="336" t="s">
        <v>291</v>
      </c>
      <c r="F65" s="343" t="s">
        <v>640</v>
      </c>
      <c r="G65" s="318" t="s">
        <v>77</v>
      </c>
      <c r="H65" s="318">
        <v>1</v>
      </c>
      <c r="I65" s="318"/>
      <c r="J65" s="377">
        <f>'INFORMATIVO 02 04 19'!D107</f>
        <v>68750</v>
      </c>
      <c r="K65" s="335">
        <v>1</v>
      </c>
      <c r="L65" s="335">
        <v>0</v>
      </c>
      <c r="M65" s="317">
        <v>2</v>
      </c>
      <c r="N65" s="317" t="s">
        <v>2</v>
      </c>
      <c r="O65" s="319" t="s">
        <v>512</v>
      </c>
      <c r="P65" s="319" t="s">
        <v>513</v>
      </c>
      <c r="Q65" s="320"/>
      <c r="R65" s="338"/>
      <c r="S65" s="338"/>
      <c r="T65" s="320" t="s">
        <v>1</v>
      </c>
      <c r="U65" s="91" t="s">
        <v>592</v>
      </c>
    </row>
    <row r="66" spans="1:21" ht="120.75" customHeight="1" x14ac:dyDescent="0.25">
      <c r="A66" s="332" t="s">
        <v>436</v>
      </c>
      <c r="B66" s="332" t="s">
        <v>436</v>
      </c>
      <c r="C66" s="317" t="s">
        <v>556</v>
      </c>
      <c r="D66" s="336" t="s">
        <v>437</v>
      </c>
      <c r="E66" s="336" t="s">
        <v>536</v>
      </c>
      <c r="F66" s="343" t="s">
        <v>627</v>
      </c>
      <c r="G66" s="343" t="s">
        <v>77</v>
      </c>
      <c r="H66" s="343">
        <v>1</v>
      </c>
      <c r="I66" s="343"/>
      <c r="J66" s="396">
        <f>'INFORMATIVO 02 04 19'!D41</f>
        <v>16666.669999999998</v>
      </c>
      <c r="K66" s="344">
        <v>1</v>
      </c>
      <c r="L66" s="344">
        <v>0</v>
      </c>
      <c r="M66" s="345">
        <v>2</v>
      </c>
      <c r="N66" s="317" t="s">
        <v>2</v>
      </c>
      <c r="O66" s="321">
        <v>43831</v>
      </c>
      <c r="P66" s="321">
        <v>43922</v>
      </c>
      <c r="Q66" s="346"/>
      <c r="R66" s="347"/>
      <c r="S66" s="347"/>
      <c r="T66" s="320" t="s">
        <v>1</v>
      </c>
      <c r="U66" s="91" t="s">
        <v>592</v>
      </c>
    </row>
    <row r="67" spans="1:21" s="288" customFormat="1" ht="93" x14ac:dyDescent="0.25">
      <c r="A67" s="241" t="s">
        <v>439</v>
      </c>
      <c r="B67" s="241" t="s">
        <v>439</v>
      </c>
      <c r="C67" s="242" t="s">
        <v>556</v>
      </c>
      <c r="D67" s="246" t="s">
        <v>440</v>
      </c>
      <c r="E67" s="246" t="s">
        <v>440</v>
      </c>
      <c r="F67" s="372" t="s">
        <v>627</v>
      </c>
      <c r="G67" s="372" t="s">
        <v>77</v>
      </c>
      <c r="H67" s="372">
        <v>1</v>
      </c>
      <c r="I67" s="372"/>
      <c r="J67" s="396">
        <f>'INFORMATIVO 02 04 19'!D42</f>
        <v>16666.669999999998</v>
      </c>
      <c r="K67" s="373">
        <v>1</v>
      </c>
      <c r="L67" s="373">
        <v>0</v>
      </c>
      <c r="M67" s="374">
        <v>2</v>
      </c>
      <c r="N67" s="242" t="s">
        <v>2</v>
      </c>
      <c r="O67" s="339">
        <v>43831</v>
      </c>
      <c r="P67" s="339">
        <v>43922</v>
      </c>
      <c r="Q67" s="195"/>
      <c r="R67" s="197"/>
      <c r="S67" s="197"/>
      <c r="T67" s="55" t="s">
        <v>1</v>
      </c>
      <c r="U67" s="91" t="s">
        <v>592</v>
      </c>
    </row>
    <row r="68" spans="1:21" ht="93" x14ac:dyDescent="0.25">
      <c r="A68" s="241" t="s">
        <v>441</v>
      </c>
      <c r="B68" s="241" t="s">
        <v>441</v>
      </c>
      <c r="C68" s="242" t="s">
        <v>556</v>
      </c>
      <c r="D68" s="246" t="s">
        <v>442</v>
      </c>
      <c r="E68" s="246" t="s">
        <v>442</v>
      </c>
      <c r="F68" s="372" t="s">
        <v>627</v>
      </c>
      <c r="G68" s="372" t="s">
        <v>77</v>
      </c>
      <c r="H68" s="372">
        <v>1</v>
      </c>
      <c r="I68" s="372"/>
      <c r="J68" s="396">
        <f>'INFORMATIVO 02 04 19'!D43</f>
        <v>16666.669999999998</v>
      </c>
      <c r="K68" s="373">
        <v>1</v>
      </c>
      <c r="L68" s="373">
        <v>0</v>
      </c>
      <c r="M68" s="374">
        <v>2</v>
      </c>
      <c r="N68" s="242" t="s">
        <v>2</v>
      </c>
      <c r="O68" s="339">
        <v>43831</v>
      </c>
      <c r="P68" s="339">
        <v>43922</v>
      </c>
      <c r="Q68" s="195"/>
      <c r="R68" s="197"/>
      <c r="S68" s="197"/>
      <c r="T68" s="55" t="s">
        <v>1</v>
      </c>
      <c r="U68" s="91" t="s">
        <v>592</v>
      </c>
    </row>
    <row r="69" spans="1:21" ht="105.75" customHeight="1" x14ac:dyDescent="0.25">
      <c r="A69" s="241" t="s">
        <v>443</v>
      </c>
      <c r="B69" s="241" t="s">
        <v>443</v>
      </c>
      <c r="C69" s="242" t="s">
        <v>556</v>
      </c>
      <c r="D69" s="246" t="s">
        <v>444</v>
      </c>
      <c r="E69" s="246" t="s">
        <v>445</v>
      </c>
      <c r="F69" s="372" t="s">
        <v>627</v>
      </c>
      <c r="G69" s="372" t="s">
        <v>77</v>
      </c>
      <c r="H69" s="372">
        <v>1</v>
      </c>
      <c r="I69" s="372"/>
      <c r="J69" s="396">
        <f>'INFORMATIVO 02 04 19'!D44</f>
        <v>16666.669999999998</v>
      </c>
      <c r="K69" s="373">
        <v>1</v>
      </c>
      <c r="L69" s="373">
        <v>0</v>
      </c>
      <c r="M69" s="374">
        <v>2</v>
      </c>
      <c r="N69" s="242" t="s">
        <v>2</v>
      </c>
      <c r="O69" s="339">
        <v>43831</v>
      </c>
      <c r="P69" s="339">
        <v>43922</v>
      </c>
      <c r="Q69" s="195"/>
      <c r="R69" s="197"/>
      <c r="S69" s="197"/>
      <c r="T69" s="55" t="s">
        <v>1</v>
      </c>
      <c r="U69" s="91" t="s">
        <v>592</v>
      </c>
    </row>
    <row r="70" spans="1:21" ht="99.75" customHeight="1" x14ac:dyDescent="0.25">
      <c r="A70" s="241" t="s">
        <v>242</v>
      </c>
      <c r="B70" s="241" t="s">
        <v>242</v>
      </c>
      <c r="C70" s="242" t="s">
        <v>556</v>
      </c>
      <c r="D70" s="348" t="s">
        <v>390</v>
      </c>
      <c r="E70" s="348" t="s">
        <v>296</v>
      </c>
      <c r="F70" s="245" t="s">
        <v>628</v>
      </c>
      <c r="G70" s="245" t="s">
        <v>77</v>
      </c>
      <c r="H70" s="245">
        <v>1</v>
      </c>
      <c r="I70" s="245"/>
      <c r="J70" s="377">
        <f>'INFORMATIVO 02 04 19'!C83</f>
        <v>140625</v>
      </c>
      <c r="K70" s="243">
        <v>1</v>
      </c>
      <c r="L70" s="243">
        <v>0</v>
      </c>
      <c r="M70" s="242">
        <v>2</v>
      </c>
      <c r="N70" s="242" t="s">
        <v>2</v>
      </c>
      <c r="O70" s="339">
        <v>44136</v>
      </c>
      <c r="P70" s="339">
        <v>44228</v>
      </c>
      <c r="Q70" s="55"/>
      <c r="R70" s="64"/>
      <c r="S70" s="64"/>
      <c r="T70" s="55" t="s">
        <v>1</v>
      </c>
      <c r="U70" s="91"/>
    </row>
    <row r="71" spans="1:21" ht="121.5" customHeight="1" x14ac:dyDescent="0.25">
      <c r="A71" s="241" t="s">
        <v>243</v>
      </c>
      <c r="B71" s="241" t="s">
        <v>243</v>
      </c>
      <c r="C71" s="242" t="s">
        <v>556</v>
      </c>
      <c r="D71" s="348" t="s">
        <v>391</v>
      </c>
      <c r="E71" s="348" t="s">
        <v>298</v>
      </c>
      <c r="F71" s="372" t="s">
        <v>641</v>
      </c>
      <c r="G71" s="245" t="s">
        <v>41</v>
      </c>
      <c r="H71" s="372">
        <v>1</v>
      </c>
      <c r="I71" s="372"/>
      <c r="J71" s="377">
        <f>'INFORMATIVO 02 04 19'!D35</f>
        <v>625000</v>
      </c>
      <c r="K71" s="373">
        <v>1</v>
      </c>
      <c r="L71" s="373">
        <v>0</v>
      </c>
      <c r="M71" s="374">
        <v>2</v>
      </c>
      <c r="N71" s="242" t="s">
        <v>2</v>
      </c>
      <c r="O71" s="339">
        <v>44440</v>
      </c>
      <c r="P71" s="339">
        <v>44593</v>
      </c>
      <c r="Q71" s="195"/>
      <c r="R71" s="197"/>
      <c r="S71" s="197"/>
      <c r="T71" s="55" t="s">
        <v>1</v>
      </c>
      <c r="U71" s="175" t="s">
        <v>545</v>
      </c>
    </row>
    <row r="72" spans="1:21" s="331" customFormat="1" ht="106.5" customHeight="1" x14ac:dyDescent="0.25">
      <c r="A72" s="241" t="s">
        <v>244</v>
      </c>
      <c r="B72" s="241" t="s">
        <v>244</v>
      </c>
      <c r="C72" s="242" t="s">
        <v>556</v>
      </c>
      <c r="D72" s="348" t="s">
        <v>392</v>
      </c>
      <c r="E72" s="348" t="s">
        <v>300</v>
      </c>
      <c r="F72" s="245" t="s">
        <v>642</v>
      </c>
      <c r="G72" s="245" t="s">
        <v>77</v>
      </c>
      <c r="H72" s="245">
        <v>1</v>
      </c>
      <c r="I72" s="245"/>
      <c r="J72" s="377">
        <f>'INFORMATIVO 02 04 19'!E49</f>
        <v>93750</v>
      </c>
      <c r="K72" s="243">
        <v>1</v>
      </c>
      <c r="L72" s="243">
        <v>0</v>
      </c>
      <c r="M72" s="242">
        <v>2</v>
      </c>
      <c r="N72" s="242" t="s">
        <v>3</v>
      </c>
      <c r="O72" s="339">
        <v>43647</v>
      </c>
      <c r="P72" s="339">
        <v>43739</v>
      </c>
      <c r="Q72" s="55"/>
      <c r="R72" s="64"/>
      <c r="S72" s="64"/>
      <c r="T72" s="55" t="s">
        <v>1</v>
      </c>
      <c r="U72" s="330" t="s">
        <v>594</v>
      </c>
    </row>
    <row r="73" spans="1:21" ht="162.75" x14ac:dyDescent="0.25">
      <c r="A73" s="332" t="s">
        <v>247</v>
      </c>
      <c r="B73" s="332" t="s">
        <v>247</v>
      </c>
      <c r="C73" s="317" t="s">
        <v>556</v>
      </c>
      <c r="D73" s="318" t="s">
        <v>395</v>
      </c>
      <c r="E73" s="318" t="s">
        <v>308</v>
      </c>
      <c r="F73" s="336" t="s">
        <v>637</v>
      </c>
      <c r="G73" s="318" t="s">
        <v>77</v>
      </c>
      <c r="H73" s="318">
        <v>1</v>
      </c>
      <c r="I73" s="318"/>
      <c r="J73" s="377">
        <f>'INFORMATIVO 02 04 19'!D27</f>
        <v>153125</v>
      </c>
      <c r="K73" s="335">
        <v>1</v>
      </c>
      <c r="L73" s="335">
        <v>0</v>
      </c>
      <c r="M73" s="317">
        <v>2</v>
      </c>
      <c r="N73" s="317" t="s">
        <v>2</v>
      </c>
      <c r="O73" s="321">
        <v>43770</v>
      </c>
      <c r="P73" s="321">
        <v>43862</v>
      </c>
      <c r="Q73" s="320"/>
      <c r="R73" s="338"/>
      <c r="S73" s="338"/>
      <c r="T73" s="320" t="s">
        <v>1</v>
      </c>
      <c r="U73" s="91" t="s">
        <v>546</v>
      </c>
    </row>
    <row r="74" spans="1:21" s="288" customFormat="1" ht="118.5" customHeight="1" x14ac:dyDescent="0.25">
      <c r="A74" s="241" t="s">
        <v>535</v>
      </c>
      <c r="B74" s="241" t="s">
        <v>535</v>
      </c>
      <c r="C74" s="242" t="s">
        <v>556</v>
      </c>
      <c r="D74" s="387" t="s">
        <v>396</v>
      </c>
      <c r="E74" s="348" t="s">
        <v>322</v>
      </c>
      <c r="F74" s="245" t="s">
        <v>629</v>
      </c>
      <c r="G74" s="245" t="s">
        <v>77</v>
      </c>
      <c r="H74" s="245">
        <v>1</v>
      </c>
      <c r="I74" s="245"/>
      <c r="J74" s="377">
        <f>'INFORMATIVO 02 04 19'!C89</f>
        <v>109375</v>
      </c>
      <c r="K74" s="243">
        <v>1</v>
      </c>
      <c r="L74" s="243">
        <v>0</v>
      </c>
      <c r="M74" s="242">
        <v>2</v>
      </c>
      <c r="N74" s="242" t="s">
        <v>2</v>
      </c>
      <c r="O74" s="339">
        <v>43678</v>
      </c>
      <c r="P74" s="339">
        <v>43770</v>
      </c>
      <c r="Q74" s="55"/>
      <c r="R74" s="64"/>
      <c r="S74" s="64"/>
      <c r="T74" s="55" t="s">
        <v>1</v>
      </c>
      <c r="U74" s="287"/>
    </row>
    <row r="75" spans="1:21" s="368" customFormat="1" ht="68.25" customHeight="1" x14ac:dyDescent="0.25">
      <c r="A75" s="355" t="s">
        <v>248</v>
      </c>
      <c r="B75" s="355" t="s">
        <v>248</v>
      </c>
      <c r="C75" s="356" t="s">
        <v>556</v>
      </c>
      <c r="D75" s="358" t="s">
        <v>532</v>
      </c>
      <c r="E75" s="358" t="s">
        <v>581</v>
      </c>
      <c r="F75" s="358" t="s">
        <v>340</v>
      </c>
      <c r="G75" s="358" t="s">
        <v>41</v>
      </c>
      <c r="H75" s="358">
        <v>1</v>
      </c>
      <c r="I75" s="358"/>
      <c r="J75" s="376">
        <f>'[1]PEP US$'!$E$70</f>
        <v>4450000</v>
      </c>
      <c r="K75" s="359">
        <v>1</v>
      </c>
      <c r="L75" s="359">
        <v>0</v>
      </c>
      <c r="M75" s="356" t="s">
        <v>335</v>
      </c>
      <c r="N75" s="356" t="s">
        <v>3</v>
      </c>
      <c r="O75" s="366" t="s">
        <v>650</v>
      </c>
      <c r="P75" s="360">
        <v>43709</v>
      </c>
      <c r="Q75" s="361"/>
      <c r="R75" s="362"/>
      <c r="S75" s="362"/>
      <c r="T75" s="361" t="s">
        <v>1</v>
      </c>
      <c r="U75" s="367"/>
    </row>
    <row r="76" spans="1:21" s="368" customFormat="1" ht="79.5" customHeight="1" x14ac:dyDescent="0.25">
      <c r="A76" s="355" t="s">
        <v>249</v>
      </c>
      <c r="B76" s="355" t="s">
        <v>249</v>
      </c>
      <c r="C76" s="356" t="s">
        <v>556</v>
      </c>
      <c r="D76" s="358" t="s">
        <v>533</v>
      </c>
      <c r="E76" s="358" t="s">
        <v>581</v>
      </c>
      <c r="F76" s="358" t="s">
        <v>340</v>
      </c>
      <c r="G76" s="358" t="s">
        <v>34</v>
      </c>
      <c r="H76" s="358">
        <v>1</v>
      </c>
      <c r="I76" s="358"/>
      <c r="J76" s="376">
        <f>'[1]PEP US$'!$E$71-J106</f>
        <v>500000</v>
      </c>
      <c r="K76" s="359">
        <v>1</v>
      </c>
      <c r="L76" s="359">
        <v>0</v>
      </c>
      <c r="M76" s="356" t="s">
        <v>335</v>
      </c>
      <c r="N76" s="356" t="s">
        <v>4</v>
      </c>
      <c r="O76" s="366" t="s">
        <v>650</v>
      </c>
      <c r="P76" s="360">
        <v>43617</v>
      </c>
      <c r="Q76" s="361"/>
      <c r="R76" s="362"/>
      <c r="S76" s="362"/>
      <c r="T76" s="361" t="s">
        <v>1</v>
      </c>
      <c r="U76" s="367"/>
    </row>
    <row r="77" spans="1:21" s="368" customFormat="1" ht="84.75" customHeight="1" x14ac:dyDescent="0.25">
      <c r="A77" s="355" t="s">
        <v>250</v>
      </c>
      <c r="B77" s="355" t="s">
        <v>250</v>
      </c>
      <c r="C77" s="356" t="s">
        <v>556</v>
      </c>
      <c r="D77" s="358" t="s">
        <v>351</v>
      </c>
      <c r="E77" s="358" t="s">
        <v>344</v>
      </c>
      <c r="F77" s="358" t="s">
        <v>340</v>
      </c>
      <c r="G77" s="358" t="s">
        <v>41</v>
      </c>
      <c r="H77" s="358">
        <v>1</v>
      </c>
      <c r="I77" s="358"/>
      <c r="J77" s="376">
        <f>'[1]PEP US$'!$E$74</f>
        <v>1812500</v>
      </c>
      <c r="K77" s="359">
        <v>1</v>
      </c>
      <c r="L77" s="359">
        <v>0</v>
      </c>
      <c r="M77" s="356" t="s">
        <v>335</v>
      </c>
      <c r="N77" s="356" t="s">
        <v>3</v>
      </c>
      <c r="O77" s="366" t="s">
        <v>234</v>
      </c>
      <c r="P77" s="366" t="s">
        <v>446</v>
      </c>
      <c r="Q77" s="361" t="s">
        <v>557</v>
      </c>
      <c r="R77" s="362"/>
      <c r="S77" s="362"/>
      <c r="T77" s="361" t="s">
        <v>1</v>
      </c>
      <c r="U77" s="367"/>
    </row>
    <row r="78" spans="1:21" s="84" customFormat="1" ht="102" customHeight="1" x14ac:dyDescent="0.25">
      <c r="A78" s="355" t="s">
        <v>251</v>
      </c>
      <c r="B78" s="355" t="s">
        <v>251</v>
      </c>
      <c r="C78" s="356" t="s">
        <v>556</v>
      </c>
      <c r="D78" s="358" t="s">
        <v>352</v>
      </c>
      <c r="E78" s="358" t="s">
        <v>345</v>
      </c>
      <c r="F78" s="358" t="s">
        <v>340</v>
      </c>
      <c r="G78" s="358" t="s">
        <v>41</v>
      </c>
      <c r="H78" s="358">
        <v>1</v>
      </c>
      <c r="I78" s="358"/>
      <c r="J78" s="376">
        <f>'[3]PEP US$'!$C$75+'[3]PEP US$'!$C$76</f>
        <v>468750</v>
      </c>
      <c r="K78" s="359">
        <v>1</v>
      </c>
      <c r="L78" s="359">
        <v>0</v>
      </c>
      <c r="M78" s="356" t="s">
        <v>335</v>
      </c>
      <c r="N78" s="356" t="s">
        <v>2</v>
      </c>
      <c r="O78" s="366" t="s">
        <v>234</v>
      </c>
      <c r="P78" s="366" t="s">
        <v>446</v>
      </c>
      <c r="Q78" s="361" t="s">
        <v>557</v>
      </c>
      <c r="R78" s="362"/>
      <c r="S78" s="362"/>
      <c r="T78" s="361" t="s">
        <v>1</v>
      </c>
      <c r="U78" s="371"/>
    </row>
    <row r="79" spans="1:21" s="368" customFormat="1" ht="102.75" customHeight="1" x14ac:dyDescent="0.25">
      <c r="A79" s="355" t="s">
        <v>252</v>
      </c>
      <c r="B79" s="355" t="s">
        <v>252</v>
      </c>
      <c r="C79" s="356" t="s">
        <v>556</v>
      </c>
      <c r="D79" s="358" t="s">
        <v>519</v>
      </c>
      <c r="E79" s="358" t="s">
        <v>570</v>
      </c>
      <c r="F79" s="358" t="s">
        <v>631</v>
      </c>
      <c r="G79" s="358" t="s">
        <v>41</v>
      </c>
      <c r="H79" s="358">
        <v>1</v>
      </c>
      <c r="I79" s="358"/>
      <c r="J79" s="376">
        <f>'[2]PEP US$'!$E$47</f>
        <v>1562500</v>
      </c>
      <c r="K79" s="359">
        <v>1</v>
      </c>
      <c r="L79" s="359">
        <v>0</v>
      </c>
      <c r="M79" s="356">
        <v>1</v>
      </c>
      <c r="N79" s="356" t="s">
        <v>3</v>
      </c>
      <c r="O79" s="366" t="s">
        <v>232</v>
      </c>
      <c r="P79" s="366" t="s">
        <v>233</v>
      </c>
      <c r="Q79" s="361" t="s">
        <v>557</v>
      </c>
      <c r="R79" s="362"/>
      <c r="S79" s="362"/>
      <c r="T79" s="361" t="s">
        <v>1</v>
      </c>
      <c r="U79" s="367"/>
    </row>
    <row r="80" spans="1:21" s="368" customFormat="1" ht="88.5" customHeight="1" x14ac:dyDescent="0.25">
      <c r="A80" s="355" t="s">
        <v>405</v>
      </c>
      <c r="B80" s="355" t="s">
        <v>405</v>
      </c>
      <c r="C80" s="356" t="s">
        <v>556</v>
      </c>
      <c r="D80" s="358" t="s">
        <v>377</v>
      </c>
      <c r="E80" s="358" t="s">
        <v>520</v>
      </c>
      <c r="F80" s="358" t="s">
        <v>631</v>
      </c>
      <c r="G80" s="358" t="s">
        <v>41</v>
      </c>
      <c r="H80" s="358">
        <v>1</v>
      </c>
      <c r="I80" s="358"/>
      <c r="J80" s="376">
        <f>'[1]PEP US$'!$E$48</f>
        <v>1562500</v>
      </c>
      <c r="K80" s="359">
        <v>1</v>
      </c>
      <c r="L80" s="359">
        <v>0</v>
      </c>
      <c r="M80" s="356">
        <v>1</v>
      </c>
      <c r="N80" s="356" t="s">
        <v>3</v>
      </c>
      <c r="O80" s="366" t="s">
        <v>328</v>
      </c>
      <c r="P80" s="366" t="s">
        <v>534</v>
      </c>
      <c r="Q80" s="361" t="s">
        <v>557</v>
      </c>
      <c r="R80" s="362"/>
      <c r="S80" s="362"/>
      <c r="T80" s="361" t="s">
        <v>1</v>
      </c>
      <c r="U80" s="367"/>
    </row>
    <row r="81" spans="1:23" s="368" customFormat="1" ht="88.5" customHeight="1" x14ac:dyDescent="0.25">
      <c r="A81" s="355" t="s">
        <v>253</v>
      </c>
      <c r="B81" s="355" t="s">
        <v>253</v>
      </c>
      <c r="C81" s="356" t="s">
        <v>556</v>
      </c>
      <c r="D81" s="358" t="s">
        <v>377</v>
      </c>
      <c r="E81" s="358" t="s">
        <v>355</v>
      </c>
      <c r="F81" s="358" t="s">
        <v>631</v>
      </c>
      <c r="G81" s="358" t="s">
        <v>41</v>
      </c>
      <c r="H81" s="358">
        <v>1</v>
      </c>
      <c r="I81" s="358"/>
      <c r="J81" s="376">
        <f>'[1]PEP US$'!$E$46</f>
        <v>1250000</v>
      </c>
      <c r="K81" s="359">
        <v>1</v>
      </c>
      <c r="L81" s="359">
        <v>0</v>
      </c>
      <c r="M81" s="356">
        <v>1</v>
      </c>
      <c r="N81" s="356" t="s">
        <v>3</v>
      </c>
      <c r="O81" s="366" t="s">
        <v>329</v>
      </c>
      <c r="P81" s="366" t="s">
        <v>234</v>
      </c>
      <c r="Q81" s="361" t="s">
        <v>557</v>
      </c>
      <c r="R81" s="362"/>
      <c r="S81" s="362"/>
      <c r="T81" s="361" t="s">
        <v>1</v>
      </c>
      <c r="U81" s="367"/>
    </row>
    <row r="82" spans="1:23" s="368" customFormat="1" ht="100.5" customHeight="1" x14ac:dyDescent="0.25">
      <c r="A82" s="355" t="s">
        <v>255</v>
      </c>
      <c r="B82" s="355" t="s">
        <v>255</v>
      </c>
      <c r="C82" s="356" t="s">
        <v>556</v>
      </c>
      <c r="D82" s="358" t="s">
        <v>357</v>
      </c>
      <c r="E82" s="358" t="s">
        <v>516</v>
      </c>
      <c r="F82" s="358" t="s">
        <v>631</v>
      </c>
      <c r="G82" s="358" t="s">
        <v>78</v>
      </c>
      <c r="H82" s="358">
        <v>1</v>
      </c>
      <c r="I82" s="358"/>
      <c r="J82" s="376">
        <f>'[3]PEP US$'!$E$49-J46</f>
        <v>687500</v>
      </c>
      <c r="K82" s="359">
        <v>1</v>
      </c>
      <c r="L82" s="359">
        <v>0</v>
      </c>
      <c r="M82" s="356">
        <v>1</v>
      </c>
      <c r="N82" s="356" t="s">
        <v>3</v>
      </c>
      <c r="O82" s="366" t="s">
        <v>232</v>
      </c>
      <c r="P82" s="366" t="s">
        <v>233</v>
      </c>
      <c r="Q82" s="361" t="s">
        <v>557</v>
      </c>
      <c r="R82" s="362"/>
      <c r="S82" s="362"/>
      <c r="T82" s="361" t="s">
        <v>1</v>
      </c>
      <c r="U82" s="367"/>
    </row>
    <row r="83" spans="1:23" s="368" customFormat="1" ht="124.5" customHeight="1" x14ac:dyDescent="0.25">
      <c r="A83" s="355" t="s">
        <v>254</v>
      </c>
      <c r="B83" s="355" t="s">
        <v>254</v>
      </c>
      <c r="C83" s="356" t="s">
        <v>556</v>
      </c>
      <c r="D83" s="358" t="s">
        <v>498</v>
      </c>
      <c r="E83" s="358" t="s">
        <v>500</v>
      </c>
      <c r="F83" s="358" t="s">
        <v>340</v>
      </c>
      <c r="G83" s="358" t="s">
        <v>41</v>
      </c>
      <c r="H83" s="358">
        <v>1</v>
      </c>
      <c r="I83" s="358"/>
      <c r="J83" s="376">
        <f>'[3]PEP US$'!$E$78+'[3]PEP US$'!$E$79+'[3]PEP US$'!$E$80</f>
        <v>1200000</v>
      </c>
      <c r="K83" s="359">
        <v>1</v>
      </c>
      <c r="L83" s="359">
        <v>0</v>
      </c>
      <c r="M83" s="356" t="s">
        <v>335</v>
      </c>
      <c r="N83" s="356" t="s">
        <v>3</v>
      </c>
      <c r="O83" s="366" t="s">
        <v>514</v>
      </c>
      <c r="P83" s="366" t="s">
        <v>327</v>
      </c>
      <c r="Q83" s="361" t="s">
        <v>557</v>
      </c>
      <c r="R83" s="362"/>
      <c r="S83" s="362"/>
      <c r="T83" s="361" t="s">
        <v>1</v>
      </c>
      <c r="U83" s="367" t="s">
        <v>547</v>
      </c>
    </row>
    <row r="84" spans="1:23" s="368" customFormat="1" ht="107.25" customHeight="1" x14ac:dyDescent="0.25">
      <c r="A84" s="355" t="s">
        <v>255</v>
      </c>
      <c r="B84" s="355" t="s">
        <v>255</v>
      </c>
      <c r="C84" s="356" t="s">
        <v>556</v>
      </c>
      <c r="D84" s="358" t="s">
        <v>376</v>
      </c>
      <c r="E84" s="358" t="s">
        <v>360</v>
      </c>
      <c r="F84" s="358" t="s">
        <v>340</v>
      </c>
      <c r="G84" s="358" t="s">
        <v>41</v>
      </c>
      <c r="H84" s="358">
        <v>1</v>
      </c>
      <c r="I84" s="358"/>
      <c r="J84" s="376">
        <f>'[3]PEP US$'!$E$82+'[3]PEP US$'!$E$81</f>
        <v>712500</v>
      </c>
      <c r="K84" s="359">
        <v>1</v>
      </c>
      <c r="L84" s="359">
        <v>0</v>
      </c>
      <c r="M84" s="356" t="s">
        <v>335</v>
      </c>
      <c r="N84" s="356" t="s">
        <v>2</v>
      </c>
      <c r="O84" s="360">
        <v>44562</v>
      </c>
      <c r="P84" s="360">
        <v>44713</v>
      </c>
      <c r="Q84" s="361" t="s">
        <v>557</v>
      </c>
      <c r="R84" s="362"/>
      <c r="S84" s="362"/>
      <c r="T84" s="361" t="s">
        <v>1</v>
      </c>
      <c r="U84" s="367"/>
    </row>
    <row r="85" spans="1:23" s="393" customFormat="1" ht="198.75" customHeight="1" x14ac:dyDescent="0.25">
      <c r="A85" s="241" t="s">
        <v>449</v>
      </c>
      <c r="B85" s="241" t="s">
        <v>449</v>
      </c>
      <c r="C85" s="242" t="s">
        <v>556</v>
      </c>
      <c r="D85" s="246" t="s">
        <v>517</v>
      </c>
      <c r="E85" s="246" t="s">
        <v>451</v>
      </c>
      <c r="F85" s="246" t="s">
        <v>643</v>
      </c>
      <c r="G85" s="245" t="s">
        <v>41</v>
      </c>
      <c r="H85" s="245"/>
      <c r="I85" s="354"/>
      <c r="J85" s="377">
        <f>'[3]PEP US$'!$E$39-J87</f>
        <v>468750</v>
      </c>
      <c r="K85" s="243">
        <v>1</v>
      </c>
      <c r="L85" s="243">
        <v>0</v>
      </c>
      <c r="M85" s="242">
        <v>2</v>
      </c>
      <c r="N85" s="242" t="s">
        <v>2</v>
      </c>
      <c r="O85" s="339">
        <v>43831</v>
      </c>
      <c r="P85" s="339">
        <v>43983</v>
      </c>
      <c r="Q85" s="55" t="s">
        <v>557</v>
      </c>
      <c r="R85" s="64"/>
      <c r="S85" s="64"/>
      <c r="T85" s="55" t="s">
        <v>1</v>
      </c>
      <c r="U85" s="392"/>
    </row>
    <row r="86" spans="1:23" ht="93" x14ac:dyDescent="0.25">
      <c r="A86" s="241" t="s">
        <v>490</v>
      </c>
      <c r="B86" s="241" t="s">
        <v>490</v>
      </c>
      <c r="C86" s="242" t="s">
        <v>556</v>
      </c>
      <c r="D86" s="246" t="s">
        <v>318</v>
      </c>
      <c r="E86" s="246" t="s">
        <v>318</v>
      </c>
      <c r="F86" s="245" t="s">
        <v>644</v>
      </c>
      <c r="G86" s="245" t="s">
        <v>77</v>
      </c>
      <c r="H86" s="245">
        <v>1</v>
      </c>
      <c r="I86" s="245"/>
      <c r="J86" s="377">
        <f>'INFORMATIVO 02 04 19'!C72</f>
        <v>25000</v>
      </c>
      <c r="K86" s="243">
        <v>1</v>
      </c>
      <c r="L86" s="243">
        <v>0</v>
      </c>
      <c r="M86" s="242">
        <v>2</v>
      </c>
      <c r="N86" s="242" t="s">
        <v>2</v>
      </c>
      <c r="O86" s="339">
        <v>43709</v>
      </c>
      <c r="P86" s="339">
        <v>43800</v>
      </c>
      <c r="Q86" s="55"/>
      <c r="R86" s="64"/>
      <c r="S86" s="64"/>
      <c r="T86" s="55" t="s">
        <v>1</v>
      </c>
      <c r="U86" s="91"/>
    </row>
    <row r="87" spans="1:23" ht="93" x14ac:dyDescent="0.25">
      <c r="A87" s="241" t="s">
        <v>551</v>
      </c>
      <c r="B87" s="241" t="s">
        <v>551</v>
      </c>
      <c r="C87" s="242" t="s">
        <v>556</v>
      </c>
      <c r="D87" s="245" t="s">
        <v>569</v>
      </c>
      <c r="E87" s="245" t="s">
        <v>568</v>
      </c>
      <c r="F87" s="245" t="s">
        <v>630</v>
      </c>
      <c r="G87" s="245" t="s">
        <v>41</v>
      </c>
      <c r="H87" s="245">
        <v>1</v>
      </c>
      <c r="I87" s="245"/>
      <c r="J87" s="377">
        <f>234375</f>
        <v>234375</v>
      </c>
      <c r="K87" s="243">
        <v>1</v>
      </c>
      <c r="L87" s="243">
        <v>0</v>
      </c>
      <c r="M87" s="242">
        <v>1</v>
      </c>
      <c r="N87" s="242" t="s">
        <v>2</v>
      </c>
      <c r="O87" s="351" t="s">
        <v>514</v>
      </c>
      <c r="P87" s="351" t="s">
        <v>327</v>
      </c>
      <c r="Q87" s="55" t="s">
        <v>557</v>
      </c>
      <c r="R87" s="64"/>
      <c r="S87" s="64"/>
      <c r="T87" s="55" t="s">
        <v>1</v>
      </c>
      <c r="U87" s="91"/>
    </row>
    <row r="88" spans="1:23" s="93" customFormat="1" ht="23.25" x14ac:dyDescent="0.25">
      <c r="A88" s="237"/>
      <c r="B88" s="237"/>
      <c r="C88" s="279"/>
      <c r="D88" s="279"/>
      <c r="E88" s="279"/>
      <c r="F88" s="279"/>
      <c r="G88" s="279"/>
      <c r="H88" s="279"/>
      <c r="I88" s="279"/>
      <c r="J88" s="284"/>
      <c r="K88" s="285"/>
      <c r="L88" s="285"/>
      <c r="M88" s="283"/>
      <c r="N88" s="237"/>
      <c r="O88" s="237"/>
      <c r="P88" s="237"/>
      <c r="Q88" s="68"/>
      <c r="R88" s="133"/>
      <c r="S88" s="133"/>
      <c r="T88" s="55"/>
      <c r="U88" s="91"/>
    </row>
    <row r="89" spans="1:23" ht="40.5" customHeight="1" x14ac:dyDescent="0.25">
      <c r="A89" s="238">
        <v>5</v>
      </c>
      <c r="B89" s="238">
        <v>5</v>
      </c>
      <c r="C89" s="465" t="s">
        <v>51</v>
      </c>
      <c r="D89" s="466"/>
      <c r="E89" s="466"/>
      <c r="F89" s="466"/>
      <c r="G89" s="466"/>
      <c r="H89" s="466"/>
      <c r="I89" s="466"/>
      <c r="J89" s="239">
        <f>SUM(J90:J98)</f>
        <v>1068125</v>
      </c>
      <c r="K89" s="322"/>
      <c r="L89" s="240"/>
      <c r="M89" s="240"/>
      <c r="N89" s="240"/>
      <c r="O89" s="240"/>
      <c r="P89" s="240"/>
      <c r="Q89" s="47"/>
      <c r="R89" s="47"/>
      <c r="S89" s="47"/>
      <c r="T89" s="48"/>
      <c r="U89" s="91"/>
      <c r="V89" s="91"/>
      <c r="W89" s="91"/>
    </row>
    <row r="90" spans="1:23" s="334" customFormat="1" ht="99" customHeight="1" x14ac:dyDescent="0.25">
      <c r="A90" s="332" t="s">
        <v>130</v>
      </c>
      <c r="B90" s="332" t="s">
        <v>130</v>
      </c>
      <c r="C90" s="317" t="s">
        <v>556</v>
      </c>
      <c r="D90" s="318" t="s">
        <v>579</v>
      </c>
      <c r="E90" s="318" t="s">
        <v>580</v>
      </c>
      <c r="F90" s="318" t="s">
        <v>340</v>
      </c>
      <c r="G90" s="318" t="s">
        <v>81</v>
      </c>
      <c r="H90" s="318">
        <v>1</v>
      </c>
      <c r="I90" s="318"/>
      <c r="J90" s="377">
        <v>134104</v>
      </c>
      <c r="K90" s="335">
        <v>1</v>
      </c>
      <c r="L90" s="335">
        <v>0</v>
      </c>
      <c r="M90" s="317" t="s">
        <v>340</v>
      </c>
      <c r="N90" s="317" t="s">
        <v>2</v>
      </c>
      <c r="O90" s="321">
        <v>43831</v>
      </c>
      <c r="P90" s="321">
        <v>43891</v>
      </c>
      <c r="Q90" s="320" t="s">
        <v>557</v>
      </c>
      <c r="R90" s="338"/>
      <c r="S90" s="338"/>
      <c r="T90" s="320" t="s">
        <v>1</v>
      </c>
      <c r="U90" s="333"/>
    </row>
    <row r="91" spans="1:23" s="334" customFormat="1" ht="85.5" customHeight="1" x14ac:dyDescent="0.25">
      <c r="A91" s="332" t="s">
        <v>341</v>
      </c>
      <c r="B91" s="332" t="s">
        <v>341</v>
      </c>
      <c r="C91" s="317" t="s">
        <v>556</v>
      </c>
      <c r="D91" s="318" t="s">
        <v>575</v>
      </c>
      <c r="E91" s="318" t="s">
        <v>576</v>
      </c>
      <c r="F91" s="318" t="s">
        <v>340</v>
      </c>
      <c r="G91" s="318" t="s">
        <v>31</v>
      </c>
      <c r="H91" s="318">
        <v>1</v>
      </c>
      <c r="I91" s="318"/>
      <c r="J91" s="377">
        <f>135604</f>
        <v>135604</v>
      </c>
      <c r="K91" s="335">
        <v>1</v>
      </c>
      <c r="L91" s="335">
        <v>0</v>
      </c>
      <c r="M91" s="317" t="s">
        <v>340</v>
      </c>
      <c r="N91" s="317" t="s">
        <v>3</v>
      </c>
      <c r="O91" s="321">
        <v>43525</v>
      </c>
      <c r="P91" s="321">
        <v>43556</v>
      </c>
      <c r="Q91" s="320" t="s">
        <v>577</v>
      </c>
      <c r="R91" s="338"/>
      <c r="S91" s="338"/>
      <c r="T91" s="320" t="s">
        <v>1</v>
      </c>
      <c r="U91" s="333"/>
    </row>
    <row r="92" spans="1:23" s="6" customFormat="1" ht="105" customHeight="1" x14ac:dyDescent="0.25">
      <c r="A92" s="332" t="s">
        <v>347</v>
      </c>
      <c r="B92" s="332" t="s">
        <v>347</v>
      </c>
      <c r="C92" s="317" t="s">
        <v>556</v>
      </c>
      <c r="D92" s="318" t="s">
        <v>585</v>
      </c>
      <c r="E92" s="318" t="s">
        <v>584</v>
      </c>
      <c r="F92" s="318" t="s">
        <v>340</v>
      </c>
      <c r="G92" s="318" t="s">
        <v>81</v>
      </c>
      <c r="H92" s="318">
        <v>1</v>
      </c>
      <c r="I92" s="318"/>
      <c r="J92" s="377">
        <v>140104</v>
      </c>
      <c r="K92" s="335">
        <v>1</v>
      </c>
      <c r="L92" s="335">
        <v>0</v>
      </c>
      <c r="M92" s="317" t="s">
        <v>340</v>
      </c>
      <c r="N92" s="317" t="s">
        <v>3</v>
      </c>
      <c r="O92" s="321">
        <v>43556</v>
      </c>
      <c r="P92" s="321">
        <v>43617</v>
      </c>
      <c r="Q92" s="320" t="s">
        <v>557</v>
      </c>
      <c r="R92" s="338"/>
      <c r="S92" s="338"/>
      <c r="T92" s="320" t="s">
        <v>1</v>
      </c>
      <c r="U92" s="192"/>
    </row>
    <row r="93" spans="1:23" s="6" customFormat="1" ht="85.5" customHeight="1" x14ac:dyDescent="0.25">
      <c r="A93" s="332" t="s">
        <v>348</v>
      </c>
      <c r="B93" s="332" t="s">
        <v>348</v>
      </c>
      <c r="C93" s="317" t="s">
        <v>556</v>
      </c>
      <c r="D93" s="318" t="s">
        <v>428</v>
      </c>
      <c r="E93" s="318" t="s">
        <v>406</v>
      </c>
      <c r="F93" s="318" t="s">
        <v>340</v>
      </c>
      <c r="G93" s="318" t="s">
        <v>31</v>
      </c>
      <c r="H93" s="318"/>
      <c r="I93" s="318"/>
      <c r="J93" s="377">
        <v>162604</v>
      </c>
      <c r="K93" s="335">
        <v>1</v>
      </c>
      <c r="L93" s="335">
        <v>0</v>
      </c>
      <c r="M93" s="317" t="s">
        <v>340</v>
      </c>
      <c r="N93" s="317" t="s">
        <v>3</v>
      </c>
      <c r="O93" s="321">
        <v>43525</v>
      </c>
      <c r="P93" s="321">
        <v>43556</v>
      </c>
      <c r="Q93" s="320" t="s">
        <v>557</v>
      </c>
      <c r="R93" s="338"/>
      <c r="S93" s="338"/>
      <c r="T93" s="320" t="s">
        <v>1</v>
      </c>
      <c r="U93" s="192"/>
    </row>
    <row r="94" spans="1:23" s="334" customFormat="1" ht="100.5" customHeight="1" x14ac:dyDescent="0.25">
      <c r="A94" s="332" t="s">
        <v>407</v>
      </c>
      <c r="B94" s="332" t="s">
        <v>407</v>
      </c>
      <c r="C94" s="317" t="s">
        <v>556</v>
      </c>
      <c r="D94" s="318" t="s">
        <v>349</v>
      </c>
      <c r="E94" s="318" t="s">
        <v>349</v>
      </c>
      <c r="F94" s="318" t="s">
        <v>340</v>
      </c>
      <c r="G94" s="318" t="s">
        <v>81</v>
      </c>
      <c r="H94" s="318">
        <v>1</v>
      </c>
      <c r="I94" s="318"/>
      <c r="J94" s="377">
        <v>134104</v>
      </c>
      <c r="K94" s="335">
        <v>1</v>
      </c>
      <c r="L94" s="335">
        <v>0</v>
      </c>
      <c r="M94" s="317" t="s">
        <v>340</v>
      </c>
      <c r="N94" s="317" t="s">
        <v>2</v>
      </c>
      <c r="O94" s="321">
        <v>44256</v>
      </c>
      <c r="P94" s="321">
        <v>44317</v>
      </c>
      <c r="Q94" s="320" t="s">
        <v>557</v>
      </c>
      <c r="R94" s="338"/>
      <c r="S94" s="338"/>
      <c r="T94" s="320" t="s">
        <v>1</v>
      </c>
      <c r="U94" s="333"/>
    </row>
    <row r="95" spans="1:23" s="334" customFormat="1" ht="87.75" customHeight="1" x14ac:dyDescent="0.25">
      <c r="A95" s="332" t="s">
        <v>447</v>
      </c>
      <c r="B95" s="332" t="s">
        <v>447</v>
      </c>
      <c r="C95" s="317" t="s">
        <v>556</v>
      </c>
      <c r="D95" s="318" t="s">
        <v>350</v>
      </c>
      <c r="E95" s="318" t="s">
        <v>350</v>
      </c>
      <c r="F95" s="318" t="s">
        <v>340</v>
      </c>
      <c r="G95" s="318" t="s">
        <v>81</v>
      </c>
      <c r="H95" s="318">
        <v>1</v>
      </c>
      <c r="I95" s="318"/>
      <c r="J95" s="377">
        <v>134105</v>
      </c>
      <c r="K95" s="335">
        <v>1</v>
      </c>
      <c r="L95" s="335">
        <v>0</v>
      </c>
      <c r="M95" s="317" t="s">
        <v>340</v>
      </c>
      <c r="N95" s="317" t="s">
        <v>2</v>
      </c>
      <c r="O95" s="321">
        <v>45139</v>
      </c>
      <c r="P95" s="321">
        <v>45200</v>
      </c>
      <c r="Q95" s="320" t="s">
        <v>557</v>
      </c>
      <c r="R95" s="338"/>
      <c r="S95" s="338"/>
      <c r="T95" s="320" t="s">
        <v>1</v>
      </c>
      <c r="U95" s="333"/>
    </row>
    <row r="96" spans="1:23" s="92" customFormat="1" ht="96.75" customHeight="1" x14ac:dyDescent="0.25">
      <c r="A96" s="355" t="s">
        <v>521</v>
      </c>
      <c r="B96" s="355" t="s">
        <v>521</v>
      </c>
      <c r="C96" s="356" t="s">
        <v>556</v>
      </c>
      <c r="D96" s="358" t="s">
        <v>522</v>
      </c>
      <c r="E96" s="358" t="s">
        <v>523</v>
      </c>
      <c r="F96" s="358" t="s">
        <v>635</v>
      </c>
      <c r="G96" s="358" t="s">
        <v>81</v>
      </c>
      <c r="H96" s="358">
        <v>1</v>
      </c>
      <c r="I96" s="358"/>
      <c r="J96" s="376">
        <v>20000</v>
      </c>
      <c r="K96" s="359">
        <v>1</v>
      </c>
      <c r="L96" s="359">
        <v>0</v>
      </c>
      <c r="M96" s="356">
        <v>1</v>
      </c>
      <c r="N96" s="356" t="s">
        <v>2</v>
      </c>
      <c r="O96" s="360">
        <v>43556</v>
      </c>
      <c r="P96" s="360">
        <v>43617</v>
      </c>
      <c r="Q96" s="361" t="s">
        <v>557</v>
      </c>
      <c r="R96" s="362"/>
      <c r="S96" s="362"/>
      <c r="T96" s="361" t="s">
        <v>1</v>
      </c>
      <c r="U96" s="363"/>
    </row>
    <row r="97" spans="1:23" s="6" customFormat="1" ht="102.75" customHeight="1" x14ac:dyDescent="0.25">
      <c r="A97" s="261" t="s">
        <v>524</v>
      </c>
      <c r="B97" s="261" t="s">
        <v>524</v>
      </c>
      <c r="C97" s="242" t="s">
        <v>556</v>
      </c>
      <c r="D97" s="245" t="s">
        <v>525</v>
      </c>
      <c r="E97" s="245" t="s">
        <v>526</v>
      </c>
      <c r="F97" s="245" t="s">
        <v>636</v>
      </c>
      <c r="G97" s="245" t="s">
        <v>81</v>
      </c>
      <c r="H97" s="245">
        <v>1</v>
      </c>
      <c r="I97" s="245"/>
      <c r="J97" s="377">
        <v>20000</v>
      </c>
      <c r="K97" s="243">
        <v>1</v>
      </c>
      <c r="L97" s="243">
        <v>0</v>
      </c>
      <c r="M97" s="242">
        <v>1</v>
      </c>
      <c r="N97" s="242" t="s">
        <v>2</v>
      </c>
      <c r="O97" s="339">
        <v>43586</v>
      </c>
      <c r="P97" s="339">
        <v>43647</v>
      </c>
      <c r="Q97" s="55" t="s">
        <v>557</v>
      </c>
      <c r="R97" s="64"/>
      <c r="S97" s="64"/>
      <c r="T97" s="55" t="s">
        <v>1</v>
      </c>
      <c r="U97" s="192"/>
    </row>
    <row r="98" spans="1:23" s="6" customFormat="1" ht="93" x14ac:dyDescent="0.25">
      <c r="A98" s="332" t="s">
        <v>551</v>
      </c>
      <c r="B98" s="332" t="s">
        <v>551</v>
      </c>
      <c r="C98" s="317" t="s">
        <v>556</v>
      </c>
      <c r="D98" s="318" t="s">
        <v>578</v>
      </c>
      <c r="E98" s="318" t="s">
        <v>567</v>
      </c>
      <c r="F98" s="318" t="s">
        <v>630</v>
      </c>
      <c r="G98" s="318" t="s">
        <v>81</v>
      </c>
      <c r="H98" s="318">
        <v>1</v>
      </c>
      <c r="I98" s="318"/>
      <c r="J98" s="377">
        <f>'[1]PEP US$'!$E$38</f>
        <v>187500</v>
      </c>
      <c r="K98" s="335">
        <v>1</v>
      </c>
      <c r="L98" s="335">
        <v>0</v>
      </c>
      <c r="M98" s="317">
        <v>1</v>
      </c>
      <c r="N98" s="317" t="s">
        <v>2</v>
      </c>
      <c r="O98" s="319" t="s">
        <v>514</v>
      </c>
      <c r="P98" s="319" t="s">
        <v>233</v>
      </c>
      <c r="Q98" s="320" t="s">
        <v>557</v>
      </c>
      <c r="R98" s="338"/>
      <c r="S98" s="338"/>
      <c r="T98" s="320" t="s">
        <v>1</v>
      </c>
      <c r="U98" s="192"/>
    </row>
    <row r="99" spans="1:23" s="93" customFormat="1" ht="23.25" x14ac:dyDescent="0.25">
      <c r="A99" s="307"/>
      <c r="B99" s="307"/>
      <c r="C99" s="324"/>
      <c r="D99" s="308"/>
      <c r="E99" s="308"/>
      <c r="F99" s="308"/>
      <c r="G99" s="308"/>
      <c r="H99" s="308"/>
      <c r="I99" s="308"/>
      <c r="J99" s="310"/>
      <c r="K99" s="311"/>
      <c r="L99" s="311"/>
      <c r="M99" s="309"/>
      <c r="N99" s="312"/>
      <c r="O99" s="313"/>
      <c r="P99" s="313"/>
      <c r="Q99" s="314"/>
      <c r="R99" s="315"/>
      <c r="S99" s="315"/>
      <c r="T99" s="316"/>
      <c r="U99" s="91"/>
    </row>
    <row r="100" spans="1:23" ht="40.5" customHeight="1" x14ac:dyDescent="0.25">
      <c r="A100" s="238">
        <v>6</v>
      </c>
      <c r="B100" s="238">
        <v>6</v>
      </c>
      <c r="C100" s="465" t="s">
        <v>11</v>
      </c>
      <c r="D100" s="466"/>
      <c r="E100" s="466"/>
      <c r="F100" s="466"/>
      <c r="G100" s="466"/>
      <c r="H100" s="466"/>
      <c r="I100" s="466"/>
      <c r="J100" s="239">
        <f>SUM(J101:J106)</f>
        <v>1031438</v>
      </c>
      <c r="K100" s="240"/>
      <c r="L100" s="240"/>
      <c r="M100" s="240"/>
      <c r="N100" s="240"/>
      <c r="O100" s="240"/>
      <c r="P100" s="240"/>
      <c r="Q100" s="47"/>
      <c r="R100" s="47"/>
      <c r="S100" s="47"/>
      <c r="T100" s="48"/>
      <c r="U100" s="91"/>
      <c r="V100" s="91"/>
      <c r="W100" s="91"/>
    </row>
    <row r="101" spans="1:23" s="6" customFormat="1" ht="102.75" customHeight="1" x14ac:dyDescent="0.25">
      <c r="A101" s="332" t="s">
        <v>143</v>
      </c>
      <c r="B101" s="332" t="s">
        <v>143</v>
      </c>
      <c r="C101" s="317" t="s">
        <v>556</v>
      </c>
      <c r="D101" s="318" t="s">
        <v>226</v>
      </c>
      <c r="E101" s="318" t="s">
        <v>182</v>
      </c>
      <c r="F101" s="318" t="s">
        <v>645</v>
      </c>
      <c r="G101" s="318" t="s">
        <v>77</v>
      </c>
      <c r="H101" s="318">
        <v>1</v>
      </c>
      <c r="I101" s="318"/>
      <c r="J101" s="377">
        <f>'INFORMATIVO 02 04 19'!D25</f>
        <v>15625</v>
      </c>
      <c r="K101" s="335">
        <v>1</v>
      </c>
      <c r="L101" s="335">
        <v>0</v>
      </c>
      <c r="M101" s="317">
        <v>2</v>
      </c>
      <c r="N101" s="317" t="s">
        <v>2</v>
      </c>
      <c r="O101" s="321">
        <v>43831</v>
      </c>
      <c r="P101" s="321">
        <v>43922</v>
      </c>
      <c r="Q101" s="320"/>
      <c r="R101" s="338"/>
      <c r="S101" s="338"/>
      <c r="T101" s="320" t="s">
        <v>1</v>
      </c>
      <c r="U101" s="192"/>
    </row>
    <row r="102" spans="1:23" s="6" customFormat="1" ht="84" customHeight="1" x14ac:dyDescent="0.25">
      <c r="A102" s="241" t="s">
        <v>193</v>
      </c>
      <c r="B102" s="241" t="s">
        <v>193</v>
      </c>
      <c r="C102" s="242" t="s">
        <v>556</v>
      </c>
      <c r="D102" s="348" t="s">
        <v>292</v>
      </c>
      <c r="E102" s="348" t="s">
        <v>292</v>
      </c>
      <c r="F102" s="245" t="s">
        <v>646</v>
      </c>
      <c r="G102" s="245" t="s">
        <v>41</v>
      </c>
      <c r="H102" s="245">
        <v>1</v>
      </c>
      <c r="I102" s="354"/>
      <c r="J102" s="377">
        <f>'INFORMATIVO 02 04 19'!D109</f>
        <v>884563</v>
      </c>
      <c r="K102" s="243">
        <v>1</v>
      </c>
      <c r="L102" s="243">
        <v>0</v>
      </c>
      <c r="M102" s="242">
        <v>2</v>
      </c>
      <c r="N102" s="242" t="s">
        <v>2</v>
      </c>
      <c r="O102" s="351" t="s">
        <v>512</v>
      </c>
      <c r="P102" s="351" t="s">
        <v>611</v>
      </c>
      <c r="Q102" s="55"/>
      <c r="R102" s="64"/>
      <c r="S102" s="64"/>
      <c r="T102" s="55" t="s">
        <v>1</v>
      </c>
      <c r="U102" s="192"/>
    </row>
    <row r="103" spans="1:23" s="6" customFormat="1" ht="163.5" customHeight="1" x14ac:dyDescent="0.25">
      <c r="A103" s="332" t="s">
        <v>198</v>
      </c>
      <c r="B103" s="332" t="s">
        <v>198</v>
      </c>
      <c r="C103" s="317" t="s">
        <v>556</v>
      </c>
      <c r="D103" s="341" t="s">
        <v>307</v>
      </c>
      <c r="E103" s="341" t="s">
        <v>307</v>
      </c>
      <c r="F103" s="336" t="s">
        <v>637</v>
      </c>
      <c r="G103" s="318" t="s">
        <v>77</v>
      </c>
      <c r="H103" s="318">
        <v>1</v>
      </c>
      <c r="I103" s="318"/>
      <c r="J103" s="377">
        <f>'INFORMATIVO 02 04 19'!D28</f>
        <v>40625</v>
      </c>
      <c r="K103" s="335">
        <v>1</v>
      </c>
      <c r="L103" s="335">
        <v>0</v>
      </c>
      <c r="M103" s="317">
        <v>2</v>
      </c>
      <c r="N103" s="317" t="s">
        <v>2</v>
      </c>
      <c r="O103" s="321">
        <v>43831</v>
      </c>
      <c r="P103" s="321">
        <v>43922</v>
      </c>
      <c r="Q103" s="320"/>
      <c r="R103" s="338"/>
      <c r="S103" s="338"/>
      <c r="T103" s="320" t="s">
        <v>1</v>
      </c>
      <c r="U103" s="192"/>
    </row>
    <row r="104" spans="1:23" s="6" customFormat="1" ht="93" x14ac:dyDescent="0.25">
      <c r="A104" s="241" t="s">
        <v>256</v>
      </c>
      <c r="B104" s="241" t="s">
        <v>256</v>
      </c>
      <c r="C104" s="242" t="s">
        <v>556</v>
      </c>
      <c r="D104" s="245" t="s">
        <v>316</v>
      </c>
      <c r="E104" s="245" t="s">
        <v>317</v>
      </c>
      <c r="F104" s="245" t="s">
        <v>644</v>
      </c>
      <c r="G104" s="245" t="s">
        <v>77</v>
      </c>
      <c r="H104" s="245">
        <v>1</v>
      </c>
      <c r="I104" s="245"/>
      <c r="J104" s="377">
        <f>'INFORMATIVO 02 04 19'!C73</f>
        <v>15625</v>
      </c>
      <c r="K104" s="243">
        <v>1</v>
      </c>
      <c r="L104" s="243">
        <v>0</v>
      </c>
      <c r="M104" s="242">
        <v>2</v>
      </c>
      <c r="N104" s="242" t="s">
        <v>2</v>
      </c>
      <c r="O104" s="339">
        <v>43891</v>
      </c>
      <c r="P104" s="339">
        <v>43983</v>
      </c>
      <c r="Q104" s="55"/>
      <c r="R104" s="64"/>
      <c r="S104" s="64"/>
      <c r="T104" s="55" t="s">
        <v>1</v>
      </c>
      <c r="U104" s="192"/>
    </row>
    <row r="105" spans="1:23" s="6" customFormat="1" ht="122.25" customHeight="1" x14ac:dyDescent="0.25">
      <c r="A105" s="241" t="s">
        <v>257</v>
      </c>
      <c r="B105" s="241" t="s">
        <v>257</v>
      </c>
      <c r="C105" s="242" t="s">
        <v>556</v>
      </c>
      <c r="D105" s="245" t="s">
        <v>225</v>
      </c>
      <c r="E105" s="245" t="s">
        <v>321</v>
      </c>
      <c r="F105" s="245" t="s">
        <v>629</v>
      </c>
      <c r="G105" s="245" t="s">
        <v>77</v>
      </c>
      <c r="H105" s="245">
        <v>1</v>
      </c>
      <c r="I105" s="245"/>
      <c r="J105" s="377">
        <f>'INFORMATIVO 02 04 19'!C90</f>
        <v>25000</v>
      </c>
      <c r="K105" s="243">
        <v>1</v>
      </c>
      <c r="L105" s="243">
        <v>0</v>
      </c>
      <c r="M105" s="242">
        <v>2</v>
      </c>
      <c r="N105" s="242" t="s">
        <v>2</v>
      </c>
      <c r="O105" s="339">
        <v>43891</v>
      </c>
      <c r="P105" s="339">
        <v>43983</v>
      </c>
      <c r="Q105" s="55"/>
      <c r="R105" s="64"/>
      <c r="S105" s="64"/>
      <c r="T105" s="55" t="s">
        <v>1</v>
      </c>
      <c r="U105" s="192"/>
    </row>
    <row r="106" spans="1:23" s="92" customFormat="1" ht="69.75" x14ac:dyDescent="0.25">
      <c r="A106" s="355" t="s">
        <v>249</v>
      </c>
      <c r="B106" s="355" t="s">
        <v>249</v>
      </c>
      <c r="C106" s="356" t="s">
        <v>556</v>
      </c>
      <c r="D106" s="358" t="s">
        <v>533</v>
      </c>
      <c r="E106" s="358" t="s">
        <v>581</v>
      </c>
      <c r="F106" s="358" t="s">
        <v>340</v>
      </c>
      <c r="G106" s="358" t="s">
        <v>34</v>
      </c>
      <c r="H106" s="358">
        <v>1</v>
      </c>
      <c r="I106" s="358"/>
      <c r="J106" s="376">
        <v>50000</v>
      </c>
      <c r="K106" s="359">
        <v>1</v>
      </c>
      <c r="L106" s="359">
        <v>0</v>
      </c>
      <c r="M106" s="356" t="s">
        <v>335</v>
      </c>
      <c r="N106" s="356" t="s">
        <v>4</v>
      </c>
      <c r="O106" s="366" t="s">
        <v>650</v>
      </c>
      <c r="P106" s="360">
        <v>43586</v>
      </c>
      <c r="Q106" s="361"/>
      <c r="R106" s="362"/>
      <c r="S106" s="362"/>
      <c r="T106" s="361" t="s">
        <v>1</v>
      </c>
      <c r="U106" s="363"/>
    </row>
    <row r="107" spans="1:23" ht="23.25" x14ac:dyDescent="0.25">
      <c r="A107" s="248"/>
      <c r="B107" s="248"/>
      <c r="C107" s="250"/>
      <c r="D107" s="250"/>
      <c r="E107" s="250"/>
      <c r="F107" s="250"/>
      <c r="G107" s="250"/>
      <c r="H107" s="250"/>
      <c r="I107" s="250"/>
      <c r="J107" s="251"/>
      <c r="K107" s="252"/>
      <c r="L107" s="253"/>
      <c r="M107" s="249"/>
      <c r="N107" s="249"/>
      <c r="O107" s="254"/>
      <c r="P107" s="254"/>
      <c r="Q107" s="190"/>
      <c r="R107" s="14"/>
      <c r="S107" s="14"/>
      <c r="T107" s="190"/>
      <c r="U107" s="91"/>
    </row>
    <row r="108" spans="1:23" ht="33.75" customHeight="1" x14ac:dyDescent="0.25">
      <c r="A108" s="238">
        <v>7</v>
      </c>
      <c r="B108" s="238">
        <v>7</v>
      </c>
      <c r="C108" s="465" t="s">
        <v>561</v>
      </c>
      <c r="D108" s="466"/>
      <c r="E108" s="466"/>
      <c r="F108" s="466"/>
      <c r="G108" s="466"/>
      <c r="H108" s="466"/>
      <c r="I108" s="466"/>
      <c r="J108" s="239">
        <f>SUM(J109:J110)</f>
        <v>6211656.25</v>
      </c>
      <c r="K108" s="240"/>
      <c r="L108" s="240"/>
      <c r="M108" s="240"/>
      <c r="N108" s="240"/>
      <c r="O108" s="240"/>
      <c r="P108" s="240"/>
      <c r="Q108" s="47"/>
      <c r="R108" s="47"/>
      <c r="S108" s="47"/>
      <c r="T108" s="48"/>
      <c r="U108" s="91"/>
      <c r="V108" s="91"/>
      <c r="W108" s="91"/>
    </row>
    <row r="109" spans="1:23" s="92" customFormat="1" ht="54" customHeight="1" x14ac:dyDescent="0.25">
      <c r="A109" s="355" t="s">
        <v>144</v>
      </c>
      <c r="B109" s="355" t="s">
        <v>144</v>
      </c>
      <c r="C109" s="356" t="s">
        <v>556</v>
      </c>
      <c r="D109" s="358" t="s">
        <v>563</v>
      </c>
      <c r="E109" s="358" t="s">
        <v>564</v>
      </c>
      <c r="F109" s="358" t="s">
        <v>340</v>
      </c>
      <c r="G109" s="358" t="s">
        <v>34</v>
      </c>
      <c r="H109" s="358"/>
      <c r="I109" s="358"/>
      <c r="J109" s="376">
        <f>'[1]PEP US$'!$E$73</f>
        <v>1923281.25</v>
      </c>
      <c r="K109" s="359">
        <v>0</v>
      </c>
      <c r="L109" s="359">
        <v>1</v>
      </c>
      <c r="M109" s="356" t="s">
        <v>340</v>
      </c>
      <c r="N109" s="356" t="s">
        <v>4</v>
      </c>
      <c r="O109" s="360">
        <v>43435</v>
      </c>
      <c r="P109" s="360">
        <v>43466</v>
      </c>
      <c r="Q109" s="361" t="s">
        <v>557</v>
      </c>
      <c r="R109" s="362"/>
      <c r="S109" s="362"/>
      <c r="T109" s="361" t="s">
        <v>75</v>
      </c>
      <c r="U109" s="363"/>
      <c r="V109" s="363"/>
      <c r="W109" s="363"/>
    </row>
    <row r="110" spans="1:23" s="92" customFormat="1" ht="83.25" customHeight="1" x14ac:dyDescent="0.25">
      <c r="A110" s="355" t="s">
        <v>562</v>
      </c>
      <c r="B110" s="355" t="s">
        <v>562</v>
      </c>
      <c r="C110" s="356" t="s">
        <v>556</v>
      </c>
      <c r="D110" s="358" t="s">
        <v>565</v>
      </c>
      <c r="E110" s="358" t="s">
        <v>566</v>
      </c>
      <c r="F110" s="358" t="s">
        <v>647</v>
      </c>
      <c r="G110" s="358" t="s">
        <v>34</v>
      </c>
      <c r="H110" s="358"/>
      <c r="I110" s="358"/>
      <c r="J110" s="376">
        <f>'[1]PEP US$'!$E$19</f>
        <v>4288375</v>
      </c>
      <c r="K110" s="359">
        <v>0</v>
      </c>
      <c r="L110" s="359">
        <v>1</v>
      </c>
      <c r="M110" s="356">
        <v>1</v>
      </c>
      <c r="N110" s="356" t="s">
        <v>4</v>
      </c>
      <c r="O110" s="360">
        <v>43586</v>
      </c>
      <c r="P110" s="360">
        <v>43983</v>
      </c>
      <c r="Q110" s="361" t="s">
        <v>557</v>
      </c>
      <c r="R110" s="362"/>
      <c r="S110" s="362"/>
      <c r="T110" s="361" t="s">
        <v>1</v>
      </c>
      <c r="U110" s="363"/>
      <c r="V110" s="363"/>
      <c r="W110" s="363"/>
    </row>
    <row r="111" spans="1:23" ht="30.75" customHeight="1" x14ac:dyDescent="0.25">
      <c r="A111" s="241"/>
      <c r="B111" s="241"/>
      <c r="C111" s="242"/>
      <c r="D111" s="245"/>
      <c r="E111" s="245"/>
      <c r="F111" s="245"/>
      <c r="G111" s="245"/>
      <c r="H111" s="242"/>
      <c r="I111" s="242"/>
      <c r="J111" s="244"/>
      <c r="K111" s="242"/>
      <c r="L111" s="255"/>
      <c r="M111" s="256"/>
      <c r="N111" s="243"/>
      <c r="O111" s="242"/>
      <c r="P111" s="242"/>
      <c r="Q111" s="55"/>
      <c r="R111" s="64"/>
      <c r="S111" s="64"/>
      <c r="T111" s="55"/>
      <c r="U111" s="91"/>
    </row>
    <row r="112" spans="1:23" s="93" customFormat="1" ht="23.25" x14ac:dyDescent="0.25">
      <c r="A112" s="237"/>
      <c r="B112" s="237"/>
      <c r="C112" s="237"/>
      <c r="D112" s="279"/>
      <c r="E112" s="279"/>
      <c r="F112" s="279"/>
      <c r="G112" s="279"/>
      <c r="H112" s="237"/>
      <c r="I112" s="283"/>
      <c r="J112" s="284"/>
      <c r="K112" s="285"/>
      <c r="L112" s="285"/>
      <c r="M112" s="283"/>
      <c r="N112" s="237"/>
      <c r="O112" s="237"/>
      <c r="P112" s="237"/>
      <c r="Q112" s="68"/>
      <c r="R112" s="133"/>
      <c r="S112" s="133"/>
      <c r="T112" s="68"/>
    </row>
    <row r="113" spans="1:20" s="93" customFormat="1" ht="23.25" x14ac:dyDescent="0.25">
      <c r="A113" s="237"/>
      <c r="B113" s="237"/>
      <c r="C113" s="237"/>
      <c r="D113" s="476"/>
      <c r="E113" s="476"/>
      <c r="F113" s="289"/>
      <c r="G113" s="279"/>
      <c r="H113" s="237"/>
      <c r="I113" s="283"/>
      <c r="J113" s="284"/>
      <c r="K113" s="285"/>
      <c r="L113" s="285"/>
      <c r="M113" s="283"/>
      <c r="N113" s="237"/>
      <c r="O113" s="237"/>
      <c r="P113" s="237"/>
      <c r="Q113" s="68"/>
      <c r="R113" s="133"/>
      <c r="S113" s="133"/>
      <c r="T113" s="68"/>
    </row>
    <row r="114" spans="1:20" s="93" customFormat="1" ht="46.5" x14ac:dyDescent="0.25">
      <c r="A114" s="237"/>
      <c r="B114" s="237"/>
      <c r="C114" s="237"/>
      <c r="D114" s="279"/>
      <c r="E114" s="279"/>
      <c r="F114" s="279"/>
      <c r="G114" s="246" t="s">
        <v>419</v>
      </c>
      <c r="H114" s="241"/>
      <c r="I114" s="257"/>
      <c r="J114" s="258">
        <v>200000000</v>
      </c>
      <c r="K114" s="285"/>
      <c r="L114" s="285"/>
      <c r="M114" s="283"/>
      <c r="N114" s="237"/>
      <c r="O114" s="237"/>
      <c r="P114" s="237"/>
      <c r="Q114" s="68"/>
      <c r="R114" s="133"/>
      <c r="S114" s="133"/>
      <c r="T114" s="68"/>
    </row>
    <row r="115" spans="1:20" ht="23.25" x14ac:dyDescent="0.25">
      <c r="A115" s="248"/>
      <c r="B115" s="248"/>
      <c r="C115" s="467" t="s">
        <v>74</v>
      </c>
      <c r="D115" s="259" t="s">
        <v>4</v>
      </c>
      <c r="E115" s="290"/>
      <c r="F115" s="290"/>
      <c r="G115" s="246"/>
      <c r="H115" s="241"/>
      <c r="I115" s="257"/>
      <c r="J115" s="258"/>
      <c r="K115" s="291"/>
      <c r="L115" s="291"/>
      <c r="M115" s="292"/>
      <c r="N115" s="248"/>
      <c r="O115" s="248"/>
      <c r="P115" s="248"/>
      <c r="Q115" s="74"/>
      <c r="R115" s="9"/>
      <c r="S115" s="9"/>
      <c r="T115" s="74"/>
    </row>
    <row r="116" spans="1:20" ht="46.5" x14ac:dyDescent="0.25">
      <c r="A116" s="248"/>
      <c r="B116" s="248"/>
      <c r="C116" s="468"/>
      <c r="D116" s="259" t="s">
        <v>2</v>
      </c>
      <c r="E116" s="290"/>
      <c r="F116" s="290"/>
      <c r="G116" s="246" t="s">
        <v>420</v>
      </c>
      <c r="H116" s="260"/>
      <c r="I116" s="261"/>
      <c r="J116" s="258">
        <f>J108+J100+J89+J52+J38+J19+J10</f>
        <v>200000001.01999998</v>
      </c>
      <c r="K116" s="323">
        <f>J114-J116</f>
        <v>-1.0199999809265137</v>
      </c>
      <c r="L116" s="291"/>
      <c r="M116" s="292"/>
      <c r="N116" s="248"/>
      <c r="O116" s="248"/>
      <c r="P116" s="248"/>
      <c r="Q116" s="74"/>
      <c r="R116" s="9"/>
      <c r="S116" s="9"/>
      <c r="T116" s="74"/>
    </row>
    <row r="117" spans="1:20" ht="23.25" x14ac:dyDescent="0.25">
      <c r="A117" s="248"/>
      <c r="B117" s="248"/>
      <c r="C117" s="469"/>
      <c r="D117" s="246" t="s">
        <v>3</v>
      </c>
      <c r="E117" s="290"/>
      <c r="F117" s="290"/>
      <c r="G117" s="246"/>
      <c r="H117" s="241"/>
      <c r="I117" s="257"/>
      <c r="J117" s="258"/>
      <c r="K117" s="291"/>
      <c r="L117" s="291"/>
      <c r="M117" s="292"/>
      <c r="N117" s="248"/>
      <c r="O117" s="248"/>
      <c r="P117" s="248"/>
      <c r="Q117" s="74"/>
      <c r="R117" s="9"/>
      <c r="S117" s="9"/>
      <c r="T117" s="74"/>
    </row>
    <row r="118" spans="1:20" ht="23.25" x14ac:dyDescent="0.25">
      <c r="A118" s="248"/>
      <c r="B118" s="248"/>
      <c r="C118" s="248"/>
      <c r="D118" s="290"/>
      <c r="E118" s="290"/>
      <c r="F118" s="290"/>
      <c r="G118" s="293"/>
      <c r="H118" s="294"/>
      <c r="I118" s="295"/>
      <c r="J118" s="296"/>
      <c r="K118" s="297"/>
      <c r="L118" s="297"/>
      <c r="M118" s="292"/>
      <c r="N118" s="248"/>
      <c r="O118" s="248"/>
      <c r="P118" s="248"/>
      <c r="Q118" s="74"/>
      <c r="R118" s="9"/>
      <c r="S118" s="9"/>
      <c r="T118" s="74"/>
    </row>
    <row r="119" spans="1:20" ht="23.25" x14ac:dyDescent="0.25">
      <c r="A119" s="248"/>
      <c r="B119" s="248"/>
      <c r="C119" s="467" t="s">
        <v>15</v>
      </c>
      <c r="D119" s="259" t="s">
        <v>1</v>
      </c>
      <c r="E119" s="290"/>
      <c r="F119" s="290"/>
      <c r="G119" s="246"/>
      <c r="H119" s="241"/>
      <c r="I119" s="257"/>
      <c r="J119" s="262"/>
      <c r="K119" s="291"/>
      <c r="L119" s="297"/>
      <c r="M119" s="292"/>
      <c r="N119" s="248"/>
      <c r="O119" s="248"/>
      <c r="P119" s="248"/>
      <c r="Q119" s="74"/>
      <c r="R119" s="9"/>
      <c r="S119" s="9"/>
      <c r="T119" s="74"/>
    </row>
    <row r="120" spans="1:20" ht="23.25" x14ac:dyDescent="0.25">
      <c r="A120" s="248"/>
      <c r="B120" s="248"/>
      <c r="C120" s="468"/>
      <c r="D120" s="259" t="s">
        <v>58</v>
      </c>
      <c r="E120" s="290"/>
      <c r="F120" s="290"/>
      <c r="G120" s="246"/>
      <c r="H120" s="241"/>
      <c r="I120" s="257"/>
      <c r="J120" s="262"/>
      <c r="K120" s="297"/>
      <c r="L120" s="291"/>
      <c r="M120" s="292"/>
      <c r="N120" s="248"/>
      <c r="O120" s="248"/>
      <c r="P120" s="248"/>
      <c r="Q120" s="74"/>
      <c r="R120" s="9"/>
      <c r="S120" s="9"/>
      <c r="T120" s="74"/>
    </row>
    <row r="121" spans="1:20" ht="23.25" x14ac:dyDescent="0.25">
      <c r="A121" s="248"/>
      <c r="B121" s="248"/>
      <c r="C121" s="468"/>
      <c r="D121" s="259" t="s">
        <v>38</v>
      </c>
      <c r="E121" s="290"/>
      <c r="F121" s="290"/>
      <c r="G121" s="293"/>
      <c r="H121" s="294"/>
      <c r="I121" s="295"/>
      <c r="J121" s="296"/>
      <c r="K121" s="297"/>
      <c r="L121" s="291"/>
      <c r="M121" s="292"/>
      <c r="N121" s="248"/>
      <c r="O121" s="248"/>
      <c r="P121" s="248"/>
      <c r="Q121" s="74"/>
      <c r="R121" s="9"/>
      <c r="S121" s="9"/>
      <c r="T121" s="74"/>
    </row>
    <row r="122" spans="1:20" ht="23.25" x14ac:dyDescent="0.25">
      <c r="A122" s="248"/>
      <c r="B122" s="248"/>
      <c r="C122" s="468"/>
      <c r="D122" s="259" t="s">
        <v>6</v>
      </c>
      <c r="E122" s="290"/>
      <c r="F122" s="290"/>
      <c r="G122" s="290"/>
      <c r="H122" s="248"/>
      <c r="I122" s="292"/>
      <c r="J122" s="296"/>
      <c r="K122" s="291"/>
      <c r="L122" s="291"/>
      <c r="M122" s="292"/>
      <c r="N122" s="248"/>
      <c r="O122" s="248"/>
      <c r="P122" s="248"/>
      <c r="Q122" s="74"/>
      <c r="R122" s="9"/>
      <c r="S122" s="9"/>
      <c r="T122" s="74"/>
    </row>
    <row r="123" spans="1:20" ht="93" x14ac:dyDescent="0.25">
      <c r="A123" s="248"/>
      <c r="B123" s="248"/>
      <c r="C123" s="468"/>
      <c r="D123" s="259" t="s">
        <v>67</v>
      </c>
      <c r="E123" s="290"/>
      <c r="F123" s="290"/>
      <c r="G123" s="263" t="s">
        <v>499</v>
      </c>
      <c r="H123" s="247"/>
      <c r="I123" s="264"/>
      <c r="J123" s="265">
        <f>J117+J116+J119+J120</f>
        <v>200000001.01999998</v>
      </c>
      <c r="K123" s="291"/>
      <c r="L123" s="291"/>
      <c r="M123" s="292"/>
      <c r="N123" s="248"/>
      <c r="O123" s="248"/>
      <c r="P123" s="248"/>
      <c r="Q123" s="74"/>
      <c r="R123" s="9"/>
      <c r="S123" s="9"/>
      <c r="T123" s="74"/>
    </row>
    <row r="124" spans="1:20" ht="23.25" x14ac:dyDescent="0.25">
      <c r="A124" s="248"/>
      <c r="B124" s="248"/>
      <c r="C124" s="468"/>
      <c r="D124" s="259" t="s">
        <v>53</v>
      </c>
      <c r="E124" s="290"/>
      <c r="F124" s="290"/>
      <c r="G124" s="290"/>
      <c r="H124" s="248"/>
      <c r="I124" s="292"/>
      <c r="J124" s="298"/>
      <c r="K124" s="291"/>
      <c r="L124" s="291"/>
      <c r="M124" s="292"/>
      <c r="N124" s="248"/>
      <c r="O124" s="248"/>
      <c r="P124" s="248"/>
      <c r="Q124" s="74"/>
      <c r="R124" s="9"/>
      <c r="S124" s="9"/>
      <c r="T124" s="74"/>
    </row>
    <row r="125" spans="1:20" ht="23.25" x14ac:dyDescent="0.25">
      <c r="A125" s="248"/>
      <c r="B125" s="248"/>
      <c r="C125" s="468"/>
      <c r="D125" s="259" t="s">
        <v>17</v>
      </c>
      <c r="E125" s="290"/>
      <c r="F125" s="290"/>
      <c r="G125" s="290" t="s">
        <v>421</v>
      </c>
      <c r="H125" s="248"/>
      <c r="I125" s="292"/>
      <c r="J125" s="299">
        <f>J114-J123</f>
        <v>-1.0199999809265137</v>
      </c>
      <c r="K125" s="295"/>
      <c r="L125" s="291"/>
      <c r="M125" s="292"/>
      <c r="N125" s="248"/>
      <c r="O125" s="248"/>
      <c r="P125" s="248"/>
      <c r="Q125" s="74"/>
      <c r="R125" s="9"/>
      <c r="S125" s="9"/>
      <c r="T125" s="74"/>
    </row>
    <row r="126" spans="1:20" ht="23.25" x14ac:dyDescent="0.25">
      <c r="A126" s="248"/>
      <c r="B126" s="248"/>
      <c r="C126" s="469"/>
      <c r="D126" s="259" t="s">
        <v>75</v>
      </c>
      <c r="E126" s="290"/>
      <c r="F126" s="290"/>
      <c r="G126" s="290"/>
      <c r="H126" s="248"/>
      <c r="I126" s="292"/>
      <c r="J126" s="298"/>
      <c r="K126" s="291"/>
      <c r="L126" s="291"/>
      <c r="M126" s="292"/>
      <c r="N126" s="248"/>
      <c r="O126" s="248"/>
      <c r="P126" s="248"/>
      <c r="Q126" s="74"/>
      <c r="R126" s="9"/>
      <c r="S126" s="9"/>
      <c r="T126" s="74"/>
    </row>
    <row r="127" spans="1:20" ht="23.25" x14ac:dyDescent="0.25">
      <c r="A127" s="234"/>
      <c r="B127" s="234"/>
      <c r="C127" s="234"/>
      <c r="D127" s="300"/>
      <c r="E127" s="300"/>
      <c r="F127" s="300"/>
      <c r="G127" s="300"/>
      <c r="H127" s="234"/>
      <c r="I127" s="301"/>
      <c r="J127" s="302"/>
      <c r="K127" s="303"/>
      <c r="L127" s="303"/>
      <c r="M127" s="301"/>
      <c r="N127" s="234"/>
      <c r="O127" s="234"/>
      <c r="P127" s="234"/>
      <c r="Q127" s="74"/>
      <c r="R127" s="9"/>
      <c r="S127" s="9"/>
      <c r="T127" s="74"/>
    </row>
    <row r="128" spans="1:20" ht="46.5" x14ac:dyDescent="0.25">
      <c r="A128" s="234"/>
      <c r="B128" s="234"/>
      <c r="C128" s="479" t="s">
        <v>57</v>
      </c>
      <c r="D128" s="480" t="s">
        <v>54</v>
      </c>
      <c r="E128" s="267" t="s">
        <v>41</v>
      </c>
      <c r="F128" s="235"/>
      <c r="G128" s="300"/>
      <c r="H128" s="234"/>
      <c r="I128" s="301"/>
      <c r="J128" s="302"/>
      <c r="K128" s="303"/>
      <c r="L128" s="303"/>
      <c r="M128" s="301"/>
      <c r="N128" s="234"/>
      <c r="O128" s="234"/>
      <c r="P128" s="234"/>
      <c r="Q128" s="74"/>
      <c r="R128" s="9"/>
      <c r="S128" s="9"/>
      <c r="T128" s="74"/>
    </row>
    <row r="129" spans="1:20" ht="23.25" x14ac:dyDescent="0.25">
      <c r="A129" s="234"/>
      <c r="B129" s="234"/>
      <c r="C129" s="479"/>
      <c r="D129" s="480"/>
      <c r="E129" s="267" t="s">
        <v>76</v>
      </c>
      <c r="F129" s="235"/>
      <c r="G129" s="300"/>
      <c r="H129" s="234"/>
      <c r="I129" s="301"/>
      <c r="J129" s="302"/>
      <c r="K129" s="303"/>
      <c r="L129" s="303"/>
      <c r="M129" s="301"/>
      <c r="N129" s="234"/>
      <c r="O129" s="234"/>
      <c r="P129" s="234"/>
      <c r="Q129" s="74"/>
      <c r="R129" s="9"/>
      <c r="S129" s="9"/>
      <c r="T129" s="74"/>
    </row>
    <row r="130" spans="1:20" ht="46.5" x14ac:dyDescent="0.25">
      <c r="A130" s="234"/>
      <c r="B130" s="234"/>
      <c r="C130" s="479"/>
      <c r="D130" s="480"/>
      <c r="E130" s="267" t="s">
        <v>77</v>
      </c>
      <c r="F130" s="235"/>
      <c r="G130" s="300"/>
      <c r="H130" s="234"/>
      <c r="I130" s="301"/>
      <c r="J130" s="302"/>
      <c r="K130" s="303"/>
      <c r="L130" s="303"/>
      <c r="M130" s="301"/>
      <c r="N130" s="234"/>
      <c r="O130" s="234"/>
      <c r="P130" s="234"/>
      <c r="Q130" s="74"/>
      <c r="R130" s="9"/>
      <c r="S130" s="9"/>
      <c r="T130" s="74"/>
    </row>
    <row r="131" spans="1:20" ht="23.25" x14ac:dyDescent="0.25">
      <c r="A131" s="234"/>
      <c r="B131" s="234"/>
      <c r="C131" s="479"/>
      <c r="D131" s="480"/>
      <c r="E131" s="267" t="s">
        <v>31</v>
      </c>
      <c r="F131" s="235"/>
      <c r="G131" s="300"/>
      <c r="H131" s="234"/>
      <c r="I131" s="301"/>
      <c r="J131" s="302"/>
      <c r="K131" s="303"/>
      <c r="L131" s="303"/>
      <c r="M131" s="301"/>
      <c r="N131" s="234"/>
      <c r="O131" s="234"/>
      <c r="P131" s="234"/>
      <c r="Q131" s="74"/>
      <c r="R131" s="9"/>
      <c r="S131" s="9"/>
      <c r="T131" s="74"/>
    </row>
    <row r="132" spans="1:20" ht="23.25" x14ac:dyDescent="0.25">
      <c r="A132" s="234"/>
      <c r="B132" s="234"/>
      <c r="C132" s="479"/>
      <c r="D132" s="480"/>
      <c r="E132" s="267" t="s">
        <v>34</v>
      </c>
      <c r="F132" s="235"/>
      <c r="G132" s="300"/>
      <c r="H132" s="234"/>
      <c r="I132" s="301"/>
      <c r="J132" s="302"/>
      <c r="K132" s="303"/>
      <c r="L132" s="303"/>
      <c r="M132" s="301"/>
      <c r="N132" s="234"/>
      <c r="O132" s="234"/>
      <c r="P132" s="234"/>
      <c r="Q132" s="74"/>
      <c r="R132" s="9"/>
      <c r="S132" s="9"/>
      <c r="T132" s="74"/>
    </row>
    <row r="133" spans="1:20" ht="46.5" x14ac:dyDescent="0.25">
      <c r="A133" s="234"/>
      <c r="B133" s="234"/>
      <c r="C133" s="479"/>
      <c r="D133" s="480"/>
      <c r="E133" s="267" t="s">
        <v>42</v>
      </c>
      <c r="F133" s="235"/>
      <c r="G133" s="300"/>
      <c r="H133" s="234"/>
      <c r="I133" s="301"/>
      <c r="J133" s="302"/>
      <c r="K133" s="303"/>
      <c r="L133" s="303"/>
      <c r="M133" s="301"/>
      <c r="N133" s="234"/>
      <c r="O133" s="234"/>
      <c r="P133" s="234"/>
      <c r="Q133" s="74"/>
      <c r="R133" s="9"/>
      <c r="S133" s="9"/>
      <c r="T133" s="74"/>
    </row>
    <row r="134" spans="1:20" ht="46.5" x14ac:dyDescent="0.25">
      <c r="A134" s="234"/>
      <c r="B134" s="234"/>
      <c r="C134" s="479"/>
      <c r="D134" s="480"/>
      <c r="E134" s="267" t="s">
        <v>78</v>
      </c>
      <c r="F134" s="235"/>
      <c r="G134" s="300"/>
      <c r="H134" s="234"/>
      <c r="I134" s="301"/>
      <c r="J134" s="302"/>
      <c r="K134" s="303"/>
      <c r="L134" s="303"/>
      <c r="M134" s="301"/>
      <c r="N134" s="234"/>
      <c r="O134" s="234"/>
      <c r="P134" s="234"/>
      <c r="Q134" s="74"/>
      <c r="R134" s="9"/>
      <c r="S134" s="9"/>
      <c r="T134" s="74"/>
    </row>
    <row r="135" spans="1:20" ht="23.25" x14ac:dyDescent="0.25">
      <c r="A135" s="234"/>
      <c r="B135" s="234"/>
      <c r="C135" s="479"/>
      <c r="D135" s="481" t="s">
        <v>56</v>
      </c>
      <c r="E135" s="267" t="s">
        <v>35</v>
      </c>
      <c r="F135" s="235"/>
      <c r="G135" s="300"/>
      <c r="H135" s="234"/>
      <c r="I135" s="301"/>
      <c r="J135" s="302"/>
      <c r="K135" s="303"/>
      <c r="L135" s="303"/>
      <c r="M135" s="301"/>
      <c r="N135" s="234"/>
      <c r="O135" s="234"/>
      <c r="P135" s="234"/>
      <c r="Q135" s="74"/>
      <c r="R135" s="9"/>
      <c r="S135" s="9"/>
      <c r="T135" s="74"/>
    </row>
    <row r="136" spans="1:20" ht="23.25" x14ac:dyDescent="0.25">
      <c r="A136" s="234"/>
      <c r="B136" s="234"/>
      <c r="C136" s="479"/>
      <c r="D136" s="481"/>
      <c r="E136" s="267" t="s">
        <v>36</v>
      </c>
      <c r="F136" s="235"/>
      <c r="G136" s="300"/>
      <c r="H136" s="234"/>
      <c r="I136" s="301"/>
      <c r="J136" s="302"/>
      <c r="K136" s="303"/>
      <c r="L136" s="303"/>
      <c r="M136" s="301"/>
      <c r="N136" s="234"/>
      <c r="O136" s="234"/>
      <c r="P136" s="234"/>
      <c r="Q136" s="74"/>
      <c r="R136" s="9"/>
      <c r="S136" s="9"/>
      <c r="T136" s="74"/>
    </row>
    <row r="137" spans="1:20" ht="23.25" x14ac:dyDescent="0.25">
      <c r="A137" s="234"/>
      <c r="B137" s="234"/>
      <c r="C137" s="479"/>
      <c r="D137" s="481"/>
      <c r="E137" s="267" t="s">
        <v>37</v>
      </c>
      <c r="F137" s="235"/>
      <c r="G137" s="300"/>
      <c r="H137" s="234"/>
      <c r="I137" s="301"/>
      <c r="J137" s="302"/>
      <c r="K137" s="303"/>
      <c r="L137" s="303"/>
      <c r="M137" s="301"/>
      <c r="N137" s="234"/>
      <c r="O137" s="234"/>
      <c r="P137" s="234"/>
      <c r="Q137" s="74"/>
      <c r="R137" s="9"/>
      <c r="S137" s="9"/>
      <c r="T137" s="74"/>
    </row>
    <row r="138" spans="1:20" ht="23.25" x14ac:dyDescent="0.25">
      <c r="A138" s="234"/>
      <c r="B138" s="234"/>
      <c r="C138" s="479"/>
      <c r="D138" s="481"/>
      <c r="E138" s="267" t="s">
        <v>31</v>
      </c>
      <c r="F138" s="235"/>
      <c r="G138" s="300"/>
      <c r="H138" s="234"/>
      <c r="I138" s="301"/>
      <c r="J138" s="302"/>
      <c r="K138" s="303"/>
      <c r="L138" s="303"/>
      <c r="M138" s="301"/>
      <c r="N138" s="234"/>
      <c r="O138" s="234"/>
      <c r="P138" s="234"/>
      <c r="Q138" s="74"/>
      <c r="R138" s="9"/>
      <c r="S138" s="9"/>
      <c r="T138" s="74"/>
    </row>
    <row r="139" spans="1:20" ht="23.25" x14ac:dyDescent="0.25">
      <c r="A139" s="234"/>
      <c r="B139" s="234"/>
      <c r="C139" s="479"/>
      <c r="D139" s="481"/>
      <c r="E139" s="267" t="s">
        <v>34</v>
      </c>
      <c r="F139" s="235"/>
      <c r="G139" s="300"/>
      <c r="H139" s="234"/>
      <c r="I139" s="301"/>
      <c r="J139" s="302"/>
      <c r="K139" s="303"/>
      <c r="L139" s="303"/>
      <c r="M139" s="301"/>
      <c r="N139" s="234"/>
      <c r="O139" s="234"/>
      <c r="P139" s="234"/>
      <c r="Q139" s="74"/>
      <c r="R139" s="9"/>
      <c r="S139" s="9"/>
      <c r="T139" s="74"/>
    </row>
    <row r="140" spans="1:20" ht="23.25" x14ac:dyDescent="0.25">
      <c r="A140" s="234"/>
      <c r="B140" s="234"/>
      <c r="C140" s="479"/>
      <c r="D140" s="481"/>
      <c r="E140" s="267" t="s">
        <v>43</v>
      </c>
      <c r="F140" s="235"/>
      <c r="G140" s="300"/>
      <c r="H140" s="234"/>
      <c r="I140" s="301"/>
      <c r="J140" s="302"/>
      <c r="K140" s="303"/>
      <c r="L140" s="303"/>
      <c r="M140" s="301"/>
      <c r="N140" s="234"/>
      <c r="O140" s="234"/>
      <c r="P140" s="234"/>
      <c r="Q140" s="74"/>
      <c r="R140" s="9"/>
      <c r="S140" s="9"/>
      <c r="T140" s="74"/>
    </row>
    <row r="141" spans="1:20" ht="46.5" x14ac:dyDescent="0.25">
      <c r="A141" s="234"/>
      <c r="B141" s="234"/>
      <c r="C141" s="479"/>
      <c r="D141" s="481"/>
      <c r="E141" s="267" t="s">
        <v>79</v>
      </c>
      <c r="F141" s="235"/>
      <c r="G141" s="300"/>
      <c r="H141" s="234"/>
      <c r="I141" s="301"/>
      <c r="J141" s="302"/>
      <c r="K141" s="303"/>
      <c r="L141" s="303"/>
      <c r="M141" s="301"/>
      <c r="N141" s="234"/>
      <c r="O141" s="234"/>
      <c r="P141" s="234"/>
      <c r="Q141" s="74"/>
      <c r="R141" s="9"/>
      <c r="S141" s="9"/>
      <c r="T141" s="74"/>
    </row>
    <row r="142" spans="1:20" ht="46.5" x14ac:dyDescent="0.25">
      <c r="A142" s="234"/>
      <c r="B142" s="234"/>
      <c r="C142" s="479"/>
      <c r="D142" s="481"/>
      <c r="E142" s="267" t="s">
        <v>55</v>
      </c>
      <c r="F142" s="235"/>
      <c r="G142" s="300"/>
      <c r="H142" s="234"/>
      <c r="I142" s="301"/>
      <c r="J142" s="302"/>
      <c r="K142" s="303"/>
      <c r="L142" s="303"/>
      <c r="M142" s="301"/>
      <c r="N142" s="234"/>
      <c r="O142" s="234"/>
      <c r="P142" s="234"/>
      <c r="Q142" s="74"/>
      <c r="R142" s="9"/>
      <c r="S142" s="9"/>
      <c r="T142" s="74"/>
    </row>
    <row r="143" spans="1:20" ht="23.25" x14ac:dyDescent="0.25">
      <c r="A143" s="234"/>
      <c r="B143" s="234"/>
      <c r="C143" s="479"/>
      <c r="D143" s="481"/>
      <c r="E143" s="267" t="s">
        <v>5</v>
      </c>
      <c r="F143" s="235"/>
      <c r="G143" s="300"/>
      <c r="H143" s="234"/>
      <c r="I143" s="301"/>
      <c r="J143" s="302"/>
      <c r="K143" s="303"/>
      <c r="L143" s="303"/>
      <c r="M143" s="301"/>
      <c r="N143" s="234"/>
      <c r="O143" s="234"/>
      <c r="P143" s="234"/>
      <c r="Q143" s="74"/>
      <c r="R143" s="9"/>
      <c r="S143" s="9"/>
      <c r="T143" s="74"/>
    </row>
    <row r="144" spans="1:20" ht="46.5" x14ac:dyDescent="0.25">
      <c r="A144" s="234"/>
      <c r="B144" s="234"/>
      <c r="C144" s="479"/>
      <c r="D144" s="481"/>
      <c r="E144" s="267" t="s">
        <v>13</v>
      </c>
      <c r="F144" s="235"/>
      <c r="G144" s="300"/>
      <c r="H144" s="234"/>
      <c r="I144" s="301"/>
      <c r="J144" s="302"/>
      <c r="K144" s="303"/>
      <c r="L144" s="303"/>
      <c r="M144" s="301"/>
      <c r="N144" s="234"/>
      <c r="O144" s="234"/>
      <c r="P144" s="234"/>
      <c r="Q144" s="74"/>
      <c r="R144" s="9"/>
      <c r="S144" s="9"/>
      <c r="T144" s="74"/>
    </row>
    <row r="145" spans="1:20" ht="23.25" x14ac:dyDescent="0.25">
      <c r="A145" s="234"/>
      <c r="B145" s="234"/>
      <c r="C145" s="479"/>
      <c r="D145" s="482" t="s">
        <v>80</v>
      </c>
      <c r="E145" s="267" t="s">
        <v>81</v>
      </c>
      <c r="F145" s="235"/>
      <c r="G145" s="300"/>
      <c r="H145" s="234"/>
      <c r="I145" s="301"/>
      <c r="J145" s="302"/>
      <c r="K145" s="303"/>
      <c r="L145" s="303"/>
      <c r="M145" s="301"/>
      <c r="N145" s="234"/>
      <c r="O145" s="234"/>
      <c r="P145" s="234"/>
      <c r="Q145" s="74"/>
      <c r="R145" s="9"/>
      <c r="S145" s="9"/>
      <c r="T145" s="74"/>
    </row>
    <row r="146" spans="1:20" ht="23.25" x14ac:dyDescent="0.25">
      <c r="A146" s="234"/>
      <c r="B146" s="234"/>
      <c r="C146" s="479"/>
      <c r="D146" s="483"/>
      <c r="E146" s="267" t="s">
        <v>31</v>
      </c>
      <c r="F146" s="235"/>
      <c r="G146" s="300"/>
      <c r="H146" s="234"/>
      <c r="I146" s="301"/>
      <c r="J146" s="302"/>
      <c r="K146" s="303"/>
      <c r="L146" s="303"/>
      <c r="M146" s="301"/>
      <c r="N146" s="234"/>
      <c r="O146" s="234"/>
      <c r="P146" s="234"/>
      <c r="Q146" s="74"/>
      <c r="R146" s="9"/>
      <c r="S146" s="9"/>
      <c r="T146" s="74"/>
    </row>
    <row r="147" spans="1:20" ht="23.25" x14ac:dyDescent="0.25">
      <c r="A147" s="234"/>
      <c r="B147" s="234"/>
      <c r="C147" s="479"/>
      <c r="D147" s="484"/>
      <c r="E147" s="267" t="s">
        <v>34</v>
      </c>
      <c r="F147" s="235"/>
      <c r="G147" s="300"/>
      <c r="H147" s="234"/>
      <c r="I147" s="301"/>
      <c r="J147" s="302"/>
      <c r="K147" s="303"/>
      <c r="L147" s="303"/>
      <c r="M147" s="301"/>
      <c r="N147" s="234"/>
      <c r="O147" s="234"/>
      <c r="P147" s="234"/>
      <c r="Q147" s="74"/>
      <c r="R147" s="9"/>
      <c r="S147" s="9"/>
      <c r="T147" s="74"/>
    </row>
  </sheetData>
  <mergeCells count="34">
    <mergeCell ref="C52:I52"/>
    <mergeCell ref="I8:I9"/>
    <mergeCell ref="C38:I38"/>
    <mergeCell ref="C128:C147"/>
    <mergeCell ref="D128:D134"/>
    <mergeCell ref="D135:D144"/>
    <mergeCell ref="D145:D147"/>
    <mergeCell ref="C89:I89"/>
    <mergeCell ref="C100:I100"/>
    <mergeCell ref="C108:I108"/>
    <mergeCell ref="D113:E113"/>
    <mergeCell ref="C115:C117"/>
    <mergeCell ref="C119:C126"/>
    <mergeCell ref="M8:M9"/>
    <mergeCell ref="N8:N9"/>
    <mergeCell ref="C10:I10"/>
    <mergeCell ref="C19:I19"/>
    <mergeCell ref="A8:A9"/>
    <mergeCell ref="Y1:Z1"/>
    <mergeCell ref="C2:E2"/>
    <mergeCell ref="C4:E4"/>
    <mergeCell ref="B8:B9"/>
    <mergeCell ref="C8:C9"/>
    <mergeCell ref="D8:D9"/>
    <mergeCell ref="E8:E9"/>
    <mergeCell ref="F8:F9"/>
    <mergeCell ref="G8:G9"/>
    <mergeCell ref="H8:H9"/>
    <mergeCell ref="R8:R9"/>
    <mergeCell ref="T8:T9"/>
    <mergeCell ref="O8:P8"/>
    <mergeCell ref="Q8:Q9"/>
    <mergeCell ref="S8:S9"/>
    <mergeCell ref="J8:L8"/>
  </mergeCells>
  <dataValidations count="6">
    <dataValidation type="list" allowBlank="1" showInputMessage="1" showErrorMessage="1" sqref="G109:G110 G107 G101:G105 G77:G87 G65 G45 G53:G63 G70:G75" xr:uid="{00000000-0002-0000-0300-000000000000}">
      <formula1>$E$128:$E$134</formula1>
    </dataValidation>
    <dataValidation type="list" allowBlank="1" showInputMessage="1" showErrorMessage="1" sqref="N109:N110 N11:N17 N53:N87 N90:N99 N101:N107 N39:N50 N20:N36" xr:uid="{00000000-0002-0000-0300-000001000000}">
      <formula1>$D$115:$D$117</formula1>
    </dataValidation>
    <dataValidation type="list" allowBlank="1" showInputMessage="1" showErrorMessage="1" sqref="T20:T36 T101:T107 T109:T111 T90:T99 T11:T17 T53:T88 T39:T50" xr:uid="{00000000-0002-0000-0300-000002000000}">
      <formula1>$D$119:$D$126</formula1>
    </dataValidation>
    <dataValidation type="list" allowBlank="1" showInputMessage="1" showErrorMessage="1" sqref="G76 G106 G11:G17 G20:G36 G39:G44 G46:G50" xr:uid="{00000000-0002-0000-0300-000003000000}">
      <formula1>$E$135:$E$144</formula1>
    </dataValidation>
    <dataValidation type="list" allowBlank="1" showInputMessage="1" showErrorMessage="1" sqref="G64 G66:G69" xr:uid="{00000000-0002-0000-0300-000004000000}">
      <formula1>$E$124:$E$130</formula1>
    </dataValidation>
    <dataValidation type="list" allowBlank="1" showInputMessage="1" showErrorMessage="1" sqref="G90:G99" xr:uid="{00000000-0002-0000-0300-000005000000}">
      <formula1>$E$145:$E$147</formula1>
    </dataValidation>
  </dataValidations>
  <printOptions horizontalCentered="1"/>
  <pageMargins left="0.11811023622047245" right="0.11811023622047245" top="0.55118110236220474" bottom="0.55118110236220474" header="0.31496062992125984" footer="0.31496062992125984"/>
  <pageSetup paperSize="9" scale="35" orientation="landscape" verticalDpi="90" r:id="rId1"/>
  <headerFooter>
    <oddFooter>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5:H123"/>
  <sheetViews>
    <sheetView view="pageBreakPreview" topLeftCell="A106" zoomScaleSheetLayoutView="100" workbookViewId="0">
      <selection activeCell="I120" sqref="I120"/>
    </sheetView>
  </sheetViews>
  <sheetFormatPr defaultRowHeight="15" x14ac:dyDescent="0.25"/>
  <cols>
    <col min="1" max="1" width="9.140625" style="151"/>
    <col min="2" max="2" width="51.42578125" style="151" customWidth="1"/>
    <col min="3" max="3" width="17.28515625" style="151" customWidth="1"/>
    <col min="4" max="5" width="14.28515625" style="151" customWidth="1"/>
    <col min="6" max="16384" width="9.140625" style="151"/>
  </cols>
  <sheetData>
    <row r="5" spans="2:3" x14ac:dyDescent="0.25">
      <c r="B5" s="149" t="s">
        <v>455</v>
      </c>
      <c r="C5" s="150" t="s">
        <v>456</v>
      </c>
    </row>
    <row r="6" spans="2:3" ht="28.5" x14ac:dyDescent="0.25">
      <c r="B6" s="152" t="s">
        <v>457</v>
      </c>
      <c r="C6" s="153">
        <v>3106250</v>
      </c>
    </row>
    <row r="7" spans="2:3" x14ac:dyDescent="0.25">
      <c r="B7" s="154" t="s">
        <v>197</v>
      </c>
      <c r="C7" s="155">
        <v>156250</v>
      </c>
    </row>
    <row r="8" spans="2:3" x14ac:dyDescent="0.25">
      <c r="B8" s="154" t="s">
        <v>140</v>
      </c>
      <c r="C8" s="155">
        <v>250000</v>
      </c>
    </row>
    <row r="9" spans="2:3" x14ac:dyDescent="0.25">
      <c r="B9" s="154" t="s">
        <v>147</v>
      </c>
      <c r="C9" s="155">
        <v>62500</v>
      </c>
    </row>
    <row r="10" spans="2:3" x14ac:dyDescent="0.25">
      <c r="B10" s="154" t="s">
        <v>194</v>
      </c>
      <c r="C10" s="155">
        <v>93750</v>
      </c>
    </row>
    <row r="11" spans="2:3" x14ac:dyDescent="0.25">
      <c r="B11" s="154" t="s">
        <v>195</v>
      </c>
      <c r="C11" s="155">
        <v>125000</v>
      </c>
    </row>
    <row r="12" spans="2:3" x14ac:dyDescent="0.25">
      <c r="B12" s="154" t="s">
        <v>196</v>
      </c>
      <c r="C12" s="155">
        <v>37500</v>
      </c>
    </row>
    <row r="13" spans="2:3" x14ac:dyDescent="0.25">
      <c r="B13" s="154" t="s">
        <v>132</v>
      </c>
      <c r="C13" s="155">
        <v>781250</v>
      </c>
    </row>
    <row r="14" spans="2:3" x14ac:dyDescent="0.25">
      <c r="B14" s="154" t="s">
        <v>148</v>
      </c>
      <c r="C14" s="155">
        <v>656250</v>
      </c>
    </row>
    <row r="15" spans="2:3" x14ac:dyDescent="0.25">
      <c r="B15" s="154" t="s">
        <v>165</v>
      </c>
      <c r="C15" s="155">
        <v>15625</v>
      </c>
    </row>
    <row r="16" spans="2:3" x14ac:dyDescent="0.25">
      <c r="B16" s="154" t="s">
        <v>166</v>
      </c>
      <c r="C16" s="155">
        <v>15625</v>
      </c>
    </row>
    <row r="17" spans="2:6" x14ac:dyDescent="0.25">
      <c r="B17" s="154" t="s">
        <v>167</v>
      </c>
      <c r="C17" s="155">
        <v>56250</v>
      </c>
    </row>
    <row r="18" spans="2:6" x14ac:dyDescent="0.25">
      <c r="B18" s="154" t="s">
        <v>168</v>
      </c>
      <c r="C18" s="155">
        <v>37500</v>
      </c>
    </row>
    <row r="19" spans="2:6" x14ac:dyDescent="0.25">
      <c r="B19" s="154" t="s">
        <v>169</v>
      </c>
      <c r="C19" s="155">
        <v>78125</v>
      </c>
    </row>
    <row r="20" spans="2:6" x14ac:dyDescent="0.25">
      <c r="B20" s="154" t="s">
        <v>170</v>
      </c>
      <c r="C20" s="155">
        <v>25000</v>
      </c>
    </row>
    <row r="21" spans="2:6" x14ac:dyDescent="0.25">
      <c r="B21" s="154" t="s">
        <v>171</v>
      </c>
      <c r="C21" s="155">
        <v>37500</v>
      </c>
    </row>
    <row r="22" spans="2:6" x14ac:dyDescent="0.25">
      <c r="B22" s="154" t="s">
        <v>172</v>
      </c>
      <c r="C22" s="155">
        <v>37500</v>
      </c>
    </row>
    <row r="23" spans="2:6" x14ac:dyDescent="0.25">
      <c r="B23" s="154" t="s">
        <v>173</v>
      </c>
      <c r="C23" s="155">
        <v>37500</v>
      </c>
    </row>
    <row r="24" spans="2:6" x14ac:dyDescent="0.25">
      <c r="B24" s="154" t="s">
        <v>174</v>
      </c>
      <c r="C24" s="155">
        <v>62500</v>
      </c>
    </row>
    <row r="25" spans="2:6" x14ac:dyDescent="0.25">
      <c r="B25" s="154" t="s">
        <v>143</v>
      </c>
      <c r="C25" s="155">
        <v>15625</v>
      </c>
    </row>
    <row r="26" spans="2:6" x14ac:dyDescent="0.25">
      <c r="B26" s="156" t="s">
        <v>259</v>
      </c>
      <c r="C26" s="157">
        <f>500000+25000</f>
        <v>525000</v>
      </c>
    </row>
    <row r="27" spans="2:6" x14ac:dyDescent="0.25">
      <c r="B27" s="158" t="s">
        <v>458</v>
      </c>
      <c r="C27" s="159">
        <f>SUM(C7:C26)</f>
        <v>3106250</v>
      </c>
      <c r="D27" s="160" t="s">
        <v>459</v>
      </c>
      <c r="E27" s="161">
        <f>C6-C27</f>
        <v>0</v>
      </c>
      <c r="F27" s="160" t="s">
        <v>460</v>
      </c>
    </row>
    <row r="28" spans="2:6" x14ac:dyDescent="0.25">
      <c r="B28" s="162"/>
      <c r="C28" s="163"/>
    </row>
    <row r="29" spans="2:6" x14ac:dyDescent="0.25">
      <c r="B29" s="164" t="s">
        <v>461</v>
      </c>
      <c r="C29" s="165">
        <v>500000</v>
      </c>
    </row>
    <row r="30" spans="2:6" x14ac:dyDescent="0.25">
      <c r="B30" s="154" t="s">
        <v>258</v>
      </c>
      <c r="C30" s="155">
        <v>210938</v>
      </c>
    </row>
    <row r="31" spans="2:6" x14ac:dyDescent="0.25">
      <c r="B31" s="154" t="s">
        <v>176</v>
      </c>
      <c r="C31" s="155">
        <v>289062</v>
      </c>
    </row>
    <row r="32" spans="2:6" x14ac:dyDescent="0.25">
      <c r="B32" s="158" t="s">
        <v>458</v>
      </c>
      <c r="C32" s="159">
        <f>SUM(C30:C31)</f>
        <v>500000</v>
      </c>
    </row>
    <row r="33" spans="2:3" x14ac:dyDescent="0.25">
      <c r="B33" s="154"/>
      <c r="C33" s="168"/>
    </row>
    <row r="34" spans="2:3" x14ac:dyDescent="0.25">
      <c r="B34" s="164" t="s">
        <v>462</v>
      </c>
      <c r="C34" s="165">
        <v>890625</v>
      </c>
    </row>
    <row r="35" spans="2:3" x14ac:dyDescent="0.25">
      <c r="B35" s="154" t="s">
        <v>259</v>
      </c>
      <c r="C35" s="168">
        <v>375000</v>
      </c>
    </row>
    <row r="36" spans="2:3" x14ac:dyDescent="0.25">
      <c r="B36" s="154" t="s">
        <v>268</v>
      </c>
      <c r="C36" s="155">
        <v>312500</v>
      </c>
    </row>
    <row r="37" spans="2:3" x14ac:dyDescent="0.25">
      <c r="B37" s="154" t="s">
        <v>436</v>
      </c>
      <c r="C37" s="155">
        <v>78126</v>
      </c>
    </row>
    <row r="38" spans="2:3" x14ac:dyDescent="0.25">
      <c r="B38" s="154" t="s">
        <v>439</v>
      </c>
      <c r="C38" s="155">
        <v>62500</v>
      </c>
    </row>
    <row r="39" spans="2:3" x14ac:dyDescent="0.25">
      <c r="B39" s="154" t="s">
        <v>441</v>
      </c>
      <c r="C39" s="155">
        <v>37500</v>
      </c>
    </row>
    <row r="40" spans="2:3" x14ac:dyDescent="0.25">
      <c r="B40" s="154" t="s">
        <v>443</v>
      </c>
      <c r="C40" s="155">
        <v>25000</v>
      </c>
    </row>
    <row r="41" spans="2:3" x14ac:dyDescent="0.25">
      <c r="B41" s="158" t="s">
        <v>458</v>
      </c>
      <c r="C41" s="159">
        <f>SUM(C35:C40)</f>
        <v>890626</v>
      </c>
    </row>
    <row r="42" spans="2:3" x14ac:dyDescent="0.25">
      <c r="B42" s="158"/>
      <c r="C42" s="159"/>
    </row>
    <row r="43" spans="2:3" x14ac:dyDescent="0.25">
      <c r="B43" s="164" t="s">
        <v>463</v>
      </c>
      <c r="C43" s="165">
        <v>1031250</v>
      </c>
    </row>
    <row r="44" spans="2:3" x14ac:dyDescent="0.25">
      <c r="B44" s="154" t="s">
        <v>261</v>
      </c>
      <c r="C44" s="155">
        <v>937500</v>
      </c>
    </row>
    <row r="45" spans="2:3" x14ac:dyDescent="0.25">
      <c r="B45" s="154" t="s">
        <v>244</v>
      </c>
      <c r="C45" s="155">
        <v>93750</v>
      </c>
    </row>
    <row r="46" spans="2:3" x14ac:dyDescent="0.25">
      <c r="B46" s="158" t="s">
        <v>458</v>
      </c>
      <c r="C46" s="159">
        <f>SUM(C44:C45)</f>
        <v>1031250</v>
      </c>
    </row>
    <row r="47" spans="2:3" x14ac:dyDescent="0.25">
      <c r="B47" s="162"/>
      <c r="C47" s="159"/>
    </row>
    <row r="48" spans="2:3" x14ac:dyDescent="0.25">
      <c r="B48" s="164" t="s">
        <v>464</v>
      </c>
      <c r="C48" s="165">
        <v>3090625</v>
      </c>
    </row>
    <row r="49" spans="2:6" x14ac:dyDescent="0.25">
      <c r="B49" s="154" t="s">
        <v>262</v>
      </c>
      <c r="C49" s="155">
        <v>90625</v>
      </c>
    </row>
    <row r="50" spans="2:6" x14ac:dyDescent="0.25">
      <c r="B50" s="154" t="s">
        <v>245</v>
      </c>
      <c r="C50" s="155">
        <v>2812500</v>
      </c>
    </row>
    <row r="51" spans="2:6" x14ac:dyDescent="0.25">
      <c r="B51" s="154" t="s">
        <v>246</v>
      </c>
      <c r="C51" s="155">
        <v>187500</v>
      </c>
    </row>
    <row r="52" spans="2:6" x14ac:dyDescent="0.25">
      <c r="B52" s="158" t="s">
        <v>458</v>
      </c>
      <c r="C52" s="159">
        <f>SUM(C49:C51)</f>
        <v>3090625</v>
      </c>
    </row>
    <row r="53" spans="2:6" x14ac:dyDescent="0.25">
      <c r="B53" s="154"/>
      <c r="C53" s="155"/>
    </row>
    <row r="54" spans="2:6" x14ac:dyDescent="0.25">
      <c r="B54" s="154"/>
      <c r="C54" s="155"/>
    </row>
    <row r="55" spans="2:6" x14ac:dyDescent="0.25">
      <c r="B55" s="154"/>
      <c r="C55" s="168"/>
    </row>
    <row r="56" spans="2:6" ht="30" x14ac:dyDescent="0.25">
      <c r="B56" s="162" t="s">
        <v>465</v>
      </c>
      <c r="C56" s="170">
        <v>710938</v>
      </c>
    </row>
    <row r="57" spans="2:6" x14ac:dyDescent="0.25">
      <c r="B57" s="154" t="s">
        <v>263</v>
      </c>
      <c r="C57" s="155">
        <v>312500</v>
      </c>
    </row>
    <row r="58" spans="2:6" x14ac:dyDescent="0.25">
      <c r="B58" s="154" t="s">
        <v>264</v>
      </c>
      <c r="C58" s="155">
        <v>7813</v>
      </c>
    </row>
    <row r="59" spans="2:6" x14ac:dyDescent="0.25">
      <c r="B59" s="154" t="s">
        <v>265</v>
      </c>
      <c r="C59" s="155">
        <v>62500</v>
      </c>
    </row>
    <row r="60" spans="2:6" x14ac:dyDescent="0.25">
      <c r="B60" s="154" t="s">
        <v>270</v>
      </c>
      <c r="C60" s="155">
        <v>250000</v>
      </c>
    </row>
    <row r="61" spans="2:6" x14ac:dyDescent="0.25">
      <c r="B61" s="156" t="s">
        <v>259</v>
      </c>
      <c r="C61" s="157">
        <v>78125</v>
      </c>
    </row>
    <row r="62" spans="2:6" x14ac:dyDescent="0.25">
      <c r="B62" s="158" t="s">
        <v>458</v>
      </c>
      <c r="C62" s="159">
        <f>SUM(C57:C61)</f>
        <v>710938</v>
      </c>
      <c r="D62" s="160" t="s">
        <v>459</v>
      </c>
      <c r="E62" s="161">
        <f>C56-C62</f>
        <v>0</v>
      </c>
      <c r="F62" s="160" t="s">
        <v>460</v>
      </c>
    </row>
    <row r="63" spans="2:6" x14ac:dyDescent="0.25">
      <c r="B63" s="154"/>
      <c r="C63" s="155"/>
    </row>
    <row r="64" spans="2:6" x14ac:dyDescent="0.25">
      <c r="B64" s="154"/>
      <c r="C64" s="155"/>
    </row>
    <row r="65" spans="2:3" x14ac:dyDescent="0.25">
      <c r="B65" s="154"/>
      <c r="C65" s="155"/>
    </row>
    <row r="66" spans="2:3" x14ac:dyDescent="0.25">
      <c r="B66" s="164" t="s">
        <v>466</v>
      </c>
      <c r="C66" s="165">
        <v>1353125</v>
      </c>
    </row>
    <row r="67" spans="2:3" x14ac:dyDescent="0.25">
      <c r="B67" s="154" t="s">
        <v>278</v>
      </c>
      <c r="C67" s="155">
        <v>1312500</v>
      </c>
    </row>
    <row r="68" spans="2:3" x14ac:dyDescent="0.25">
      <c r="B68" s="154" t="s">
        <v>424</v>
      </c>
      <c r="C68" s="155">
        <v>25000</v>
      </c>
    </row>
    <row r="69" spans="2:3" x14ac:dyDescent="0.25">
      <c r="B69" s="154" t="s">
        <v>256</v>
      </c>
      <c r="C69" s="155">
        <v>15625</v>
      </c>
    </row>
    <row r="70" spans="2:3" x14ac:dyDescent="0.25">
      <c r="B70" s="158" t="s">
        <v>458</v>
      </c>
      <c r="C70" s="159">
        <f>SUM(C67:C69)</f>
        <v>1353125</v>
      </c>
    </row>
    <row r="71" spans="2:3" x14ac:dyDescent="0.25">
      <c r="B71" s="158"/>
      <c r="C71" s="159"/>
    </row>
    <row r="72" spans="2:3" x14ac:dyDescent="0.25">
      <c r="B72" s="164" t="s">
        <v>467</v>
      </c>
      <c r="C72" s="165">
        <v>2812500</v>
      </c>
    </row>
    <row r="73" spans="2:3" x14ac:dyDescent="0.25">
      <c r="B73" s="154" t="s">
        <v>141</v>
      </c>
      <c r="C73" s="155">
        <v>937500</v>
      </c>
    </row>
    <row r="74" spans="2:3" x14ac:dyDescent="0.25">
      <c r="B74" s="154" t="s">
        <v>179</v>
      </c>
      <c r="C74" s="155">
        <v>1875000</v>
      </c>
    </row>
    <row r="75" spans="2:3" x14ac:dyDescent="0.25">
      <c r="B75" s="158" t="s">
        <v>458</v>
      </c>
      <c r="C75" s="159">
        <f>SUM(C73:C74)</f>
        <v>2812500</v>
      </c>
    </row>
    <row r="76" spans="2:3" x14ac:dyDescent="0.25">
      <c r="B76" s="154"/>
      <c r="C76" s="168"/>
    </row>
    <row r="77" spans="2:3" x14ac:dyDescent="0.25">
      <c r="B77" s="162" t="s">
        <v>468</v>
      </c>
      <c r="C77" s="170">
        <v>203125</v>
      </c>
    </row>
    <row r="78" spans="2:3" x14ac:dyDescent="0.25">
      <c r="B78" s="154" t="s">
        <v>269</v>
      </c>
      <c r="C78" s="155">
        <v>46875</v>
      </c>
    </row>
    <row r="79" spans="2:3" x14ac:dyDescent="0.25">
      <c r="B79" s="154" t="s">
        <v>242</v>
      </c>
      <c r="C79" s="155">
        <v>140625</v>
      </c>
    </row>
    <row r="80" spans="2:3" x14ac:dyDescent="0.25">
      <c r="B80" s="156" t="s">
        <v>259</v>
      </c>
      <c r="C80" s="157">
        <v>15625</v>
      </c>
    </row>
    <row r="81" spans="2:7" x14ac:dyDescent="0.25">
      <c r="B81" s="158" t="s">
        <v>458</v>
      </c>
      <c r="C81" s="159">
        <f>SUM(C78:C80)</f>
        <v>203125</v>
      </c>
      <c r="D81" s="160" t="s">
        <v>459</v>
      </c>
      <c r="E81" s="161">
        <f>C77-C81</f>
        <v>0</v>
      </c>
      <c r="F81" s="160" t="s">
        <v>460</v>
      </c>
    </row>
    <row r="82" spans="2:7" x14ac:dyDescent="0.25">
      <c r="B82" s="154"/>
      <c r="C82" s="168"/>
    </row>
    <row r="83" spans="2:7" ht="45" x14ac:dyDescent="0.25">
      <c r="B83" s="164" t="s">
        <v>469</v>
      </c>
      <c r="C83" s="165">
        <v>228125</v>
      </c>
    </row>
    <row r="84" spans="2:7" x14ac:dyDescent="0.25">
      <c r="B84" s="154" t="s">
        <v>271</v>
      </c>
      <c r="C84" s="155">
        <v>93750</v>
      </c>
    </row>
    <row r="85" spans="2:7" x14ac:dyDescent="0.25">
      <c r="B85" s="154" t="s">
        <v>248</v>
      </c>
      <c r="C85" s="155">
        <v>109375</v>
      </c>
    </row>
    <row r="86" spans="2:7" x14ac:dyDescent="0.25">
      <c r="B86" s="154" t="s">
        <v>257</v>
      </c>
      <c r="C86" s="155">
        <v>25000</v>
      </c>
    </row>
    <row r="87" spans="2:7" x14ac:dyDescent="0.25">
      <c r="B87" s="158" t="s">
        <v>458</v>
      </c>
      <c r="C87" s="159">
        <f>SUM(C84:C86)</f>
        <v>228125</v>
      </c>
    </row>
    <row r="88" spans="2:7" x14ac:dyDescent="0.25">
      <c r="B88" s="154"/>
      <c r="C88" s="168"/>
    </row>
    <row r="89" spans="2:7" x14ac:dyDescent="0.25">
      <c r="B89" s="162" t="s">
        <v>470</v>
      </c>
      <c r="C89" s="170">
        <f>'[5]PEP US$'!E39+'[5]PEP US$'!E40+'[5]PEP US$'!E42</f>
        <v>5012500</v>
      </c>
      <c r="D89" s="160" t="s">
        <v>459</v>
      </c>
      <c r="E89" s="161">
        <f>'[5]PEP US$'!E41</f>
        <v>234375</v>
      </c>
      <c r="F89" s="160" t="s">
        <v>471</v>
      </c>
      <c r="G89" s="160"/>
    </row>
    <row r="90" spans="2:7" x14ac:dyDescent="0.25">
      <c r="B90" s="154"/>
      <c r="C90" s="168"/>
      <c r="D90" s="171" t="s">
        <v>472</v>
      </c>
    </row>
    <row r="91" spans="2:7" x14ac:dyDescent="0.25">
      <c r="B91" s="154"/>
      <c r="C91" s="168"/>
    </row>
    <row r="92" spans="2:7" x14ac:dyDescent="0.25">
      <c r="B92" s="162" t="s">
        <v>473</v>
      </c>
      <c r="C92" s="170">
        <v>11806248.4375</v>
      </c>
    </row>
    <row r="93" spans="2:7" x14ac:dyDescent="0.25">
      <c r="B93" s="154"/>
      <c r="C93" s="168"/>
    </row>
    <row r="94" spans="2:7" x14ac:dyDescent="0.25">
      <c r="B94" s="154"/>
      <c r="C94" s="168"/>
    </row>
    <row r="95" spans="2:7" x14ac:dyDescent="0.25">
      <c r="B95" s="164" t="s">
        <v>474</v>
      </c>
      <c r="C95" s="165">
        <v>843750</v>
      </c>
    </row>
    <row r="96" spans="2:7" x14ac:dyDescent="0.25">
      <c r="B96" s="154" t="s">
        <v>177</v>
      </c>
      <c r="C96" s="155">
        <v>375000</v>
      </c>
    </row>
    <row r="97" spans="2:6" x14ac:dyDescent="0.25">
      <c r="B97" s="154" t="s">
        <v>178</v>
      </c>
      <c r="C97" s="155">
        <v>468750</v>
      </c>
    </row>
    <row r="98" spans="2:6" x14ac:dyDescent="0.25">
      <c r="B98" s="158" t="s">
        <v>458</v>
      </c>
      <c r="C98" s="159">
        <f>SUM(C96:C97)</f>
        <v>843750</v>
      </c>
    </row>
    <row r="99" spans="2:6" x14ac:dyDescent="0.25">
      <c r="B99" s="154"/>
      <c r="C99" s="168"/>
    </row>
    <row r="100" spans="2:6" x14ac:dyDescent="0.25">
      <c r="B100" s="154"/>
      <c r="C100" s="168"/>
    </row>
    <row r="101" spans="2:6" x14ac:dyDescent="0.25">
      <c r="B101" s="162" t="s">
        <v>475</v>
      </c>
      <c r="C101" s="170">
        <v>2090813</v>
      </c>
    </row>
    <row r="102" spans="2:6" x14ac:dyDescent="0.25">
      <c r="B102" s="154" t="s">
        <v>432</v>
      </c>
      <c r="C102" s="155">
        <v>37500</v>
      </c>
    </row>
    <row r="103" spans="2:6" x14ac:dyDescent="0.25">
      <c r="B103" s="154" t="s">
        <v>404</v>
      </c>
      <c r="C103" s="155">
        <v>68750</v>
      </c>
    </row>
    <row r="104" spans="2:6" x14ac:dyDescent="0.25">
      <c r="B104" s="154" t="s">
        <v>434</v>
      </c>
      <c r="C104" s="155">
        <v>37500</v>
      </c>
    </row>
    <row r="105" spans="2:6" x14ac:dyDescent="0.25">
      <c r="B105" s="154" t="s">
        <v>193</v>
      </c>
      <c r="C105" s="155">
        <v>1822063</v>
      </c>
    </row>
    <row r="106" spans="2:6" x14ac:dyDescent="0.25">
      <c r="B106" s="156" t="s">
        <v>259</v>
      </c>
      <c r="C106" s="157">
        <v>125000</v>
      </c>
    </row>
    <row r="107" spans="2:6" x14ac:dyDescent="0.25">
      <c r="B107" s="158" t="s">
        <v>458</v>
      </c>
      <c r="C107" s="159">
        <f>SUM(C102:C106)</f>
        <v>2090813</v>
      </c>
      <c r="D107" s="160" t="s">
        <v>459</v>
      </c>
      <c r="E107" s="161">
        <f>C101-C107</f>
        <v>0</v>
      </c>
      <c r="F107" s="160" t="s">
        <v>460</v>
      </c>
    </row>
    <row r="108" spans="2:6" x14ac:dyDescent="0.25">
      <c r="B108" s="158"/>
      <c r="C108" s="159"/>
    </row>
    <row r="109" spans="2:6" x14ac:dyDescent="0.25">
      <c r="B109" s="158"/>
      <c r="C109" s="159"/>
    </row>
    <row r="110" spans="2:6" ht="30" x14ac:dyDescent="0.25">
      <c r="B110" s="164" t="s">
        <v>476</v>
      </c>
      <c r="C110" s="172">
        <v>193750</v>
      </c>
    </row>
    <row r="111" spans="2:6" x14ac:dyDescent="0.25">
      <c r="B111" s="154" t="s">
        <v>247</v>
      </c>
      <c r="C111" s="155">
        <v>153125</v>
      </c>
    </row>
    <row r="112" spans="2:6" x14ac:dyDescent="0.25">
      <c r="B112" s="154" t="s">
        <v>198</v>
      </c>
      <c r="C112" s="155">
        <v>40625</v>
      </c>
    </row>
    <row r="113" spans="2:8" x14ac:dyDescent="0.25">
      <c r="B113" s="158" t="s">
        <v>458</v>
      </c>
      <c r="C113" s="159">
        <f>SUM(C111:C112)</f>
        <v>193750</v>
      </c>
    </row>
    <row r="114" spans="2:8" x14ac:dyDescent="0.25">
      <c r="B114" s="158"/>
      <c r="C114" s="159"/>
    </row>
    <row r="115" spans="2:8" x14ac:dyDescent="0.25">
      <c r="B115" s="162" t="s">
        <v>477</v>
      </c>
      <c r="C115" s="170">
        <v>840625</v>
      </c>
    </row>
    <row r="116" spans="2:8" x14ac:dyDescent="0.25">
      <c r="B116" s="154" t="s">
        <v>478</v>
      </c>
      <c r="C116" s="155">
        <v>387000</v>
      </c>
      <c r="D116" s="160"/>
      <c r="E116" s="173"/>
    </row>
    <row r="117" spans="2:8" x14ac:dyDescent="0.25">
      <c r="B117" s="154"/>
      <c r="C117" s="168"/>
      <c r="D117" s="160" t="s">
        <v>459</v>
      </c>
      <c r="E117" s="161">
        <f>C115-C118</f>
        <v>453625</v>
      </c>
      <c r="F117" s="160" t="s">
        <v>460</v>
      </c>
      <c r="G117" s="174">
        <f>E117/6</f>
        <v>75604.166666666672</v>
      </c>
      <c r="H117" s="151" t="s">
        <v>479</v>
      </c>
    </row>
    <row r="118" spans="2:8" x14ac:dyDescent="0.25">
      <c r="B118" s="149" t="s">
        <v>458</v>
      </c>
      <c r="C118" s="167">
        <f>SUM(C116:C117)</f>
        <v>387000</v>
      </c>
    </row>
    <row r="119" spans="2:8" x14ac:dyDescent="0.25">
      <c r="B119" s="154"/>
      <c r="C119" s="168"/>
      <c r="D119" s="171" t="s">
        <v>480</v>
      </c>
    </row>
    <row r="120" spans="2:8" x14ac:dyDescent="0.25">
      <c r="B120" s="154"/>
      <c r="C120" s="168"/>
      <c r="E120" s="173"/>
    </row>
    <row r="121" spans="2:8" x14ac:dyDescent="0.25">
      <c r="B121" s="168"/>
      <c r="C121" s="168"/>
    </row>
    <row r="122" spans="2:8" x14ac:dyDescent="0.25">
      <c r="B122" s="169" t="s">
        <v>481</v>
      </c>
      <c r="C122" s="166">
        <v>156250</v>
      </c>
    </row>
    <row r="123" spans="2:8" x14ac:dyDescent="0.25">
      <c r="B123" s="168" t="s">
        <v>482</v>
      </c>
      <c r="C123" s="168"/>
    </row>
  </sheetData>
  <pageMargins left="0.511811024" right="0.511811024" top="0.78740157499999996" bottom="0.78740157499999996" header="0.31496062000000002" footer="0.31496062000000002"/>
  <pageSetup paperSize="9" scale="87"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S102"/>
  <sheetViews>
    <sheetView topLeftCell="A48" workbookViewId="0">
      <selection activeCell="B126" sqref="B126"/>
    </sheetView>
  </sheetViews>
  <sheetFormatPr defaultColWidth="8.7109375" defaultRowHeight="15.75" x14ac:dyDescent="0.25"/>
  <cols>
    <col min="1" max="1" width="56.85546875" style="2" customWidth="1"/>
    <col min="2" max="2" width="90.140625" style="2" customWidth="1"/>
    <col min="3" max="3" width="62.28515625" style="2" customWidth="1"/>
    <col min="4" max="4" width="41.42578125" style="2" customWidth="1"/>
    <col min="5" max="5" width="36.7109375" style="2" customWidth="1"/>
    <col min="6" max="7" width="12.85546875" style="2" customWidth="1"/>
    <col min="8" max="8" width="15.7109375" style="3" customWidth="1"/>
    <col min="9" max="9" width="15.7109375" style="4" customWidth="1"/>
    <col min="10" max="10" width="18" style="4" customWidth="1"/>
    <col min="11" max="11" width="12.7109375" style="2" customWidth="1"/>
    <col min="12" max="12" width="19.5703125" style="2" customWidth="1"/>
    <col min="13" max="13" width="15.5703125" style="2" customWidth="1"/>
    <col min="14" max="14" width="15" style="2" customWidth="1"/>
    <col min="15" max="17" width="18.85546875" style="2" customWidth="1"/>
    <col min="18" max="16384" width="8.7109375" style="2"/>
  </cols>
  <sheetData>
    <row r="3" spans="1:13" x14ac:dyDescent="0.25">
      <c r="A3"/>
    </row>
    <row r="5" spans="1:13" x14ac:dyDescent="0.25">
      <c r="B5" s="1"/>
    </row>
    <row r="6" spans="1:13" x14ac:dyDescent="0.25">
      <c r="B6" s="5" t="s">
        <v>19</v>
      </c>
    </row>
    <row r="7" spans="1:13" x14ac:dyDescent="0.25">
      <c r="C7" s="6"/>
      <c r="D7" s="6"/>
      <c r="E7" s="6"/>
      <c r="F7" s="6"/>
      <c r="G7" s="6"/>
      <c r="H7" s="6"/>
      <c r="I7" s="6"/>
      <c r="J7" s="6"/>
      <c r="K7" s="6"/>
      <c r="L7" s="6"/>
      <c r="M7" s="6"/>
    </row>
    <row r="8" spans="1:13" x14ac:dyDescent="0.25">
      <c r="B8" s="7"/>
      <c r="C8" s="6"/>
      <c r="D8" s="6"/>
      <c r="E8" s="6"/>
      <c r="F8" s="6"/>
      <c r="G8" s="6"/>
      <c r="H8" s="6"/>
      <c r="I8" s="6"/>
      <c r="J8" s="6"/>
      <c r="K8" s="6"/>
      <c r="L8" s="6"/>
      <c r="M8" s="6"/>
    </row>
    <row r="9" spans="1:13" x14ac:dyDescent="0.25">
      <c r="A9" s="8" t="s">
        <v>84</v>
      </c>
      <c r="B9" s="8"/>
      <c r="C9" s="9"/>
      <c r="D9" s="9"/>
      <c r="E9" s="9"/>
      <c r="F9" s="9"/>
      <c r="G9" s="9"/>
      <c r="H9" s="9"/>
      <c r="I9" s="9"/>
      <c r="J9" s="9"/>
      <c r="K9" s="9"/>
      <c r="L9" s="9"/>
      <c r="M9" s="9"/>
    </row>
    <row r="10" spans="1:13" x14ac:dyDescent="0.25">
      <c r="A10" s="10" t="s">
        <v>20</v>
      </c>
      <c r="B10" s="10"/>
    </row>
    <row r="11" spans="1:13" x14ac:dyDescent="0.25">
      <c r="B11" s="11"/>
    </row>
    <row r="12" spans="1:13" x14ac:dyDescent="0.25">
      <c r="A12" s="12" t="s">
        <v>85</v>
      </c>
      <c r="B12" s="12"/>
      <c r="C12" s="9"/>
    </row>
    <row r="13" spans="1:13" x14ac:dyDescent="0.25">
      <c r="A13" s="8" t="s">
        <v>86</v>
      </c>
      <c r="B13" s="8"/>
      <c r="C13" s="9"/>
    </row>
    <row r="14" spans="1:13" x14ac:dyDescent="0.25">
      <c r="A14" s="8" t="s">
        <v>87</v>
      </c>
      <c r="B14" s="8"/>
      <c r="C14" s="9"/>
    </row>
    <row r="15" spans="1:13" x14ac:dyDescent="0.25">
      <c r="B15" s="13"/>
    </row>
    <row r="16" spans="1:13" x14ac:dyDescent="0.25">
      <c r="B16" s="13"/>
    </row>
    <row r="17" spans="1:19" ht="15.75" customHeight="1" x14ac:dyDescent="0.25">
      <c r="A17" s="489" t="s">
        <v>88</v>
      </c>
      <c r="B17" s="489"/>
      <c r="C17" s="14"/>
      <c r="D17" s="14"/>
      <c r="E17" s="14"/>
      <c r="F17" s="14"/>
      <c r="G17" s="14"/>
      <c r="H17" s="14"/>
      <c r="I17" s="14"/>
      <c r="J17" s="14"/>
      <c r="K17" s="14"/>
      <c r="L17" s="14"/>
      <c r="M17" s="14"/>
      <c r="N17" s="14"/>
      <c r="O17" s="14"/>
      <c r="P17" s="14"/>
      <c r="Q17" s="14"/>
      <c r="R17" s="15"/>
      <c r="S17" s="15"/>
    </row>
    <row r="18" spans="1:19" ht="15.75" customHeight="1" x14ac:dyDescent="0.25">
      <c r="B18" s="16"/>
      <c r="C18" s="16"/>
      <c r="D18" s="16"/>
      <c r="E18" s="16"/>
      <c r="F18" s="16"/>
      <c r="G18" s="16"/>
      <c r="H18" s="16"/>
      <c r="I18" s="16"/>
      <c r="J18" s="16"/>
      <c r="K18" s="16"/>
      <c r="L18" s="16"/>
      <c r="M18" s="16"/>
      <c r="N18" s="16"/>
      <c r="O18" s="16"/>
      <c r="P18" s="16"/>
      <c r="Q18" s="16"/>
      <c r="R18" s="15"/>
      <c r="S18" s="15"/>
    </row>
    <row r="19" spans="1:19" x14ac:dyDescent="0.25">
      <c r="A19" s="13" t="s">
        <v>89</v>
      </c>
      <c r="B19" s="15"/>
      <c r="H19" s="2"/>
      <c r="I19" s="2"/>
      <c r="J19" s="2"/>
    </row>
    <row r="20" spans="1:19" ht="14.45" customHeight="1" x14ac:dyDescent="0.25">
      <c r="A20" s="15"/>
      <c r="B20" s="15"/>
      <c r="H20" s="2"/>
      <c r="I20" s="2"/>
      <c r="J20" s="2"/>
    </row>
    <row r="21" spans="1:19" s="18" customFormat="1" ht="5.0999999999999996" customHeight="1" thickBot="1" x14ac:dyDescent="0.3">
      <c r="A21" s="17"/>
      <c r="B21" s="17"/>
    </row>
    <row r="22" spans="1:19" x14ac:dyDescent="0.25">
      <c r="A22" s="490" t="s">
        <v>90</v>
      </c>
      <c r="B22" s="490" t="s">
        <v>91</v>
      </c>
      <c r="H22" s="2"/>
      <c r="I22" s="2"/>
      <c r="J22" s="2"/>
    </row>
    <row r="23" spans="1:19" ht="15.6" customHeight="1" thickBot="1" x14ac:dyDescent="0.3">
      <c r="A23" s="491"/>
      <c r="B23" s="491"/>
      <c r="H23" s="2"/>
      <c r="I23" s="2"/>
      <c r="J23" s="2"/>
    </row>
    <row r="24" spans="1:19" x14ac:dyDescent="0.25">
      <c r="A24" s="485" t="s">
        <v>92</v>
      </c>
      <c r="B24" s="487"/>
      <c r="H24" s="2"/>
      <c r="I24" s="2"/>
      <c r="J24" s="2"/>
    </row>
    <row r="25" spans="1:19" ht="16.5" thickBot="1" x14ac:dyDescent="0.3">
      <c r="A25" s="486"/>
      <c r="B25" s="488"/>
      <c r="H25" s="2"/>
      <c r="I25" s="2"/>
      <c r="J25" s="2"/>
    </row>
    <row r="26" spans="1:19" ht="46.5" customHeight="1" thickBot="1" x14ac:dyDescent="0.3">
      <c r="A26" s="487" t="s">
        <v>93</v>
      </c>
      <c r="B26" s="487" t="s">
        <v>94</v>
      </c>
      <c r="H26" s="2"/>
      <c r="I26" s="2"/>
      <c r="J26" s="2"/>
    </row>
    <row r="27" spans="1:19" ht="16.5" hidden="1" thickBot="1" x14ac:dyDescent="0.3">
      <c r="A27" s="488"/>
      <c r="B27" s="488"/>
      <c r="H27" s="2"/>
      <c r="I27" s="2"/>
      <c r="J27" s="2"/>
    </row>
    <row r="28" spans="1:19" x14ac:dyDescent="0.25">
      <c r="A28" s="485" t="s">
        <v>95</v>
      </c>
      <c r="B28" s="487"/>
      <c r="H28" s="2"/>
      <c r="I28" s="2"/>
      <c r="J28" s="2"/>
    </row>
    <row r="29" spans="1:19" ht="16.5" thickBot="1" x14ac:dyDescent="0.3">
      <c r="A29" s="486"/>
      <c r="B29" s="488"/>
      <c r="H29" s="2"/>
      <c r="I29" s="2"/>
      <c r="J29" s="2"/>
    </row>
    <row r="30" spans="1:19" ht="42.6" customHeight="1" thickBot="1" x14ac:dyDescent="0.3">
      <c r="A30" s="487" t="s">
        <v>96</v>
      </c>
      <c r="B30" s="487" t="s">
        <v>97</v>
      </c>
      <c r="H30" s="2"/>
      <c r="I30" s="2"/>
      <c r="J30" s="2"/>
    </row>
    <row r="31" spans="1:19" ht="16.5" hidden="1" thickBot="1" x14ac:dyDescent="0.3">
      <c r="A31" s="488"/>
      <c r="B31" s="488"/>
      <c r="H31" s="2"/>
      <c r="I31" s="2"/>
      <c r="J31" s="2"/>
    </row>
    <row r="32" spans="1:19" ht="36.950000000000003" customHeight="1" thickBot="1" x14ac:dyDescent="0.3">
      <c r="A32" s="485" t="s">
        <v>98</v>
      </c>
      <c r="B32" s="487"/>
      <c r="H32" s="2"/>
      <c r="I32" s="2"/>
      <c r="J32" s="2"/>
    </row>
    <row r="33" spans="1:10" ht="51.6" hidden="1" customHeight="1" x14ac:dyDescent="0.25">
      <c r="A33" s="486"/>
      <c r="B33" s="488"/>
      <c r="H33" s="2"/>
      <c r="I33" s="2"/>
      <c r="J33" s="2"/>
    </row>
    <row r="34" spans="1:10" ht="62.1" customHeight="1" thickBot="1" x14ac:dyDescent="0.3">
      <c r="A34" s="487" t="s">
        <v>99</v>
      </c>
      <c r="B34" s="487" t="s">
        <v>100</v>
      </c>
      <c r="H34" s="2"/>
      <c r="I34" s="2"/>
      <c r="J34" s="2"/>
    </row>
    <row r="35" spans="1:10" ht="16.5" hidden="1" thickBot="1" x14ac:dyDescent="0.3">
      <c r="A35" s="488"/>
      <c r="B35" s="488"/>
      <c r="H35" s="2"/>
      <c r="I35" s="2"/>
      <c r="J35" s="2"/>
    </row>
    <row r="36" spans="1:10" ht="33.950000000000003" customHeight="1" thickBot="1" x14ac:dyDescent="0.3">
      <c r="A36" s="485" t="s">
        <v>101</v>
      </c>
      <c r="B36" s="487"/>
      <c r="H36" s="2"/>
      <c r="I36" s="2"/>
      <c r="J36" s="2"/>
    </row>
    <row r="37" spans="1:10" ht="16.5" hidden="1" thickBot="1" x14ac:dyDescent="0.3">
      <c r="A37" s="486"/>
      <c r="B37" s="488"/>
      <c r="H37" s="2"/>
      <c r="I37" s="2"/>
      <c r="J37" s="2"/>
    </row>
    <row r="38" spans="1:10" ht="68.45" customHeight="1" thickBot="1" x14ac:dyDescent="0.3">
      <c r="A38" s="487" t="s">
        <v>102</v>
      </c>
      <c r="B38" s="487" t="s">
        <v>103</v>
      </c>
      <c r="H38" s="2"/>
      <c r="I38" s="2"/>
      <c r="J38" s="2"/>
    </row>
    <row r="39" spans="1:10" ht="16.5" hidden="1" thickBot="1" x14ac:dyDescent="0.3">
      <c r="A39" s="488"/>
      <c r="B39" s="488"/>
      <c r="H39" s="2"/>
      <c r="I39" s="2"/>
      <c r="J39" s="2"/>
    </row>
    <row r="40" spans="1:10" ht="55.5" customHeight="1" thickBot="1" x14ac:dyDescent="0.3">
      <c r="A40" s="487" t="s">
        <v>104</v>
      </c>
      <c r="B40" s="487" t="s">
        <v>105</v>
      </c>
      <c r="H40" s="2"/>
      <c r="I40" s="2"/>
      <c r="J40" s="2"/>
    </row>
    <row r="41" spans="1:10" ht="6" hidden="1" customHeight="1" x14ac:dyDescent="0.25">
      <c r="A41" s="488"/>
      <c r="B41" s="488"/>
      <c r="H41" s="2"/>
      <c r="I41" s="2"/>
      <c r="J41" s="2"/>
    </row>
    <row r="42" spans="1:10" ht="93.95" customHeight="1" thickBot="1" x14ac:dyDescent="0.3">
      <c r="A42" s="487" t="s">
        <v>106</v>
      </c>
      <c r="B42" s="487" t="s">
        <v>107</v>
      </c>
      <c r="H42" s="2"/>
      <c r="I42" s="2"/>
      <c r="J42" s="2"/>
    </row>
    <row r="43" spans="1:10" ht="47.45" hidden="1" customHeight="1" x14ac:dyDescent="0.25">
      <c r="A43" s="488"/>
      <c r="B43" s="488"/>
      <c r="H43" s="2"/>
      <c r="I43" s="2"/>
      <c r="J43" s="2"/>
    </row>
    <row r="44" spans="1:10" ht="26.1" customHeight="1" thickBot="1" x14ac:dyDescent="0.3">
      <c r="A44" s="485" t="s">
        <v>108</v>
      </c>
      <c r="B44" s="487"/>
      <c r="H44" s="2"/>
      <c r="I44" s="2"/>
      <c r="J44" s="2"/>
    </row>
    <row r="45" spans="1:10" ht="16.5" hidden="1" thickBot="1" x14ac:dyDescent="0.3">
      <c r="A45" s="486"/>
      <c r="B45" s="488"/>
      <c r="H45" s="2"/>
      <c r="I45" s="2"/>
      <c r="J45" s="2"/>
    </row>
    <row r="46" spans="1:10" ht="45.95" customHeight="1" thickBot="1" x14ac:dyDescent="0.3">
      <c r="A46" s="487" t="s">
        <v>109</v>
      </c>
      <c r="B46" s="487" t="s">
        <v>110</v>
      </c>
      <c r="H46" s="2"/>
      <c r="I46" s="2"/>
      <c r="J46" s="2"/>
    </row>
    <row r="47" spans="1:10" ht="16.5" hidden="1" thickBot="1" x14ac:dyDescent="0.3">
      <c r="A47" s="488"/>
      <c r="B47" s="488"/>
      <c r="H47" s="2"/>
      <c r="I47" s="2"/>
      <c r="J47" s="2"/>
    </row>
    <row r="48" spans="1:10" x14ac:dyDescent="0.25">
      <c r="A48" s="485" t="s">
        <v>111</v>
      </c>
      <c r="B48" s="487"/>
      <c r="H48" s="2"/>
      <c r="I48" s="2"/>
      <c r="J48" s="2"/>
    </row>
    <row r="49" spans="1:10" ht="30" customHeight="1" thickBot="1" x14ac:dyDescent="0.3">
      <c r="A49" s="486"/>
      <c r="B49" s="488"/>
      <c r="H49" s="2"/>
      <c r="I49" s="2"/>
      <c r="J49" s="2"/>
    </row>
    <row r="50" spans="1:10" ht="52.5" customHeight="1" thickBot="1" x14ac:dyDescent="0.3">
      <c r="A50" s="487" t="s">
        <v>112</v>
      </c>
      <c r="B50" s="487" t="s">
        <v>113</v>
      </c>
      <c r="H50" s="2"/>
      <c r="I50" s="2"/>
      <c r="J50" s="2"/>
    </row>
    <row r="51" spans="1:10" ht="16.5" hidden="1" thickBot="1" x14ac:dyDescent="0.3">
      <c r="A51" s="488"/>
      <c r="B51" s="488"/>
      <c r="H51" s="2"/>
      <c r="I51" s="2"/>
      <c r="J51" s="2"/>
    </row>
    <row r="52" spans="1:10" ht="29.45" customHeight="1" x14ac:dyDescent="0.25">
      <c r="A52" s="485" t="s">
        <v>114</v>
      </c>
      <c r="B52" s="487"/>
      <c r="H52" s="2"/>
      <c r="I52" s="2"/>
      <c r="J52" s="2"/>
    </row>
    <row r="53" spans="1:10" ht="15.75" customHeight="1" thickBot="1" x14ac:dyDescent="0.3">
      <c r="A53" s="486"/>
      <c r="B53" s="488"/>
      <c r="H53" s="2"/>
      <c r="I53" s="2"/>
      <c r="J53" s="2"/>
    </row>
    <row r="54" spans="1:10" ht="65.45" customHeight="1" x14ac:dyDescent="0.25">
      <c r="A54" s="487" t="s">
        <v>115</v>
      </c>
      <c r="B54" s="487" t="s">
        <v>116</v>
      </c>
      <c r="H54" s="2"/>
      <c r="I54" s="2"/>
      <c r="J54" s="2"/>
    </row>
    <row r="55" spans="1:10" ht="44.45" hidden="1" customHeight="1" x14ac:dyDescent="0.25">
      <c r="A55" s="488"/>
      <c r="B55" s="488"/>
      <c r="H55" s="2"/>
      <c r="I55" s="2"/>
      <c r="J55" s="2"/>
    </row>
    <row r="56" spans="1:10" x14ac:dyDescent="0.25">
      <c r="H56" s="2"/>
      <c r="I56" s="2"/>
      <c r="J56" s="2"/>
    </row>
    <row r="57" spans="1:10" x14ac:dyDescent="0.25">
      <c r="H57" s="2"/>
      <c r="I57" s="2"/>
      <c r="J57" s="2"/>
    </row>
    <row r="58" spans="1:10" x14ac:dyDescent="0.25">
      <c r="H58" s="2"/>
      <c r="I58" s="2"/>
      <c r="J58" s="2"/>
    </row>
    <row r="59" spans="1:10" x14ac:dyDescent="0.25">
      <c r="H59" s="2"/>
      <c r="I59" s="2"/>
      <c r="J59" s="2"/>
    </row>
    <row r="60" spans="1:10" x14ac:dyDescent="0.25">
      <c r="H60" s="2"/>
      <c r="I60" s="2"/>
      <c r="J60" s="2"/>
    </row>
    <row r="61" spans="1:10" x14ac:dyDescent="0.25">
      <c r="H61" s="2"/>
      <c r="I61" s="2"/>
      <c r="J61" s="2"/>
    </row>
    <row r="62" spans="1:10" x14ac:dyDescent="0.25">
      <c r="H62" s="2"/>
      <c r="I62" s="2"/>
      <c r="J62" s="2"/>
    </row>
    <row r="63" spans="1:10" x14ac:dyDescent="0.25">
      <c r="H63" s="2"/>
      <c r="I63" s="2"/>
      <c r="J63" s="2"/>
    </row>
    <row r="64" spans="1:10" x14ac:dyDescent="0.25">
      <c r="H64" s="2"/>
      <c r="I64" s="2"/>
      <c r="J64" s="2"/>
    </row>
    <row r="65" spans="8:10" x14ac:dyDescent="0.25">
      <c r="H65" s="2"/>
      <c r="I65" s="2"/>
      <c r="J65" s="2"/>
    </row>
    <row r="66" spans="8:10" x14ac:dyDescent="0.25">
      <c r="H66" s="2"/>
      <c r="I66" s="2"/>
      <c r="J66" s="2"/>
    </row>
    <row r="67" spans="8:10" x14ac:dyDescent="0.25">
      <c r="H67" s="2"/>
      <c r="I67" s="2"/>
      <c r="J67" s="2"/>
    </row>
    <row r="68" spans="8:10" x14ac:dyDescent="0.25">
      <c r="H68" s="2"/>
      <c r="I68" s="2"/>
      <c r="J68" s="2"/>
    </row>
    <row r="69" spans="8:10" x14ac:dyDescent="0.25">
      <c r="H69" s="2"/>
      <c r="I69" s="2"/>
      <c r="J69" s="2"/>
    </row>
    <row r="70" spans="8:10" x14ac:dyDescent="0.25">
      <c r="H70" s="2"/>
      <c r="I70" s="2"/>
      <c r="J70" s="2"/>
    </row>
    <row r="71" spans="8:10" x14ac:dyDescent="0.25">
      <c r="H71" s="2"/>
      <c r="I71" s="2"/>
      <c r="J71" s="2"/>
    </row>
    <row r="72" spans="8:10" x14ac:dyDescent="0.25">
      <c r="H72" s="2"/>
      <c r="I72" s="2"/>
      <c r="J72" s="2"/>
    </row>
    <row r="73" spans="8:10" x14ac:dyDescent="0.25">
      <c r="H73" s="2"/>
      <c r="I73" s="2"/>
      <c r="J73" s="2"/>
    </row>
    <row r="74" spans="8:10" ht="15.75" customHeight="1" x14ac:dyDescent="0.25">
      <c r="H74" s="2"/>
      <c r="I74" s="2"/>
      <c r="J74" s="2"/>
    </row>
    <row r="75" spans="8:10" ht="15" customHeight="1" x14ac:dyDescent="0.25">
      <c r="H75" s="2"/>
      <c r="I75" s="2"/>
      <c r="J75" s="2"/>
    </row>
    <row r="76" spans="8:10" x14ac:dyDescent="0.25">
      <c r="H76" s="2"/>
      <c r="I76" s="2"/>
      <c r="J76" s="2"/>
    </row>
    <row r="77" spans="8:10" x14ac:dyDescent="0.25">
      <c r="H77" s="2"/>
      <c r="I77" s="2"/>
      <c r="J77" s="2"/>
    </row>
    <row r="78" spans="8:10" x14ac:dyDescent="0.25">
      <c r="H78" s="2"/>
      <c r="I78" s="2"/>
      <c r="J78" s="2"/>
    </row>
    <row r="79" spans="8:10" x14ac:dyDescent="0.25">
      <c r="H79" s="2"/>
      <c r="I79" s="2"/>
      <c r="J79" s="2"/>
    </row>
    <row r="80" spans="8:10" x14ac:dyDescent="0.25">
      <c r="H80" s="2"/>
      <c r="I80" s="2"/>
      <c r="J80" s="2"/>
    </row>
    <row r="81" spans="8:10" x14ac:dyDescent="0.25">
      <c r="H81" s="2"/>
      <c r="I81" s="2"/>
      <c r="J81" s="2"/>
    </row>
    <row r="82" spans="8:10" x14ac:dyDescent="0.25">
      <c r="H82" s="2"/>
      <c r="I82" s="2"/>
      <c r="J82" s="2"/>
    </row>
    <row r="83" spans="8:10" x14ac:dyDescent="0.25">
      <c r="H83" s="2"/>
      <c r="I83" s="2"/>
      <c r="J83" s="2"/>
    </row>
    <row r="84" spans="8:10" ht="15.75" customHeight="1" x14ac:dyDescent="0.25">
      <c r="H84" s="2"/>
      <c r="I84" s="2"/>
      <c r="J84" s="2"/>
    </row>
    <row r="85" spans="8:10" ht="15" customHeight="1" x14ac:dyDescent="0.25">
      <c r="H85" s="2"/>
      <c r="I85" s="2"/>
      <c r="J85" s="2"/>
    </row>
    <row r="86" spans="8:10" ht="65.099999999999994" customHeight="1" x14ac:dyDescent="0.25">
      <c r="H86" s="2"/>
      <c r="I86" s="2"/>
      <c r="J86" s="2"/>
    </row>
    <row r="87" spans="8:10" x14ac:dyDescent="0.25">
      <c r="H87" s="2"/>
      <c r="I87" s="2"/>
      <c r="J87" s="2"/>
    </row>
    <row r="88" spans="8:10" x14ac:dyDescent="0.25">
      <c r="H88" s="2"/>
      <c r="I88" s="2"/>
      <c r="J88" s="2"/>
    </row>
    <row r="89" spans="8:10" x14ac:dyDescent="0.25">
      <c r="H89" s="2"/>
      <c r="I89" s="2"/>
      <c r="J89" s="2"/>
    </row>
    <row r="90" spans="8:10" x14ac:dyDescent="0.25">
      <c r="H90" s="2"/>
      <c r="I90" s="2"/>
      <c r="J90" s="2"/>
    </row>
    <row r="91" spans="8:10" x14ac:dyDescent="0.25">
      <c r="H91" s="2"/>
      <c r="I91" s="2"/>
      <c r="J91" s="2"/>
    </row>
    <row r="92" spans="8:10" x14ac:dyDescent="0.25">
      <c r="H92" s="2"/>
      <c r="I92" s="2"/>
      <c r="J92" s="2"/>
    </row>
    <row r="93" spans="8:10" x14ac:dyDescent="0.25">
      <c r="H93" s="2"/>
      <c r="I93" s="2"/>
      <c r="J93" s="2"/>
    </row>
    <row r="94" spans="8:10" ht="15.75" customHeight="1" x14ac:dyDescent="0.25">
      <c r="H94" s="2"/>
      <c r="I94" s="2"/>
      <c r="J94" s="2"/>
    </row>
    <row r="95" spans="8:10" ht="15" customHeight="1" x14ac:dyDescent="0.25">
      <c r="H95" s="2"/>
      <c r="I95" s="2"/>
      <c r="J95" s="2"/>
    </row>
    <row r="96" spans="8:10" x14ac:dyDescent="0.25">
      <c r="H96" s="2"/>
      <c r="I96" s="2"/>
      <c r="J96" s="2"/>
    </row>
    <row r="97" spans="8:10" x14ac:dyDescent="0.25">
      <c r="H97" s="2"/>
      <c r="I97" s="2"/>
      <c r="J97" s="2"/>
    </row>
    <row r="98" spans="8:10" x14ac:dyDescent="0.25">
      <c r="H98" s="2"/>
      <c r="I98" s="2"/>
      <c r="J98" s="2"/>
    </row>
    <row r="99" spans="8:10" x14ac:dyDescent="0.25">
      <c r="H99" s="2"/>
      <c r="I99" s="2"/>
      <c r="J99" s="2"/>
    </row>
    <row r="100" spans="8:10" x14ac:dyDescent="0.25">
      <c r="H100" s="2"/>
      <c r="I100" s="2"/>
      <c r="J100" s="2"/>
    </row>
    <row r="101" spans="8:10" x14ac:dyDescent="0.25">
      <c r="H101" s="2"/>
      <c r="I101" s="2"/>
      <c r="J101" s="2"/>
    </row>
    <row r="102" spans="8:10" ht="15.75" customHeight="1" x14ac:dyDescent="0.25"/>
  </sheetData>
  <mergeCells count="35">
    <mergeCell ref="A26:A27"/>
    <mergeCell ref="B26:B27"/>
    <mergeCell ref="A17:B17"/>
    <mergeCell ref="A22:A23"/>
    <mergeCell ref="B22:B23"/>
    <mergeCell ref="A24:A25"/>
    <mergeCell ref="B24:B25"/>
    <mergeCell ref="A28:A29"/>
    <mergeCell ref="B28:B29"/>
    <mergeCell ref="A30:A31"/>
    <mergeCell ref="B30:B31"/>
    <mergeCell ref="A32:A33"/>
    <mergeCell ref="B32:B33"/>
    <mergeCell ref="A34:A35"/>
    <mergeCell ref="B34:B35"/>
    <mergeCell ref="A36:A37"/>
    <mergeCell ref="B36:B37"/>
    <mergeCell ref="A38:A39"/>
    <mergeCell ref="B38:B39"/>
    <mergeCell ref="A40:A41"/>
    <mergeCell ref="B40:B41"/>
    <mergeCell ref="A42:A43"/>
    <mergeCell ref="B42:B43"/>
    <mergeCell ref="A44:A45"/>
    <mergeCell ref="B44:B45"/>
    <mergeCell ref="A52:A53"/>
    <mergeCell ref="B52:B53"/>
    <mergeCell ref="A54:A55"/>
    <mergeCell ref="B54:B55"/>
    <mergeCell ref="A46:A47"/>
    <mergeCell ref="B46:B47"/>
    <mergeCell ref="A48:A49"/>
    <mergeCell ref="B48:B49"/>
    <mergeCell ref="A50:A51"/>
    <mergeCell ref="B50:B5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H148"/>
  <sheetViews>
    <sheetView topLeftCell="A7" zoomScale="70" zoomScaleNormal="70" workbookViewId="0">
      <pane ySplit="3" topLeftCell="A120" activePane="bottomLeft" state="frozen"/>
      <selection activeCell="A7" sqref="A7"/>
      <selection pane="bottomLeft" activeCell="F125" sqref="F125:J126"/>
    </sheetView>
  </sheetViews>
  <sheetFormatPr defaultColWidth="8.7109375" defaultRowHeight="15.75" x14ac:dyDescent="0.25"/>
  <cols>
    <col min="1" max="1" width="5" style="19" bestFit="1" customWidth="1"/>
    <col min="2" max="2" width="11.28515625" style="19" customWidth="1"/>
    <col min="3" max="3" width="40.85546875" style="1" customWidth="1"/>
    <col min="4" max="4" width="39" style="1" customWidth="1"/>
    <col min="5" max="5" width="46.5703125" style="1" customWidth="1"/>
    <col min="6" max="6" width="32.28515625" style="1" customWidth="1"/>
    <col min="7" max="7" width="13.85546875" style="19" customWidth="1"/>
    <col min="8" max="8" width="12.42578125" style="92" customWidth="1"/>
    <col min="9" max="9" width="19.140625" style="97" customWidth="1"/>
    <col min="10" max="10" width="22.140625" style="96" bestFit="1" customWidth="1"/>
    <col min="11" max="11" width="18" style="96" customWidth="1"/>
    <col min="12" max="12" width="17.85546875" style="92" customWidth="1"/>
    <col min="13" max="13" width="21.42578125" style="19" customWidth="1"/>
    <col min="14" max="14" width="19.5703125" style="19" customWidth="1"/>
    <col min="15" max="15" width="15" style="19" customWidth="1"/>
    <col min="16" max="16" width="18.85546875" style="19" customWidth="1"/>
    <col min="17" max="17" width="18.85546875" style="92" customWidth="1"/>
    <col min="18" max="18" width="18.85546875" style="19" customWidth="1"/>
    <col min="19" max="34" width="8.7109375" style="84"/>
    <col min="35" max="16384" width="8.7109375" style="92"/>
  </cols>
  <sheetData>
    <row r="1" spans="1:34" s="84" customFormat="1" x14ac:dyDescent="0.25">
      <c r="A1" s="43"/>
      <c r="B1" s="43"/>
      <c r="C1" s="83"/>
      <c r="D1" s="83"/>
      <c r="E1" s="83"/>
      <c r="F1" s="83"/>
      <c r="G1" s="43"/>
      <c r="I1" s="85"/>
      <c r="J1" s="86"/>
      <c r="K1" s="86"/>
      <c r="M1" s="43"/>
      <c r="N1" s="87"/>
      <c r="O1" s="87"/>
      <c r="P1" s="43"/>
      <c r="R1" s="43"/>
      <c r="W1" s="455"/>
      <c r="X1" s="456"/>
    </row>
    <row r="2" spans="1:34" s="84" customFormat="1" x14ac:dyDescent="0.25">
      <c r="A2" s="43"/>
      <c r="B2" s="492" t="s">
        <v>19</v>
      </c>
      <c r="C2" s="492"/>
      <c r="D2" s="492"/>
      <c r="E2" s="185"/>
      <c r="F2" s="83"/>
      <c r="G2" s="43"/>
      <c r="I2" s="85"/>
      <c r="J2" s="86"/>
      <c r="K2" s="86"/>
      <c r="M2" s="43"/>
      <c r="N2" s="43"/>
      <c r="O2" s="43"/>
      <c r="P2" s="43"/>
      <c r="R2" s="43"/>
    </row>
    <row r="3" spans="1:34" s="84" customFormat="1" x14ac:dyDescent="0.25">
      <c r="A3" s="43"/>
      <c r="B3" s="185"/>
      <c r="C3" s="185"/>
      <c r="D3" s="185"/>
      <c r="E3" s="185"/>
      <c r="F3" s="83"/>
      <c r="G3" s="43"/>
      <c r="I3" s="85"/>
      <c r="J3" s="86"/>
      <c r="K3" s="86"/>
      <c r="M3" s="88"/>
      <c r="N3" s="43"/>
      <c r="O3" s="43"/>
      <c r="P3" s="43"/>
      <c r="R3" s="43"/>
    </row>
    <row r="4" spans="1:34" s="84" customFormat="1" x14ac:dyDescent="0.25">
      <c r="A4" s="43"/>
      <c r="B4" s="458" t="s">
        <v>152</v>
      </c>
      <c r="C4" s="458"/>
      <c r="D4" s="458"/>
      <c r="E4" s="186"/>
      <c r="F4" s="44" t="s">
        <v>333</v>
      </c>
      <c r="G4" s="43"/>
      <c r="I4" s="85"/>
      <c r="J4" s="86"/>
      <c r="K4" s="86"/>
      <c r="M4" s="88"/>
      <c r="N4" s="43"/>
      <c r="O4" s="43"/>
      <c r="P4" s="43"/>
      <c r="R4" s="43"/>
    </row>
    <row r="5" spans="1:34" s="84" customFormat="1" x14ac:dyDescent="0.25">
      <c r="A5" s="43"/>
      <c r="B5" s="44" t="s">
        <v>150</v>
      </c>
      <c r="C5" s="83"/>
      <c r="F5" s="45" t="s">
        <v>151</v>
      </c>
      <c r="G5" s="43"/>
      <c r="I5" s="85"/>
      <c r="M5" s="89"/>
      <c r="N5" s="43"/>
      <c r="O5" s="43"/>
      <c r="P5" s="43"/>
      <c r="R5" s="43"/>
    </row>
    <row r="6" spans="1:34" s="84" customFormat="1" x14ac:dyDescent="0.25">
      <c r="A6" s="43"/>
      <c r="B6" s="44" t="s">
        <v>146</v>
      </c>
      <c r="C6" s="83"/>
      <c r="D6" s="83"/>
      <c r="E6" s="83"/>
      <c r="F6" s="45" t="s">
        <v>145</v>
      </c>
      <c r="G6" s="43"/>
      <c r="I6" s="85"/>
      <c r="J6" s="84" t="s">
        <v>153</v>
      </c>
      <c r="K6" s="90">
        <v>3.2</v>
      </c>
      <c r="M6" s="43"/>
      <c r="N6" s="43"/>
      <c r="O6" s="43"/>
      <c r="P6" s="43"/>
      <c r="R6" s="43"/>
    </row>
    <row r="7" spans="1:34" s="84" customFormat="1" ht="85.5" customHeight="1" x14ac:dyDescent="0.25">
      <c r="A7" s="43"/>
      <c r="B7" s="46"/>
      <c r="C7" s="183"/>
      <c r="D7" s="184" t="s">
        <v>491</v>
      </c>
      <c r="E7" s="83"/>
      <c r="F7" s="83"/>
      <c r="G7" s="43"/>
      <c r="I7" s="85"/>
      <c r="J7" s="86"/>
      <c r="K7" s="86"/>
      <c r="M7" s="43"/>
      <c r="N7" s="43"/>
      <c r="O7" s="43"/>
      <c r="P7" s="43"/>
      <c r="R7" s="43"/>
    </row>
    <row r="8" spans="1:34" x14ac:dyDescent="0.25">
      <c r="A8" s="493" t="s">
        <v>135</v>
      </c>
      <c r="B8" s="494" t="s">
        <v>24</v>
      </c>
      <c r="C8" s="495" t="s">
        <v>25</v>
      </c>
      <c r="D8" s="495" t="s">
        <v>45</v>
      </c>
      <c r="E8" s="496" t="s">
        <v>200</v>
      </c>
      <c r="F8" s="495" t="s">
        <v>408</v>
      </c>
      <c r="G8" s="494" t="s">
        <v>44</v>
      </c>
      <c r="H8" s="494" t="s">
        <v>46</v>
      </c>
      <c r="I8" s="500" t="s">
        <v>26</v>
      </c>
      <c r="J8" s="500"/>
      <c r="K8" s="500"/>
      <c r="L8" s="501" t="s">
        <v>52</v>
      </c>
      <c r="M8" s="494" t="s">
        <v>49</v>
      </c>
      <c r="N8" s="494" t="s">
        <v>27</v>
      </c>
      <c r="O8" s="494"/>
      <c r="P8" s="494" t="s">
        <v>18</v>
      </c>
      <c r="Q8" s="494" t="s">
        <v>50</v>
      </c>
      <c r="R8" s="494" t="s">
        <v>15</v>
      </c>
      <c r="S8" s="91"/>
      <c r="T8" s="91"/>
      <c r="U8" s="91"/>
    </row>
    <row r="9" spans="1:34" ht="47.25" x14ac:dyDescent="0.25">
      <c r="A9" s="493"/>
      <c r="B9" s="494"/>
      <c r="C9" s="495"/>
      <c r="D9" s="495"/>
      <c r="E9" s="497"/>
      <c r="F9" s="495"/>
      <c r="G9" s="494"/>
      <c r="H9" s="494"/>
      <c r="I9" s="51" t="s">
        <v>83</v>
      </c>
      <c r="J9" s="52" t="s">
        <v>48</v>
      </c>
      <c r="K9" s="52" t="s">
        <v>47</v>
      </c>
      <c r="L9" s="501"/>
      <c r="M9" s="494"/>
      <c r="N9" s="187" t="s">
        <v>28</v>
      </c>
      <c r="O9" s="187" t="s">
        <v>7</v>
      </c>
      <c r="P9" s="494"/>
      <c r="Q9" s="494"/>
      <c r="R9" s="494"/>
      <c r="S9" s="91"/>
      <c r="T9" s="91"/>
      <c r="U9" s="91"/>
    </row>
    <row r="10" spans="1:34" x14ac:dyDescent="0.25">
      <c r="A10" s="53">
        <v>1</v>
      </c>
      <c r="B10" s="498" t="s">
        <v>0</v>
      </c>
      <c r="C10" s="499"/>
      <c r="D10" s="499"/>
      <c r="E10" s="499"/>
      <c r="F10" s="499"/>
      <c r="G10" s="499"/>
      <c r="H10" s="499"/>
      <c r="I10" s="50">
        <f>SUM(I11:I16)</f>
        <v>4027812.421875</v>
      </c>
      <c r="J10" s="47"/>
      <c r="K10" s="47"/>
      <c r="L10" s="47"/>
      <c r="M10" s="47"/>
      <c r="N10" s="47"/>
      <c r="O10" s="47"/>
      <c r="P10" s="47"/>
      <c r="Q10" s="47"/>
      <c r="R10" s="48"/>
      <c r="S10" s="91"/>
      <c r="T10" s="91"/>
      <c r="U10" s="91"/>
    </row>
    <row r="11" spans="1:34" ht="46.5" customHeight="1" x14ac:dyDescent="0.25">
      <c r="A11" s="205" t="s">
        <v>136</v>
      </c>
      <c r="B11" s="211" t="s">
        <v>126</v>
      </c>
      <c r="C11" s="217" t="s">
        <v>155</v>
      </c>
      <c r="D11" s="217" t="s">
        <v>201</v>
      </c>
      <c r="E11" s="217" t="s">
        <v>426</v>
      </c>
      <c r="F11" s="211" t="s">
        <v>36</v>
      </c>
      <c r="G11" s="211">
        <v>1</v>
      </c>
      <c r="H11" s="211"/>
      <c r="I11" s="218">
        <v>0</v>
      </c>
      <c r="J11" s="219">
        <v>0</v>
      </c>
      <c r="K11" s="219">
        <v>1</v>
      </c>
      <c r="L11" s="211">
        <v>1</v>
      </c>
      <c r="M11" s="211" t="s">
        <v>2</v>
      </c>
      <c r="N11" s="215">
        <v>43709</v>
      </c>
      <c r="O11" s="215">
        <v>43800</v>
      </c>
      <c r="P11" s="211"/>
      <c r="Q11" s="211"/>
      <c r="R11" s="211" t="s">
        <v>1</v>
      </c>
      <c r="S11" s="91"/>
      <c r="T11" s="91"/>
      <c r="U11" s="91"/>
    </row>
    <row r="12" spans="1:34" s="95" customFormat="1" ht="66" customHeight="1" x14ac:dyDescent="0.25">
      <c r="A12" s="54" t="s">
        <v>137</v>
      </c>
      <c r="B12" s="55" t="s">
        <v>126</v>
      </c>
      <c r="C12" s="103" t="s">
        <v>199</v>
      </c>
      <c r="D12" s="56" t="s">
        <v>154</v>
      </c>
      <c r="E12" s="56" t="s">
        <v>202</v>
      </c>
      <c r="F12" s="55" t="s">
        <v>36</v>
      </c>
      <c r="G12" s="55">
        <v>1</v>
      </c>
      <c r="H12" s="191"/>
      <c r="I12" s="57">
        <v>0</v>
      </c>
      <c r="J12" s="182">
        <v>0</v>
      </c>
      <c r="K12" s="182">
        <v>0</v>
      </c>
      <c r="L12" s="55">
        <v>1</v>
      </c>
      <c r="M12" s="55" t="s">
        <v>3</v>
      </c>
      <c r="N12" s="61" t="s">
        <v>228</v>
      </c>
      <c r="O12" s="61" t="s">
        <v>229</v>
      </c>
      <c r="P12" s="55"/>
      <c r="Q12" s="55"/>
      <c r="R12" s="55" t="s">
        <v>1</v>
      </c>
      <c r="S12" s="181"/>
      <c r="T12" s="181"/>
      <c r="U12" s="181"/>
      <c r="V12" s="94"/>
      <c r="W12" s="94"/>
      <c r="X12" s="94"/>
      <c r="Y12" s="94"/>
      <c r="Z12" s="94"/>
      <c r="AA12" s="94"/>
      <c r="AB12" s="94"/>
      <c r="AC12" s="94"/>
      <c r="AD12" s="94"/>
      <c r="AE12" s="94"/>
      <c r="AF12" s="94"/>
      <c r="AG12" s="94"/>
      <c r="AH12" s="94"/>
    </row>
    <row r="13" spans="1:34" s="6" customFormat="1" ht="48.75" customHeight="1" x14ac:dyDescent="0.25">
      <c r="A13" s="205" t="s">
        <v>138</v>
      </c>
      <c r="B13" s="211" t="s">
        <v>126</v>
      </c>
      <c r="C13" s="217" t="s">
        <v>427</v>
      </c>
      <c r="D13" s="217" t="s">
        <v>156</v>
      </c>
      <c r="E13" s="217" t="s">
        <v>203</v>
      </c>
      <c r="F13" s="211" t="s">
        <v>36</v>
      </c>
      <c r="G13" s="211">
        <v>1</v>
      </c>
      <c r="H13" s="214"/>
      <c r="I13" s="218">
        <v>0</v>
      </c>
      <c r="J13" s="219">
        <v>0</v>
      </c>
      <c r="K13" s="219">
        <v>0</v>
      </c>
      <c r="L13" s="211">
        <v>1</v>
      </c>
      <c r="M13" s="211" t="s">
        <v>2</v>
      </c>
      <c r="N13" s="215">
        <v>44593</v>
      </c>
      <c r="O13" s="215">
        <v>44713</v>
      </c>
      <c r="P13" s="55"/>
      <c r="Q13" s="55"/>
      <c r="R13" s="55" t="s">
        <v>1</v>
      </c>
      <c r="S13" s="91"/>
      <c r="T13" s="91"/>
      <c r="U13" s="91"/>
      <c r="V13" s="93"/>
      <c r="W13" s="93"/>
      <c r="X13" s="93"/>
      <c r="Y13" s="93"/>
      <c r="Z13" s="93"/>
      <c r="AA13" s="93"/>
      <c r="AB13" s="93"/>
      <c r="AC13" s="93"/>
      <c r="AD13" s="93"/>
      <c r="AE13" s="93"/>
      <c r="AF13" s="93"/>
      <c r="AG13" s="93"/>
      <c r="AH13" s="93"/>
    </row>
    <row r="14" spans="1:34" s="93" customFormat="1" ht="31.5" x14ac:dyDescent="0.25">
      <c r="A14" s="54" t="s">
        <v>139</v>
      </c>
      <c r="B14" s="59" t="s">
        <v>126</v>
      </c>
      <c r="C14" s="103" t="s">
        <v>483</v>
      </c>
      <c r="D14" s="103" t="s">
        <v>157</v>
      </c>
      <c r="E14" s="103" t="s">
        <v>204</v>
      </c>
      <c r="F14" s="59" t="s">
        <v>36</v>
      </c>
      <c r="G14" s="59">
        <v>1</v>
      </c>
      <c r="H14" s="106"/>
      <c r="I14" s="57">
        <f>'[6]PEP US$'!$N$43+'[6]PEP US$'!$Q$43</f>
        <v>2496562.421875</v>
      </c>
      <c r="J14" s="58">
        <v>0.53059999999999996</v>
      </c>
      <c r="K14" s="58">
        <v>0.46939999999999998</v>
      </c>
      <c r="L14" s="59">
        <v>1</v>
      </c>
      <c r="M14" s="59" t="s">
        <v>3</v>
      </c>
      <c r="N14" s="62" t="s">
        <v>413</v>
      </c>
      <c r="O14" s="62" t="s">
        <v>229</v>
      </c>
      <c r="P14" s="59"/>
      <c r="Q14" s="59"/>
      <c r="R14" s="59" t="s">
        <v>1</v>
      </c>
      <c r="S14" s="91"/>
      <c r="T14" s="91"/>
      <c r="U14" s="91"/>
    </row>
    <row r="15" spans="1:34" s="93" customFormat="1" ht="63" x14ac:dyDescent="0.25">
      <c r="A15" s="54" t="s">
        <v>197</v>
      </c>
      <c r="B15" s="59" t="s">
        <v>126</v>
      </c>
      <c r="C15" s="103" t="s">
        <v>205</v>
      </c>
      <c r="D15" s="70" t="s">
        <v>275</v>
      </c>
      <c r="E15" s="56" t="s">
        <v>206</v>
      </c>
      <c r="F15" s="59" t="s">
        <v>37</v>
      </c>
      <c r="G15" s="59">
        <v>1</v>
      </c>
      <c r="H15" s="106"/>
      <c r="I15" s="104">
        <v>156250</v>
      </c>
      <c r="J15" s="101">
        <v>1</v>
      </c>
      <c r="K15" s="101">
        <v>0</v>
      </c>
      <c r="L15" s="59">
        <v>2</v>
      </c>
      <c r="M15" s="59" t="s">
        <v>2</v>
      </c>
      <c r="N15" s="102">
        <v>43617</v>
      </c>
      <c r="O15" s="102">
        <v>43770</v>
      </c>
      <c r="P15" s="59"/>
      <c r="Q15" s="59"/>
      <c r="R15" s="59" t="s">
        <v>1</v>
      </c>
      <c r="S15" s="91"/>
      <c r="T15" s="91"/>
      <c r="U15" s="91"/>
    </row>
    <row r="16" spans="1:34" s="95" customFormat="1" ht="47.25" customHeight="1" x14ac:dyDescent="0.25">
      <c r="A16" s="205" t="s">
        <v>274</v>
      </c>
      <c r="B16" s="211" t="s">
        <v>126</v>
      </c>
      <c r="C16" s="217" t="s">
        <v>484</v>
      </c>
      <c r="D16" s="217" t="s">
        <v>181</v>
      </c>
      <c r="E16" s="217" t="s">
        <v>215</v>
      </c>
      <c r="F16" s="211" t="s">
        <v>35</v>
      </c>
      <c r="G16" s="211">
        <v>1</v>
      </c>
      <c r="H16" s="213"/>
      <c r="I16" s="218">
        <f>'[3]PEP US$'!$N$11+'[3]PEP US$'!$Q$11</f>
        <v>1375000</v>
      </c>
      <c r="J16" s="219">
        <f>100%-K16</f>
        <v>0.93181818181818188</v>
      </c>
      <c r="K16" s="214">
        <f>'[3]PEP US$'!$P$11/'PA 18 02 19 - 18 meses'!I16</f>
        <v>6.8181818181818177E-2</v>
      </c>
      <c r="L16" s="211">
        <v>1</v>
      </c>
      <c r="M16" s="211" t="s">
        <v>3</v>
      </c>
      <c r="N16" s="220" t="s">
        <v>237</v>
      </c>
      <c r="O16" s="220" t="s">
        <v>327</v>
      </c>
      <c r="P16" s="211"/>
      <c r="Q16" s="213"/>
      <c r="R16" s="211" t="s">
        <v>1</v>
      </c>
      <c r="S16" s="181"/>
      <c r="T16" s="181"/>
      <c r="U16" s="181"/>
      <c r="V16" s="94"/>
      <c r="W16" s="94"/>
      <c r="X16" s="94"/>
      <c r="Y16" s="94"/>
      <c r="Z16" s="94"/>
      <c r="AA16" s="94"/>
      <c r="AB16" s="94"/>
      <c r="AC16" s="94"/>
      <c r="AD16" s="94"/>
      <c r="AE16" s="94"/>
      <c r="AF16" s="94"/>
      <c r="AG16" s="94"/>
      <c r="AH16" s="94"/>
    </row>
    <row r="17" spans="1:34" s="84" customFormat="1" x14ac:dyDescent="0.25">
      <c r="A17" s="185"/>
      <c r="B17" s="185"/>
      <c r="C17" s="125"/>
      <c r="D17" s="125"/>
      <c r="E17" s="125"/>
      <c r="F17" s="125"/>
      <c r="G17" s="185"/>
      <c r="H17" s="126"/>
      <c r="I17" s="127"/>
      <c r="J17" s="128"/>
      <c r="K17" s="128"/>
      <c r="L17" s="126"/>
      <c r="M17" s="185"/>
      <c r="N17" s="185"/>
      <c r="O17" s="185"/>
      <c r="P17" s="185"/>
      <c r="Q17" s="126"/>
      <c r="R17" s="185"/>
      <c r="S17" s="91"/>
    </row>
    <row r="18" spans="1:34" ht="15.75" customHeight="1" x14ac:dyDescent="0.25">
      <c r="A18" s="53">
        <v>2</v>
      </c>
      <c r="B18" s="498" t="s">
        <v>8</v>
      </c>
      <c r="C18" s="499"/>
      <c r="D18" s="499"/>
      <c r="E18" s="499"/>
      <c r="F18" s="499"/>
      <c r="G18" s="499"/>
      <c r="H18" s="499"/>
      <c r="I18" s="50">
        <f>SUM(I19:I34)</f>
        <v>1428128.625</v>
      </c>
      <c r="J18" s="47"/>
      <c r="K18" s="47"/>
      <c r="L18" s="47"/>
      <c r="M18" s="47"/>
      <c r="N18" s="47"/>
      <c r="O18" s="47"/>
      <c r="P18" s="47"/>
      <c r="Q18" s="47"/>
      <c r="R18" s="48"/>
      <c r="S18" s="91"/>
      <c r="T18" s="91"/>
      <c r="U18" s="91"/>
      <c r="V18" s="93"/>
      <c r="W18" s="93"/>
      <c r="X18" s="93"/>
      <c r="Y18" s="93"/>
      <c r="Z18" s="93"/>
      <c r="AA18" s="93"/>
      <c r="AB18" s="93"/>
      <c r="AC18" s="93"/>
      <c r="AD18" s="93"/>
    </row>
    <row r="19" spans="1:34" s="94" customFormat="1" ht="49.5" customHeight="1" x14ac:dyDescent="0.25">
      <c r="A19" s="54" t="s">
        <v>140</v>
      </c>
      <c r="B19" s="59" t="s">
        <v>126</v>
      </c>
      <c r="C19" s="66" t="s">
        <v>260</v>
      </c>
      <c r="D19" s="66" t="s">
        <v>260</v>
      </c>
      <c r="E19" s="49" t="s">
        <v>206</v>
      </c>
      <c r="F19" s="66" t="s">
        <v>34</v>
      </c>
      <c r="G19" s="59">
        <v>1</v>
      </c>
      <c r="H19" s="99"/>
      <c r="I19" s="100">
        <v>0</v>
      </c>
      <c r="J19" s="101">
        <v>0</v>
      </c>
      <c r="K19" s="101">
        <v>0</v>
      </c>
      <c r="L19" s="59">
        <v>2</v>
      </c>
      <c r="M19" s="59" t="s">
        <v>2</v>
      </c>
      <c r="N19" s="102">
        <v>43617</v>
      </c>
      <c r="O19" s="102">
        <v>43770</v>
      </c>
      <c r="P19" s="59"/>
      <c r="Q19" s="99"/>
      <c r="R19" s="59"/>
      <c r="S19" s="91"/>
      <c r="T19" s="91"/>
      <c r="U19" s="91"/>
      <c r="V19" s="93"/>
      <c r="W19" s="93"/>
      <c r="X19" s="93"/>
      <c r="Y19" s="93"/>
      <c r="Z19" s="93"/>
      <c r="AA19" s="93"/>
      <c r="AB19" s="93"/>
      <c r="AC19" s="93"/>
      <c r="AD19" s="93"/>
    </row>
    <row r="20" spans="1:34" s="94" customFormat="1" ht="61.5" customHeight="1" x14ac:dyDescent="0.25">
      <c r="A20" s="54" t="s">
        <v>147</v>
      </c>
      <c r="B20" s="59" t="s">
        <v>126</v>
      </c>
      <c r="C20" s="129" t="s">
        <v>361</v>
      </c>
      <c r="D20" s="129" t="s">
        <v>266</v>
      </c>
      <c r="E20" s="49" t="s">
        <v>206</v>
      </c>
      <c r="F20" s="66" t="s">
        <v>37</v>
      </c>
      <c r="G20" s="59">
        <v>1</v>
      </c>
      <c r="H20" s="99"/>
      <c r="I20" s="130">
        <v>62500</v>
      </c>
      <c r="J20" s="101">
        <v>1</v>
      </c>
      <c r="K20" s="101">
        <v>0</v>
      </c>
      <c r="L20" s="59">
        <v>2</v>
      </c>
      <c r="M20" s="59" t="s">
        <v>2</v>
      </c>
      <c r="N20" s="102">
        <v>43617</v>
      </c>
      <c r="O20" s="102">
        <v>43770</v>
      </c>
      <c r="P20" s="59"/>
      <c r="Q20" s="99"/>
      <c r="R20" s="59"/>
      <c r="S20" s="91"/>
      <c r="T20" s="91"/>
      <c r="U20" s="91"/>
      <c r="V20" s="93"/>
      <c r="W20" s="93"/>
      <c r="X20" s="93"/>
      <c r="Y20" s="93"/>
      <c r="Z20" s="93"/>
      <c r="AA20" s="93"/>
      <c r="AB20" s="93"/>
      <c r="AC20" s="93"/>
      <c r="AD20" s="93"/>
    </row>
    <row r="21" spans="1:34" s="94" customFormat="1" ht="72.75" customHeight="1" x14ac:dyDescent="0.25">
      <c r="A21" s="54" t="s">
        <v>194</v>
      </c>
      <c r="B21" s="59" t="s">
        <v>126</v>
      </c>
      <c r="C21" s="129" t="s">
        <v>362</v>
      </c>
      <c r="D21" s="129" t="s">
        <v>410</v>
      </c>
      <c r="E21" s="49" t="s">
        <v>206</v>
      </c>
      <c r="F21" s="66" t="s">
        <v>37</v>
      </c>
      <c r="G21" s="59">
        <v>1</v>
      </c>
      <c r="H21" s="99"/>
      <c r="I21" s="130">
        <v>93750</v>
      </c>
      <c r="J21" s="101">
        <v>1</v>
      </c>
      <c r="K21" s="101">
        <v>0</v>
      </c>
      <c r="L21" s="59">
        <v>2</v>
      </c>
      <c r="M21" s="59" t="s">
        <v>2</v>
      </c>
      <c r="N21" s="102">
        <v>43617</v>
      </c>
      <c r="O21" s="102">
        <v>43770</v>
      </c>
      <c r="P21" s="59"/>
      <c r="Q21" s="99"/>
      <c r="R21" s="59"/>
      <c r="S21" s="91"/>
      <c r="T21" s="91"/>
      <c r="U21" s="91"/>
      <c r="V21" s="93"/>
      <c r="W21" s="93"/>
      <c r="X21" s="93"/>
      <c r="Y21" s="93"/>
      <c r="Z21" s="93"/>
      <c r="AA21" s="93"/>
      <c r="AB21" s="93"/>
      <c r="AC21" s="93"/>
      <c r="AD21" s="93"/>
    </row>
    <row r="22" spans="1:34" s="94" customFormat="1" ht="47.25" x14ac:dyDescent="0.25">
      <c r="A22" s="54" t="s">
        <v>195</v>
      </c>
      <c r="B22" s="59" t="s">
        <v>126</v>
      </c>
      <c r="C22" s="129" t="s">
        <v>363</v>
      </c>
      <c r="D22" s="129" t="s">
        <v>267</v>
      </c>
      <c r="E22" s="49" t="s">
        <v>206</v>
      </c>
      <c r="F22" s="66" t="s">
        <v>34</v>
      </c>
      <c r="G22" s="59">
        <v>1</v>
      </c>
      <c r="H22" s="99"/>
      <c r="I22" s="130">
        <v>0</v>
      </c>
      <c r="J22" s="101">
        <v>1</v>
      </c>
      <c r="K22" s="101">
        <v>0</v>
      </c>
      <c r="L22" s="59">
        <v>2</v>
      </c>
      <c r="M22" s="59" t="s">
        <v>2</v>
      </c>
      <c r="N22" s="102">
        <v>43617</v>
      </c>
      <c r="O22" s="102">
        <v>43770</v>
      </c>
      <c r="P22" s="59"/>
      <c r="Q22" s="99"/>
      <c r="R22" s="59"/>
      <c r="S22" s="91"/>
      <c r="T22" s="91"/>
      <c r="U22" s="91"/>
      <c r="V22" s="93"/>
      <c r="W22" s="93"/>
      <c r="X22" s="93"/>
      <c r="Y22" s="93"/>
      <c r="Z22" s="93"/>
      <c r="AA22" s="93"/>
      <c r="AB22" s="93"/>
      <c r="AC22" s="93"/>
      <c r="AD22" s="93"/>
    </row>
    <row r="23" spans="1:34" s="94" customFormat="1" ht="60.75" customHeight="1" x14ac:dyDescent="0.25">
      <c r="A23" s="54" t="s">
        <v>196</v>
      </c>
      <c r="B23" s="59" t="s">
        <v>126</v>
      </c>
      <c r="C23" s="129" t="s">
        <v>366</v>
      </c>
      <c r="D23" s="129" t="s">
        <v>273</v>
      </c>
      <c r="E23" s="49" t="s">
        <v>206</v>
      </c>
      <c r="F23" s="66" t="s">
        <v>37</v>
      </c>
      <c r="G23" s="59">
        <v>1</v>
      </c>
      <c r="H23" s="100"/>
      <c r="I23" s="100">
        <v>37500</v>
      </c>
      <c r="J23" s="101">
        <v>1</v>
      </c>
      <c r="K23" s="101">
        <v>0</v>
      </c>
      <c r="L23" s="59">
        <v>2</v>
      </c>
      <c r="M23" s="59" t="s">
        <v>2</v>
      </c>
      <c r="N23" s="102">
        <v>43617</v>
      </c>
      <c r="O23" s="102">
        <v>43770</v>
      </c>
      <c r="P23" s="59"/>
      <c r="Q23" s="99"/>
      <c r="R23" s="59"/>
      <c r="S23" s="91"/>
      <c r="T23" s="91"/>
      <c r="U23" s="91"/>
      <c r="V23" s="93"/>
      <c r="W23" s="93"/>
      <c r="X23" s="93"/>
      <c r="Y23" s="93"/>
      <c r="Z23" s="93"/>
      <c r="AA23" s="93"/>
      <c r="AB23" s="93"/>
      <c r="AC23" s="93"/>
      <c r="AD23" s="93"/>
    </row>
    <row r="24" spans="1:34" s="94" customFormat="1" ht="61.5" customHeight="1" x14ac:dyDescent="0.25">
      <c r="A24" s="54" t="s">
        <v>258</v>
      </c>
      <c r="B24" s="59" t="s">
        <v>126</v>
      </c>
      <c r="C24" s="66" t="s">
        <v>364</v>
      </c>
      <c r="D24" s="66" t="s">
        <v>281</v>
      </c>
      <c r="E24" s="66" t="s">
        <v>277</v>
      </c>
      <c r="F24" s="66" t="s">
        <v>34</v>
      </c>
      <c r="G24" s="59">
        <v>1</v>
      </c>
      <c r="H24" s="99"/>
      <c r="I24" s="100">
        <f>'[7]PEP US$'!$N$54+'[7]PEP US$'!$Q$54</f>
        <v>0</v>
      </c>
      <c r="J24" s="182">
        <v>0</v>
      </c>
      <c r="K24" s="101">
        <v>0</v>
      </c>
      <c r="L24" s="59">
        <v>2</v>
      </c>
      <c r="M24" s="59" t="s">
        <v>2</v>
      </c>
      <c r="N24" s="102">
        <v>43831</v>
      </c>
      <c r="O24" s="102">
        <v>43952</v>
      </c>
      <c r="P24" s="59"/>
      <c r="Q24" s="99"/>
      <c r="R24" s="59"/>
      <c r="S24" s="91"/>
      <c r="T24" s="91"/>
      <c r="U24" s="91"/>
      <c r="V24" s="93"/>
      <c r="W24" s="93"/>
      <c r="X24" s="93"/>
      <c r="Y24" s="93"/>
      <c r="Z24" s="93"/>
      <c r="AA24" s="93"/>
      <c r="AB24" s="93"/>
      <c r="AC24" s="93"/>
      <c r="AD24" s="93"/>
    </row>
    <row r="25" spans="1:34" s="94" customFormat="1" ht="192.75" customHeight="1" x14ac:dyDescent="0.25">
      <c r="A25" s="54" t="s">
        <v>259</v>
      </c>
      <c r="B25" s="59" t="s">
        <v>126</v>
      </c>
      <c r="C25" s="109" t="s">
        <v>294</v>
      </c>
      <c r="D25" s="109" t="s">
        <v>397</v>
      </c>
      <c r="E25" s="49" t="s">
        <v>448</v>
      </c>
      <c r="F25" s="66" t="s">
        <v>34</v>
      </c>
      <c r="G25" s="59">
        <v>1</v>
      </c>
      <c r="H25" s="99"/>
      <c r="I25" s="65">
        <f>242563+6188+14062</f>
        <v>262813</v>
      </c>
      <c r="J25" s="101">
        <v>1</v>
      </c>
      <c r="K25" s="101">
        <v>0</v>
      </c>
      <c r="L25" s="59">
        <v>2</v>
      </c>
      <c r="M25" s="59" t="s">
        <v>2</v>
      </c>
      <c r="N25" s="102">
        <v>43647</v>
      </c>
      <c r="O25" s="102">
        <v>43800</v>
      </c>
      <c r="P25" s="59"/>
      <c r="Q25" s="99"/>
      <c r="R25" s="59"/>
      <c r="S25" s="91"/>
      <c r="T25" s="91"/>
      <c r="U25" s="91"/>
      <c r="V25" s="93"/>
      <c r="W25" s="93"/>
      <c r="X25" s="93"/>
      <c r="Y25" s="93"/>
      <c r="Z25" s="93"/>
      <c r="AA25" s="93"/>
      <c r="AB25" s="93"/>
      <c r="AC25" s="93"/>
      <c r="AD25" s="93"/>
    </row>
    <row r="26" spans="1:34" s="95" customFormat="1" ht="36.75" customHeight="1" x14ac:dyDescent="0.25">
      <c r="A26" s="54" t="s">
        <v>261</v>
      </c>
      <c r="B26" s="55" t="s">
        <v>126</v>
      </c>
      <c r="C26" s="131" t="s">
        <v>301</v>
      </c>
      <c r="D26" s="131" t="s">
        <v>301</v>
      </c>
      <c r="E26" s="49" t="s">
        <v>299</v>
      </c>
      <c r="F26" s="49" t="s">
        <v>34</v>
      </c>
      <c r="G26" s="55">
        <v>1</v>
      </c>
      <c r="H26" s="64"/>
      <c r="I26" s="65">
        <v>0</v>
      </c>
      <c r="J26" s="58">
        <v>0</v>
      </c>
      <c r="K26" s="58">
        <v>0</v>
      </c>
      <c r="L26" s="55"/>
      <c r="M26" s="55" t="s">
        <v>2</v>
      </c>
      <c r="N26" s="60"/>
      <c r="O26" s="60"/>
      <c r="P26" s="55"/>
      <c r="Q26" s="64"/>
      <c r="R26" s="55"/>
      <c r="S26" s="91"/>
      <c r="T26" s="91"/>
      <c r="U26" s="91"/>
      <c r="V26" s="93"/>
      <c r="W26" s="93"/>
      <c r="X26" s="93"/>
      <c r="Y26" s="93"/>
      <c r="Z26" s="93"/>
      <c r="AA26" s="93"/>
      <c r="AB26" s="93"/>
      <c r="AC26" s="93"/>
      <c r="AD26" s="93"/>
      <c r="AE26" s="94"/>
      <c r="AF26" s="94"/>
      <c r="AG26" s="94"/>
      <c r="AH26" s="94"/>
    </row>
    <row r="27" spans="1:34" s="95" customFormat="1" ht="31.5" x14ac:dyDescent="0.25">
      <c r="A27" s="54" t="s">
        <v>262</v>
      </c>
      <c r="B27" s="55" t="s">
        <v>126</v>
      </c>
      <c r="C27" s="67" t="s">
        <v>304</v>
      </c>
      <c r="D27" s="67" t="s">
        <v>305</v>
      </c>
      <c r="E27" s="49" t="s">
        <v>302</v>
      </c>
      <c r="F27" s="49" t="s">
        <v>37</v>
      </c>
      <c r="G27" s="55">
        <v>1</v>
      </c>
      <c r="H27" s="64"/>
      <c r="I27" s="65">
        <v>90625</v>
      </c>
      <c r="J27" s="58">
        <v>1</v>
      </c>
      <c r="K27" s="58">
        <v>0</v>
      </c>
      <c r="L27" s="55">
        <v>2</v>
      </c>
      <c r="M27" s="55" t="s">
        <v>2</v>
      </c>
      <c r="N27" s="60">
        <v>43160</v>
      </c>
      <c r="O27" s="60">
        <v>43344</v>
      </c>
      <c r="P27" s="55"/>
      <c r="Q27" s="64"/>
      <c r="R27" s="55"/>
      <c r="S27" s="91"/>
      <c r="T27" s="91"/>
      <c r="U27" s="91"/>
      <c r="V27" s="93"/>
      <c r="W27" s="93"/>
      <c r="X27" s="93"/>
      <c r="Y27" s="93"/>
      <c r="Z27" s="93"/>
      <c r="AA27" s="93"/>
      <c r="AB27" s="93"/>
      <c r="AC27" s="93"/>
      <c r="AD27" s="93"/>
      <c r="AE27" s="94"/>
      <c r="AF27" s="94"/>
      <c r="AG27" s="94"/>
      <c r="AH27" s="94"/>
    </row>
    <row r="28" spans="1:34" s="6" customFormat="1" ht="122.25" customHeight="1" x14ac:dyDescent="0.25">
      <c r="A28" s="54" t="s">
        <v>263</v>
      </c>
      <c r="B28" s="55" t="s">
        <v>126</v>
      </c>
      <c r="C28" s="49" t="s">
        <v>310</v>
      </c>
      <c r="D28" s="131" t="s">
        <v>311</v>
      </c>
      <c r="E28" s="49" t="s">
        <v>309</v>
      </c>
      <c r="F28" s="49" t="s">
        <v>34</v>
      </c>
      <c r="G28" s="55">
        <v>1</v>
      </c>
      <c r="H28" s="64"/>
      <c r="I28" s="65">
        <v>150000</v>
      </c>
      <c r="J28" s="58">
        <v>1</v>
      </c>
      <c r="K28" s="58">
        <v>0</v>
      </c>
      <c r="L28" s="55">
        <v>2</v>
      </c>
      <c r="M28" s="55" t="s">
        <v>2</v>
      </c>
      <c r="N28" s="60">
        <v>43252</v>
      </c>
      <c r="O28" s="60">
        <v>43405</v>
      </c>
      <c r="P28" s="55"/>
      <c r="Q28" s="64"/>
      <c r="R28" s="55"/>
      <c r="S28" s="91"/>
      <c r="T28" s="91"/>
      <c r="U28" s="91"/>
      <c r="V28" s="93"/>
      <c r="W28" s="93"/>
      <c r="X28" s="93"/>
      <c r="Y28" s="93"/>
      <c r="Z28" s="93"/>
      <c r="AA28" s="93"/>
      <c r="AB28" s="93"/>
      <c r="AC28" s="93"/>
      <c r="AD28" s="93"/>
      <c r="AE28" s="93"/>
      <c r="AF28" s="93"/>
      <c r="AG28" s="93"/>
      <c r="AH28" s="93"/>
    </row>
    <row r="29" spans="1:34" s="6" customFormat="1" ht="31.5" x14ac:dyDescent="0.25">
      <c r="A29" s="54" t="s">
        <v>264</v>
      </c>
      <c r="B29" s="55" t="s">
        <v>126</v>
      </c>
      <c r="C29" s="49" t="s">
        <v>310</v>
      </c>
      <c r="D29" s="131" t="s">
        <v>312</v>
      </c>
      <c r="E29" s="49" t="s">
        <v>309</v>
      </c>
      <c r="F29" s="49" t="s">
        <v>37</v>
      </c>
      <c r="G29" s="55">
        <v>1</v>
      </c>
      <c r="H29" s="64"/>
      <c r="I29" s="65">
        <v>7812.5</v>
      </c>
      <c r="J29" s="58">
        <v>1</v>
      </c>
      <c r="K29" s="58">
        <v>0</v>
      </c>
      <c r="L29" s="55">
        <v>2</v>
      </c>
      <c r="M29" s="55" t="s">
        <v>2</v>
      </c>
      <c r="N29" s="60">
        <v>43252</v>
      </c>
      <c r="O29" s="60">
        <v>43405</v>
      </c>
      <c r="P29" s="55"/>
      <c r="Q29" s="64"/>
      <c r="R29" s="55"/>
      <c r="S29" s="91"/>
      <c r="T29" s="91"/>
      <c r="U29" s="91"/>
      <c r="V29" s="93"/>
      <c r="W29" s="93"/>
      <c r="X29" s="93"/>
      <c r="Y29" s="93"/>
      <c r="Z29" s="93"/>
      <c r="AA29" s="93"/>
      <c r="AB29" s="93"/>
      <c r="AC29" s="93"/>
      <c r="AD29" s="93"/>
      <c r="AE29" s="93"/>
      <c r="AF29" s="93"/>
      <c r="AG29" s="93"/>
      <c r="AH29" s="93"/>
    </row>
    <row r="30" spans="1:34" s="6" customFormat="1" ht="53.25" customHeight="1" x14ac:dyDescent="0.25">
      <c r="A30" s="54" t="s">
        <v>265</v>
      </c>
      <c r="B30" s="55" t="s">
        <v>126</v>
      </c>
      <c r="C30" s="49" t="s">
        <v>310</v>
      </c>
      <c r="D30" s="131" t="s">
        <v>313</v>
      </c>
      <c r="E30" s="49" t="s">
        <v>309</v>
      </c>
      <c r="F30" s="49" t="s">
        <v>37</v>
      </c>
      <c r="G30" s="55">
        <v>1</v>
      </c>
      <c r="H30" s="64"/>
      <c r="I30" s="65">
        <v>22500</v>
      </c>
      <c r="J30" s="58">
        <v>1</v>
      </c>
      <c r="K30" s="58">
        <v>0</v>
      </c>
      <c r="L30" s="55">
        <v>2</v>
      </c>
      <c r="M30" s="55" t="s">
        <v>2</v>
      </c>
      <c r="N30" s="60">
        <v>43252</v>
      </c>
      <c r="O30" s="60">
        <v>43405</v>
      </c>
      <c r="P30" s="55"/>
      <c r="Q30" s="64"/>
      <c r="R30" s="55"/>
      <c r="S30" s="91"/>
      <c r="T30" s="91"/>
      <c r="U30" s="91"/>
      <c r="V30" s="93"/>
      <c r="W30" s="93"/>
      <c r="X30" s="93"/>
      <c r="Y30" s="93"/>
      <c r="Z30" s="93"/>
      <c r="AA30" s="93"/>
      <c r="AB30" s="93"/>
      <c r="AC30" s="93"/>
      <c r="AD30" s="93"/>
      <c r="AE30" s="93"/>
      <c r="AF30" s="93"/>
      <c r="AG30" s="93"/>
      <c r="AH30" s="93"/>
    </row>
    <row r="31" spans="1:34" s="6" customFormat="1" ht="165" customHeight="1" x14ac:dyDescent="0.25">
      <c r="A31" s="54" t="s">
        <v>278</v>
      </c>
      <c r="B31" s="55" t="s">
        <v>126</v>
      </c>
      <c r="C31" s="49" t="s">
        <v>319</v>
      </c>
      <c r="D31" s="49" t="s">
        <v>326</v>
      </c>
      <c r="E31" s="49" t="s">
        <v>315</v>
      </c>
      <c r="F31" s="49" t="s">
        <v>34</v>
      </c>
      <c r="G31" s="55">
        <v>1</v>
      </c>
      <c r="H31" s="64"/>
      <c r="I31" s="65">
        <v>59375</v>
      </c>
      <c r="J31" s="58">
        <v>1</v>
      </c>
      <c r="K31" s="58">
        <v>0</v>
      </c>
      <c r="L31" s="55">
        <v>2</v>
      </c>
      <c r="M31" s="55" t="s">
        <v>2</v>
      </c>
      <c r="N31" s="60">
        <v>43617</v>
      </c>
      <c r="O31" s="60">
        <v>43770</v>
      </c>
      <c r="P31" s="55"/>
      <c r="Q31" s="64"/>
      <c r="R31" s="55"/>
      <c r="S31" s="91"/>
      <c r="T31" s="91"/>
      <c r="U31" s="91"/>
      <c r="V31" s="93"/>
      <c r="W31" s="93"/>
      <c r="X31" s="93"/>
      <c r="Y31" s="93"/>
      <c r="Z31" s="93"/>
      <c r="AA31" s="93"/>
      <c r="AB31" s="93"/>
      <c r="AC31" s="93"/>
      <c r="AD31" s="93"/>
      <c r="AE31" s="93"/>
      <c r="AF31" s="93"/>
      <c r="AG31" s="93"/>
      <c r="AH31" s="93"/>
    </row>
    <row r="32" spans="1:34" s="6" customFormat="1" ht="165.75" customHeight="1" x14ac:dyDescent="0.25">
      <c r="A32" s="205" t="s">
        <v>279</v>
      </c>
      <c r="B32" s="211" t="s">
        <v>126</v>
      </c>
      <c r="C32" s="212" t="s">
        <v>325</v>
      </c>
      <c r="D32" s="212" t="s">
        <v>399</v>
      </c>
      <c r="E32" s="212" t="s">
        <v>324</v>
      </c>
      <c r="F32" s="212" t="s">
        <v>34</v>
      </c>
      <c r="G32" s="211">
        <v>1</v>
      </c>
      <c r="H32" s="213"/>
      <c r="I32" s="216">
        <f>456.25/2</f>
        <v>228.125</v>
      </c>
      <c r="J32" s="214">
        <v>1</v>
      </c>
      <c r="K32" s="214">
        <v>0</v>
      </c>
      <c r="L32" s="211">
        <v>2</v>
      </c>
      <c r="M32" s="211" t="s">
        <v>2</v>
      </c>
      <c r="N32" s="215">
        <v>43800</v>
      </c>
      <c r="O32" s="215">
        <v>43891</v>
      </c>
      <c r="P32" s="55"/>
      <c r="Q32" s="64"/>
      <c r="R32" s="55"/>
      <c r="S32" s="192"/>
      <c r="T32" s="192"/>
      <c r="U32" s="192" t="s">
        <v>411</v>
      </c>
    </row>
    <row r="33" spans="1:34" s="6" customFormat="1" ht="31.5" x14ac:dyDescent="0.25">
      <c r="A33" s="205" t="s">
        <v>280</v>
      </c>
      <c r="B33" s="211" t="s">
        <v>126</v>
      </c>
      <c r="C33" s="212" t="s">
        <v>325</v>
      </c>
      <c r="D33" s="212" t="s">
        <v>400</v>
      </c>
      <c r="E33" s="212" t="s">
        <v>324</v>
      </c>
      <c r="F33" s="212" t="s">
        <v>34</v>
      </c>
      <c r="G33" s="211"/>
      <c r="H33" s="213"/>
      <c r="I33" s="216">
        <f>456.25/2</f>
        <v>228.125</v>
      </c>
      <c r="J33" s="214">
        <v>1</v>
      </c>
      <c r="K33" s="214">
        <v>0</v>
      </c>
      <c r="L33" s="211">
        <v>2</v>
      </c>
      <c r="M33" s="211" t="s">
        <v>2</v>
      </c>
      <c r="N33" s="215">
        <v>43800</v>
      </c>
      <c r="O33" s="215">
        <v>43891</v>
      </c>
      <c r="P33" s="55"/>
      <c r="Q33" s="64"/>
      <c r="R33" s="55"/>
      <c r="S33" s="192"/>
      <c r="T33" s="192"/>
      <c r="U33" s="192"/>
    </row>
    <row r="34" spans="1:34" s="6" customFormat="1" ht="31.5" x14ac:dyDescent="0.25">
      <c r="A34" s="54" t="s">
        <v>422</v>
      </c>
      <c r="B34" s="55" t="s">
        <v>126</v>
      </c>
      <c r="C34" s="49" t="s">
        <v>423</v>
      </c>
      <c r="D34" s="49"/>
      <c r="E34" s="49"/>
      <c r="F34" s="49" t="s">
        <v>34</v>
      </c>
      <c r="G34" s="55"/>
      <c r="H34" s="64"/>
      <c r="I34" s="65">
        <v>640796.875</v>
      </c>
      <c r="J34" s="58">
        <v>1</v>
      </c>
      <c r="K34" s="58">
        <v>0</v>
      </c>
      <c r="L34" s="55">
        <v>2</v>
      </c>
      <c r="M34" s="55" t="s">
        <v>2</v>
      </c>
      <c r="N34" s="60">
        <v>43525</v>
      </c>
      <c r="O34" s="60">
        <v>43617</v>
      </c>
      <c r="P34" s="55"/>
      <c r="Q34" s="64"/>
      <c r="R34" s="55"/>
      <c r="S34" s="192"/>
      <c r="T34" s="192"/>
      <c r="U34" s="192"/>
    </row>
    <row r="35" spans="1:34" s="84" customFormat="1" x14ac:dyDescent="0.25">
      <c r="A35" s="68"/>
      <c r="B35" s="68"/>
      <c r="C35" s="132"/>
      <c r="D35" s="132"/>
      <c r="E35" s="132"/>
      <c r="F35" s="132"/>
      <c r="G35" s="68"/>
      <c r="H35" s="133"/>
      <c r="I35" s="134"/>
      <c r="J35" s="135"/>
      <c r="K35" s="135"/>
      <c r="L35" s="133"/>
      <c r="M35" s="68"/>
      <c r="N35" s="68"/>
      <c r="O35" s="68"/>
      <c r="P35" s="68"/>
      <c r="Q35" s="133"/>
      <c r="R35" s="68"/>
      <c r="S35" s="91"/>
      <c r="T35" s="93"/>
      <c r="U35" s="93"/>
      <c r="V35" s="93"/>
      <c r="W35" s="93"/>
      <c r="X35" s="93"/>
      <c r="Y35" s="93"/>
      <c r="Z35" s="93"/>
      <c r="AA35" s="93"/>
      <c r="AB35" s="93"/>
      <c r="AC35" s="93"/>
      <c r="AD35" s="93"/>
    </row>
    <row r="36" spans="1:34" ht="15.75" customHeight="1" x14ac:dyDescent="0.25">
      <c r="A36" s="53">
        <v>3</v>
      </c>
      <c r="B36" s="498" t="s">
        <v>9</v>
      </c>
      <c r="C36" s="499"/>
      <c r="D36" s="499"/>
      <c r="E36" s="499"/>
      <c r="F36" s="499"/>
      <c r="G36" s="499"/>
      <c r="H36" s="499"/>
      <c r="I36" s="50">
        <f>SUM(I37:I42)</f>
        <v>153750</v>
      </c>
      <c r="J36" s="47"/>
      <c r="K36" s="47"/>
      <c r="L36" s="47"/>
      <c r="M36" s="47"/>
      <c r="N36" s="47"/>
      <c r="O36" s="47"/>
      <c r="P36" s="47"/>
      <c r="Q36" s="47"/>
      <c r="R36" s="48"/>
      <c r="S36" s="91"/>
      <c r="T36" s="91"/>
      <c r="U36" s="91"/>
      <c r="V36" s="93"/>
      <c r="W36" s="93"/>
      <c r="X36" s="93"/>
      <c r="Y36" s="93"/>
      <c r="Z36" s="93"/>
      <c r="AA36" s="93"/>
      <c r="AB36" s="93"/>
      <c r="AC36" s="93"/>
      <c r="AD36" s="93"/>
    </row>
    <row r="37" spans="1:34" ht="84.75" customHeight="1" x14ac:dyDescent="0.25">
      <c r="A37" s="54" t="s">
        <v>132</v>
      </c>
      <c r="B37" s="55" t="s">
        <v>126</v>
      </c>
      <c r="C37" s="131" t="s">
        <v>365</v>
      </c>
      <c r="D37" s="131" t="s">
        <v>272</v>
      </c>
      <c r="E37" s="49" t="s">
        <v>206</v>
      </c>
      <c r="F37" s="49" t="s">
        <v>34</v>
      </c>
      <c r="G37" s="55">
        <v>1</v>
      </c>
      <c r="H37" s="65"/>
      <c r="I37" s="65">
        <v>30000</v>
      </c>
      <c r="J37" s="58">
        <v>1</v>
      </c>
      <c r="K37" s="58">
        <v>0</v>
      </c>
      <c r="L37" s="55">
        <v>2</v>
      </c>
      <c r="M37" s="55" t="s">
        <v>2</v>
      </c>
      <c r="N37" s="60">
        <v>43617</v>
      </c>
      <c r="O37" s="60">
        <v>43770</v>
      </c>
      <c r="P37" s="55"/>
      <c r="Q37" s="64"/>
      <c r="R37" s="55" t="s">
        <v>1</v>
      </c>
      <c r="S37" s="91"/>
      <c r="T37" s="93"/>
      <c r="U37" s="93"/>
      <c r="V37" s="93"/>
      <c r="W37" s="93"/>
      <c r="X37" s="93"/>
      <c r="Y37" s="93"/>
      <c r="Z37" s="93"/>
      <c r="AA37" s="93"/>
      <c r="AB37" s="93"/>
      <c r="AC37" s="93"/>
      <c r="AD37" s="93"/>
    </row>
    <row r="38" spans="1:34" ht="31.5" x14ac:dyDescent="0.25">
      <c r="A38" s="54" t="s">
        <v>141</v>
      </c>
      <c r="B38" s="55" t="s">
        <v>126</v>
      </c>
      <c r="C38" s="131" t="s">
        <v>287</v>
      </c>
      <c r="D38" s="131" t="s">
        <v>286</v>
      </c>
      <c r="E38" s="49" t="s">
        <v>284</v>
      </c>
      <c r="F38" s="49" t="s">
        <v>34</v>
      </c>
      <c r="G38" s="55">
        <v>1</v>
      </c>
      <c r="H38" s="65"/>
      <c r="I38" s="98">
        <v>62500</v>
      </c>
      <c r="J38" s="58">
        <v>1</v>
      </c>
      <c r="K38" s="58">
        <v>0</v>
      </c>
      <c r="L38" s="55">
        <v>2</v>
      </c>
      <c r="M38" s="55" t="s">
        <v>2</v>
      </c>
      <c r="N38" s="60">
        <v>43556</v>
      </c>
      <c r="O38" s="60">
        <v>43678</v>
      </c>
      <c r="P38" s="55"/>
      <c r="Q38" s="64"/>
      <c r="R38" s="55" t="s">
        <v>1</v>
      </c>
      <c r="S38" s="91"/>
      <c r="T38" s="93"/>
      <c r="U38" s="93"/>
      <c r="V38" s="93"/>
      <c r="W38" s="93"/>
      <c r="X38" s="93"/>
      <c r="Y38" s="93"/>
      <c r="Z38" s="93"/>
      <c r="AA38" s="93"/>
      <c r="AB38" s="93"/>
      <c r="AC38" s="93"/>
      <c r="AD38" s="93"/>
    </row>
    <row r="39" spans="1:34" s="6" customFormat="1" ht="31.5" x14ac:dyDescent="0.25">
      <c r="A39" s="54" t="s">
        <v>268</v>
      </c>
      <c r="B39" s="55" t="s">
        <v>126</v>
      </c>
      <c r="C39" s="67" t="s">
        <v>367</v>
      </c>
      <c r="D39" s="67" t="s">
        <v>368</v>
      </c>
      <c r="E39" s="49" t="s">
        <v>293</v>
      </c>
      <c r="F39" s="49" t="s">
        <v>34</v>
      </c>
      <c r="G39" s="55">
        <v>1</v>
      </c>
      <c r="H39" s="65"/>
      <c r="I39" s="65">
        <v>0</v>
      </c>
      <c r="J39" s="58">
        <v>0</v>
      </c>
      <c r="K39" s="58">
        <v>0</v>
      </c>
      <c r="L39" s="55">
        <v>2</v>
      </c>
      <c r="M39" s="55" t="s">
        <v>2</v>
      </c>
      <c r="N39" s="60">
        <v>43497</v>
      </c>
      <c r="O39" s="60">
        <v>43647</v>
      </c>
      <c r="P39" s="55"/>
      <c r="Q39" s="64"/>
      <c r="R39" s="55" t="s">
        <v>1</v>
      </c>
      <c r="S39" s="192"/>
    </row>
    <row r="40" spans="1:34" ht="63" x14ac:dyDescent="0.25">
      <c r="A40" s="54" t="s">
        <v>269</v>
      </c>
      <c r="B40" s="55" t="s">
        <v>126</v>
      </c>
      <c r="C40" s="131" t="s">
        <v>370</v>
      </c>
      <c r="D40" s="131" t="s">
        <v>369</v>
      </c>
      <c r="E40" s="49" t="s">
        <v>295</v>
      </c>
      <c r="F40" s="49" t="s">
        <v>37</v>
      </c>
      <c r="G40" s="55">
        <v>1</v>
      </c>
      <c r="H40" s="65"/>
      <c r="I40" s="65">
        <v>21250</v>
      </c>
      <c r="J40" s="58">
        <v>1</v>
      </c>
      <c r="K40" s="58">
        <v>0</v>
      </c>
      <c r="L40" s="55">
        <v>2</v>
      </c>
      <c r="M40" s="55" t="s">
        <v>2</v>
      </c>
      <c r="N40" s="60">
        <v>43678</v>
      </c>
      <c r="O40" s="60">
        <v>43770</v>
      </c>
      <c r="P40" s="55"/>
      <c r="Q40" s="64"/>
      <c r="R40" s="55" t="s">
        <v>1</v>
      </c>
      <c r="S40" s="91"/>
      <c r="T40" s="93"/>
      <c r="U40" s="93"/>
      <c r="V40" s="93"/>
      <c r="W40" s="93"/>
      <c r="X40" s="93"/>
      <c r="Y40" s="93"/>
      <c r="Z40" s="93"/>
      <c r="AA40" s="93"/>
      <c r="AB40" s="93"/>
      <c r="AC40" s="93"/>
      <c r="AD40" s="93"/>
    </row>
    <row r="41" spans="1:34" s="6" customFormat="1" ht="31.5" x14ac:dyDescent="0.25">
      <c r="A41" s="54" t="s">
        <v>270</v>
      </c>
      <c r="B41" s="55" t="s">
        <v>126</v>
      </c>
      <c r="C41" s="131" t="s">
        <v>372</v>
      </c>
      <c r="D41" s="131" t="s">
        <v>314</v>
      </c>
      <c r="E41" s="49" t="s">
        <v>309</v>
      </c>
      <c r="F41" s="49" t="s">
        <v>34</v>
      </c>
      <c r="G41" s="55">
        <v>1</v>
      </c>
      <c r="H41" s="65"/>
      <c r="I41" s="65">
        <v>40000</v>
      </c>
      <c r="J41" s="58">
        <v>1</v>
      </c>
      <c r="K41" s="58">
        <v>0</v>
      </c>
      <c r="L41" s="55">
        <v>2</v>
      </c>
      <c r="M41" s="55" t="s">
        <v>2</v>
      </c>
      <c r="N41" s="60">
        <v>43252</v>
      </c>
      <c r="O41" s="60">
        <v>43405</v>
      </c>
      <c r="P41" s="55"/>
      <c r="Q41" s="64"/>
      <c r="R41" s="55" t="s">
        <v>1</v>
      </c>
      <c r="S41" s="91"/>
      <c r="T41" s="93"/>
      <c r="U41" s="93"/>
      <c r="V41" s="93"/>
      <c r="W41" s="93"/>
      <c r="X41" s="93"/>
      <c r="Y41" s="93"/>
      <c r="Z41" s="93"/>
      <c r="AA41" s="93"/>
      <c r="AB41" s="93"/>
      <c r="AC41" s="93"/>
      <c r="AD41" s="93"/>
      <c r="AE41" s="93"/>
      <c r="AF41" s="93"/>
      <c r="AG41" s="93"/>
      <c r="AH41" s="93"/>
    </row>
    <row r="42" spans="1:34" s="6" customFormat="1" ht="66.75" customHeight="1" x14ac:dyDescent="0.25">
      <c r="A42" s="54" t="s">
        <v>271</v>
      </c>
      <c r="B42" s="55" t="s">
        <v>126</v>
      </c>
      <c r="C42" s="67" t="s">
        <v>371</v>
      </c>
      <c r="D42" s="67" t="s">
        <v>323</v>
      </c>
      <c r="E42" s="49" t="s">
        <v>320</v>
      </c>
      <c r="F42" s="49" t="s">
        <v>31</v>
      </c>
      <c r="G42" s="55">
        <v>1</v>
      </c>
      <c r="H42" s="65"/>
      <c r="I42" s="65">
        <v>0</v>
      </c>
      <c r="J42" s="58">
        <v>0</v>
      </c>
      <c r="K42" s="58">
        <v>0</v>
      </c>
      <c r="L42" s="55">
        <v>2</v>
      </c>
      <c r="M42" s="55" t="s">
        <v>3</v>
      </c>
      <c r="N42" s="60">
        <v>43497</v>
      </c>
      <c r="O42" s="60">
        <v>43617</v>
      </c>
      <c r="P42" s="55"/>
      <c r="Q42" s="64"/>
      <c r="R42" s="55" t="s">
        <v>1</v>
      </c>
      <c r="S42" s="91"/>
      <c r="T42" s="93"/>
      <c r="U42" s="93"/>
      <c r="V42" s="93"/>
      <c r="W42" s="93"/>
      <c r="X42" s="93"/>
      <c r="Y42" s="93"/>
      <c r="Z42" s="93"/>
      <c r="AA42" s="93"/>
      <c r="AB42" s="93"/>
      <c r="AC42" s="93"/>
      <c r="AD42" s="93"/>
      <c r="AE42" s="93"/>
      <c r="AF42" s="93"/>
      <c r="AG42" s="93"/>
      <c r="AH42" s="93"/>
    </row>
    <row r="43" spans="1:34" s="84" customFormat="1" x14ac:dyDescent="0.25">
      <c r="A43" s="68"/>
      <c r="B43" s="68"/>
      <c r="C43" s="132"/>
      <c r="D43" s="132"/>
      <c r="E43" s="132"/>
      <c r="F43" s="132"/>
      <c r="G43" s="68"/>
      <c r="H43" s="133"/>
      <c r="I43" s="134"/>
      <c r="J43" s="135"/>
      <c r="K43" s="135"/>
      <c r="L43" s="133"/>
      <c r="M43" s="68"/>
      <c r="N43" s="68"/>
      <c r="O43" s="68"/>
      <c r="P43" s="68"/>
      <c r="Q43" s="133"/>
      <c r="R43" s="68"/>
      <c r="S43" s="91"/>
      <c r="T43" s="93"/>
      <c r="U43" s="93"/>
      <c r="V43" s="93"/>
      <c r="W43" s="93"/>
      <c r="X43" s="93"/>
      <c r="Y43" s="93"/>
      <c r="Z43" s="93"/>
      <c r="AA43" s="93"/>
      <c r="AB43" s="93"/>
      <c r="AC43" s="93"/>
      <c r="AD43" s="93"/>
    </row>
    <row r="44" spans="1:34" ht="15.75" customHeight="1" x14ac:dyDescent="0.25">
      <c r="A44" s="53">
        <v>4</v>
      </c>
      <c r="B44" s="498" t="s">
        <v>10</v>
      </c>
      <c r="C44" s="499"/>
      <c r="D44" s="499"/>
      <c r="E44" s="499"/>
      <c r="F44" s="499"/>
      <c r="G44" s="499"/>
      <c r="H44" s="499"/>
      <c r="I44" s="50">
        <f>SUM(I45:I94)</f>
        <v>8322640.875</v>
      </c>
      <c r="J44" s="47"/>
      <c r="K44" s="47"/>
      <c r="L44" s="47"/>
      <c r="M44" s="47"/>
      <c r="N44" s="47"/>
      <c r="O44" s="47"/>
      <c r="P44" s="47"/>
      <c r="Q44" s="47"/>
      <c r="R44" s="48"/>
      <c r="S44" s="91"/>
      <c r="T44" s="91"/>
      <c r="U44" s="91"/>
      <c r="V44" s="93"/>
      <c r="W44" s="93"/>
      <c r="X44" s="93"/>
      <c r="Y44" s="93"/>
      <c r="Z44" s="93"/>
      <c r="AA44" s="93"/>
      <c r="AB44" s="93"/>
      <c r="AC44" s="93"/>
      <c r="AD44" s="93"/>
    </row>
    <row r="45" spans="1:34" s="93" customFormat="1" ht="47.25" x14ac:dyDescent="0.25">
      <c r="A45" s="54" t="s">
        <v>133</v>
      </c>
      <c r="B45" s="55" t="s">
        <v>126</v>
      </c>
      <c r="C45" s="103" t="s">
        <v>374</v>
      </c>
      <c r="D45" s="103" t="s">
        <v>160</v>
      </c>
      <c r="E45" s="103" t="s">
        <v>208</v>
      </c>
      <c r="F45" s="66" t="s">
        <v>76</v>
      </c>
      <c r="G45" s="59">
        <v>1</v>
      </c>
      <c r="H45" s="99"/>
      <c r="I45" s="104">
        <f>'[6]PEP US$'!$N$37+'[6]PEP US$'!$Q$37</f>
        <v>371250</v>
      </c>
      <c r="J45" s="101">
        <v>1</v>
      </c>
      <c r="K45" s="101">
        <v>0</v>
      </c>
      <c r="L45" s="59">
        <v>1</v>
      </c>
      <c r="M45" s="59" t="s">
        <v>2</v>
      </c>
      <c r="N45" s="102">
        <v>43101</v>
      </c>
      <c r="O45" s="102">
        <v>43252</v>
      </c>
      <c r="P45" s="59"/>
      <c r="Q45" s="99"/>
      <c r="R45" s="59" t="s">
        <v>1</v>
      </c>
      <c r="S45" s="91"/>
    </row>
    <row r="46" spans="1:34" s="93" customFormat="1" ht="47.25" x14ac:dyDescent="0.25">
      <c r="A46" s="54" t="s">
        <v>125</v>
      </c>
      <c r="B46" s="55" t="s">
        <v>126</v>
      </c>
      <c r="C46" s="103" t="s">
        <v>375</v>
      </c>
      <c r="D46" s="103" t="s">
        <v>159</v>
      </c>
      <c r="E46" s="103" t="s">
        <v>207</v>
      </c>
      <c r="F46" s="66" t="s">
        <v>76</v>
      </c>
      <c r="G46" s="59">
        <v>1</v>
      </c>
      <c r="H46" s="99"/>
      <c r="I46" s="57">
        <v>0</v>
      </c>
      <c r="J46" s="58">
        <v>0</v>
      </c>
      <c r="K46" s="58">
        <v>0</v>
      </c>
      <c r="L46" s="59">
        <v>1</v>
      </c>
      <c r="M46" s="59" t="s">
        <v>3</v>
      </c>
      <c r="N46" s="62" t="s">
        <v>327</v>
      </c>
      <c r="O46" s="62" t="s">
        <v>414</v>
      </c>
      <c r="P46" s="59"/>
      <c r="Q46" s="99"/>
      <c r="R46" s="59" t="s">
        <v>1</v>
      </c>
      <c r="S46" s="91"/>
    </row>
    <row r="47" spans="1:34" s="6" customFormat="1" ht="48" customHeight="1" x14ac:dyDescent="0.25">
      <c r="A47" s="54" t="s">
        <v>128</v>
      </c>
      <c r="B47" s="55" t="s">
        <v>126</v>
      </c>
      <c r="C47" s="56" t="s">
        <v>373</v>
      </c>
      <c r="D47" s="56" t="s">
        <v>158</v>
      </c>
      <c r="E47" s="56" t="s">
        <v>209</v>
      </c>
      <c r="F47" s="49" t="s">
        <v>41</v>
      </c>
      <c r="G47" s="55">
        <v>1</v>
      </c>
      <c r="H47" s="64"/>
      <c r="I47" s="57">
        <f>'[6]PEP US$'!$N$7+'[6]PEP US$'!$Q$7</f>
        <v>601562.5</v>
      </c>
      <c r="J47" s="58">
        <v>1</v>
      </c>
      <c r="K47" s="58">
        <v>0</v>
      </c>
      <c r="L47" s="55">
        <v>1</v>
      </c>
      <c r="M47" s="55" t="s">
        <v>3</v>
      </c>
      <c r="N47" s="61" t="s">
        <v>231</v>
      </c>
      <c r="O47" s="61" t="s">
        <v>236</v>
      </c>
      <c r="P47" s="55"/>
      <c r="Q47" s="64"/>
      <c r="R47" s="55" t="s">
        <v>1</v>
      </c>
      <c r="S47" s="91"/>
      <c r="T47" s="93"/>
      <c r="U47" s="93"/>
      <c r="V47" s="93"/>
      <c r="W47" s="93"/>
      <c r="X47" s="93"/>
      <c r="Y47" s="93"/>
      <c r="Z47" s="93"/>
      <c r="AA47" s="93"/>
      <c r="AB47" s="93"/>
      <c r="AC47" s="93"/>
      <c r="AD47" s="93"/>
      <c r="AE47" s="93"/>
      <c r="AF47" s="93"/>
      <c r="AG47" s="93"/>
      <c r="AH47" s="93"/>
    </row>
    <row r="48" spans="1:34" s="6" customFormat="1" ht="48.75" customHeight="1" x14ac:dyDescent="0.25">
      <c r="A48" s="54" t="s">
        <v>134</v>
      </c>
      <c r="B48" s="55" t="s">
        <v>126</v>
      </c>
      <c r="C48" s="56" t="s">
        <v>378</v>
      </c>
      <c r="D48" s="56" t="s">
        <v>161</v>
      </c>
      <c r="E48" s="56" t="s">
        <v>210</v>
      </c>
      <c r="F48" s="49" t="s">
        <v>76</v>
      </c>
      <c r="G48" s="55">
        <v>1</v>
      </c>
      <c r="H48" s="64"/>
      <c r="I48" s="57">
        <f>'[6]PEP US$'!$N$8+'[6]PEP US$'!$Q$8</f>
        <v>257812.5</v>
      </c>
      <c r="J48" s="58">
        <v>1</v>
      </c>
      <c r="K48" s="58">
        <v>0</v>
      </c>
      <c r="L48" s="55">
        <v>1</v>
      </c>
      <c r="M48" s="55" t="s">
        <v>2</v>
      </c>
      <c r="N48" s="61" t="s">
        <v>232</v>
      </c>
      <c r="O48" s="61" t="s">
        <v>237</v>
      </c>
      <c r="P48" s="55"/>
      <c r="Q48" s="64"/>
      <c r="R48" s="55" t="s">
        <v>1</v>
      </c>
      <c r="S48" s="91"/>
      <c r="T48" s="93"/>
      <c r="U48" s="93"/>
      <c r="V48" s="93"/>
      <c r="W48" s="93"/>
      <c r="X48" s="93"/>
      <c r="Y48" s="93"/>
      <c r="Z48" s="93"/>
      <c r="AA48" s="93"/>
      <c r="AB48" s="93"/>
      <c r="AC48" s="93"/>
      <c r="AD48" s="93"/>
      <c r="AE48" s="93"/>
      <c r="AF48" s="93"/>
      <c r="AG48" s="93"/>
      <c r="AH48" s="93"/>
    </row>
    <row r="49" spans="1:34" s="6" customFormat="1" ht="38.25" customHeight="1" x14ac:dyDescent="0.25">
      <c r="A49" s="54" t="s">
        <v>127</v>
      </c>
      <c r="B49" s="55" t="s">
        <v>126</v>
      </c>
      <c r="C49" s="56" t="s">
        <v>381</v>
      </c>
      <c r="D49" s="56" t="s">
        <v>162</v>
      </c>
      <c r="E49" s="56" t="s">
        <v>211</v>
      </c>
      <c r="F49" s="49" t="s">
        <v>76</v>
      </c>
      <c r="G49" s="55">
        <v>1</v>
      </c>
      <c r="H49" s="64"/>
      <c r="I49" s="57">
        <f>'[6]PEP US$'!$N$9+'[6]PEP US$'!$Q$9</f>
        <v>0</v>
      </c>
      <c r="J49" s="58">
        <v>0</v>
      </c>
      <c r="K49" s="58">
        <v>0</v>
      </c>
      <c r="L49" s="55">
        <v>1</v>
      </c>
      <c r="M49" s="55" t="s">
        <v>2</v>
      </c>
      <c r="N49" s="61" t="s">
        <v>232</v>
      </c>
      <c r="O49" s="61" t="s">
        <v>237</v>
      </c>
      <c r="P49" s="55"/>
      <c r="Q49" s="64"/>
      <c r="R49" s="55" t="s">
        <v>1</v>
      </c>
      <c r="S49" s="91"/>
      <c r="T49" s="93"/>
      <c r="U49" s="93"/>
      <c r="V49" s="93"/>
      <c r="W49" s="93"/>
      <c r="X49" s="93"/>
      <c r="Y49" s="93"/>
      <c r="Z49" s="93"/>
      <c r="AA49" s="93"/>
      <c r="AB49" s="93"/>
      <c r="AC49" s="93"/>
      <c r="AD49" s="93"/>
      <c r="AE49" s="93"/>
      <c r="AF49" s="93"/>
      <c r="AG49" s="93"/>
      <c r="AH49" s="93"/>
    </row>
    <row r="50" spans="1:34" s="6" customFormat="1" ht="47.25" x14ac:dyDescent="0.25">
      <c r="A50" s="54" t="s">
        <v>131</v>
      </c>
      <c r="B50" s="55" t="s">
        <v>126</v>
      </c>
      <c r="C50" s="56" t="s">
        <v>380</v>
      </c>
      <c r="D50" s="56" t="s">
        <v>163</v>
      </c>
      <c r="E50" s="56" t="s">
        <v>212</v>
      </c>
      <c r="F50" s="49" t="s">
        <v>76</v>
      </c>
      <c r="G50" s="55">
        <v>1</v>
      </c>
      <c r="H50" s="64"/>
      <c r="I50" s="57">
        <f>'[6]PEP US$'!$N$10+'[6]PEP US$'!$Q$10</f>
        <v>343750</v>
      </c>
      <c r="J50" s="58">
        <v>1</v>
      </c>
      <c r="K50" s="58">
        <v>0</v>
      </c>
      <c r="L50" s="55">
        <v>1</v>
      </c>
      <c r="M50" s="55" t="s">
        <v>2</v>
      </c>
      <c r="N50" s="61" t="s">
        <v>233</v>
      </c>
      <c r="O50" s="61" t="s">
        <v>238</v>
      </c>
      <c r="P50" s="55"/>
      <c r="Q50" s="64"/>
      <c r="R50" s="55" t="s">
        <v>1</v>
      </c>
      <c r="S50" s="91"/>
      <c r="T50" s="93"/>
      <c r="U50" s="93"/>
      <c r="V50" s="93"/>
      <c r="W50" s="93"/>
      <c r="X50" s="93"/>
      <c r="Y50" s="93"/>
      <c r="Z50" s="93"/>
      <c r="AA50" s="93"/>
      <c r="AB50" s="93"/>
      <c r="AC50" s="93"/>
      <c r="AD50" s="93"/>
      <c r="AE50" s="93"/>
      <c r="AF50" s="93"/>
      <c r="AG50" s="93"/>
      <c r="AH50" s="93"/>
    </row>
    <row r="51" spans="1:34" s="6" customFormat="1" ht="47.25" x14ac:dyDescent="0.25">
      <c r="A51" s="54" t="s">
        <v>129</v>
      </c>
      <c r="B51" s="55" t="s">
        <v>126</v>
      </c>
      <c r="C51" s="56" t="s">
        <v>379</v>
      </c>
      <c r="D51" s="56" t="s">
        <v>164</v>
      </c>
      <c r="E51" s="56" t="s">
        <v>213</v>
      </c>
      <c r="F51" s="49" t="s">
        <v>76</v>
      </c>
      <c r="G51" s="55">
        <v>1</v>
      </c>
      <c r="H51" s="64"/>
      <c r="I51" s="57">
        <f>'[6]PEP US$'!$N$11+'[6]PEP US$'!$Q$11</f>
        <v>173671.875</v>
      </c>
      <c r="J51" s="58">
        <v>1</v>
      </c>
      <c r="K51" s="58">
        <v>0</v>
      </c>
      <c r="L51" s="55">
        <v>1</v>
      </c>
      <c r="M51" s="55" t="s">
        <v>2</v>
      </c>
      <c r="N51" s="62" t="s">
        <v>234</v>
      </c>
      <c r="O51" s="62" t="s">
        <v>237</v>
      </c>
      <c r="P51" s="55"/>
      <c r="Q51" s="64"/>
      <c r="R51" s="55" t="s">
        <v>1</v>
      </c>
      <c r="S51" s="91"/>
      <c r="T51" s="93"/>
      <c r="U51" s="93"/>
      <c r="V51" s="93"/>
      <c r="W51" s="93"/>
      <c r="X51" s="93"/>
      <c r="Y51" s="93"/>
      <c r="Z51" s="93"/>
      <c r="AA51" s="93"/>
      <c r="AB51" s="93"/>
      <c r="AC51" s="93"/>
      <c r="AD51" s="93"/>
      <c r="AE51" s="93"/>
      <c r="AF51" s="93"/>
      <c r="AG51" s="93"/>
      <c r="AH51" s="93"/>
    </row>
    <row r="52" spans="1:34" s="6" customFormat="1" ht="31.5" x14ac:dyDescent="0.25">
      <c r="A52" s="54" t="s">
        <v>142</v>
      </c>
      <c r="B52" s="55" t="s">
        <v>126</v>
      </c>
      <c r="C52" s="56" t="s">
        <v>379</v>
      </c>
      <c r="D52" s="56" t="s">
        <v>180</v>
      </c>
      <c r="E52" s="56" t="s">
        <v>214</v>
      </c>
      <c r="F52" s="49" t="s">
        <v>76</v>
      </c>
      <c r="G52" s="55">
        <v>1</v>
      </c>
      <c r="H52" s="64"/>
      <c r="I52" s="57">
        <f>'[6]PEP US$'!$N$12+'[6]PEP US$'!$Q$12</f>
        <v>140625</v>
      </c>
      <c r="J52" s="58">
        <v>1</v>
      </c>
      <c r="K52" s="58">
        <v>0</v>
      </c>
      <c r="L52" s="55">
        <v>1</v>
      </c>
      <c r="M52" s="55" t="s">
        <v>2</v>
      </c>
      <c r="N52" s="62" t="s">
        <v>235</v>
      </c>
      <c r="O52" s="62" t="s">
        <v>239</v>
      </c>
      <c r="P52" s="55"/>
      <c r="Q52" s="64"/>
      <c r="R52" s="55" t="s">
        <v>1</v>
      </c>
      <c r="S52" s="91"/>
      <c r="T52" s="93"/>
      <c r="U52" s="93"/>
      <c r="V52" s="93"/>
      <c r="W52" s="93"/>
      <c r="X52" s="93"/>
      <c r="Y52" s="93"/>
      <c r="Z52" s="93"/>
      <c r="AA52" s="93"/>
      <c r="AB52" s="93"/>
      <c r="AC52" s="93"/>
      <c r="AD52" s="93"/>
      <c r="AE52" s="93"/>
      <c r="AF52" s="93"/>
      <c r="AG52" s="93"/>
      <c r="AH52" s="93"/>
    </row>
    <row r="53" spans="1:34" s="94" customFormat="1" ht="109.5" customHeight="1" x14ac:dyDescent="0.25">
      <c r="A53" s="54" t="s">
        <v>148</v>
      </c>
      <c r="B53" s="55" t="s">
        <v>126</v>
      </c>
      <c r="C53" s="70" t="s">
        <v>216</v>
      </c>
      <c r="D53" s="70" t="s">
        <v>183</v>
      </c>
      <c r="E53" s="63" t="s">
        <v>206</v>
      </c>
      <c r="F53" s="66" t="s">
        <v>41</v>
      </c>
      <c r="G53" s="59">
        <v>1</v>
      </c>
      <c r="H53" s="99"/>
      <c r="I53" s="105">
        <v>20000</v>
      </c>
      <c r="J53" s="101">
        <v>1</v>
      </c>
      <c r="K53" s="101">
        <v>0</v>
      </c>
      <c r="L53" s="59">
        <v>2</v>
      </c>
      <c r="M53" s="59" t="s">
        <v>2</v>
      </c>
      <c r="N53" s="62" t="s">
        <v>235</v>
      </c>
      <c r="O53" s="62" t="s">
        <v>240</v>
      </c>
      <c r="P53" s="59"/>
      <c r="Q53" s="99"/>
      <c r="R53" s="59" t="s">
        <v>1</v>
      </c>
      <c r="S53" s="91"/>
      <c r="T53" s="93"/>
      <c r="U53" s="93"/>
      <c r="V53" s="93"/>
      <c r="W53" s="93"/>
      <c r="X53" s="93"/>
      <c r="Y53" s="93"/>
      <c r="Z53" s="93"/>
      <c r="AA53" s="93"/>
      <c r="AB53" s="93"/>
      <c r="AC53" s="93"/>
      <c r="AD53" s="93"/>
    </row>
    <row r="54" spans="1:34" s="95" customFormat="1" ht="47.25" x14ac:dyDescent="0.25">
      <c r="A54" s="54" t="s">
        <v>165</v>
      </c>
      <c r="B54" s="55" t="s">
        <v>126</v>
      </c>
      <c r="C54" s="63" t="s">
        <v>217</v>
      </c>
      <c r="D54" s="63" t="s">
        <v>184</v>
      </c>
      <c r="E54" s="63" t="s">
        <v>206</v>
      </c>
      <c r="F54" s="49" t="s">
        <v>77</v>
      </c>
      <c r="G54" s="55">
        <v>1</v>
      </c>
      <c r="H54" s="64"/>
      <c r="I54" s="69">
        <v>15625</v>
      </c>
      <c r="J54" s="58">
        <v>1</v>
      </c>
      <c r="K54" s="58">
        <v>0</v>
      </c>
      <c r="L54" s="55">
        <v>2</v>
      </c>
      <c r="M54" s="55" t="s">
        <v>2</v>
      </c>
      <c r="N54" s="62" t="s">
        <v>232</v>
      </c>
      <c r="O54" s="62" t="s">
        <v>237</v>
      </c>
      <c r="P54" s="55"/>
      <c r="Q54" s="64"/>
      <c r="R54" s="55" t="s">
        <v>1</v>
      </c>
      <c r="S54" s="91"/>
      <c r="T54" s="93"/>
      <c r="U54" s="93"/>
      <c r="V54" s="93"/>
      <c r="W54" s="93"/>
      <c r="X54" s="93"/>
      <c r="Y54" s="93"/>
      <c r="Z54" s="93"/>
      <c r="AA54" s="93"/>
      <c r="AB54" s="93"/>
      <c r="AC54" s="93"/>
      <c r="AD54" s="93"/>
      <c r="AE54" s="94"/>
      <c r="AF54" s="94"/>
      <c r="AG54" s="94"/>
      <c r="AH54" s="94"/>
    </row>
    <row r="55" spans="1:34" s="95" customFormat="1" ht="47.25" x14ac:dyDescent="0.25">
      <c r="A55" s="54" t="s">
        <v>166</v>
      </c>
      <c r="B55" s="55" t="s">
        <v>126</v>
      </c>
      <c r="C55" s="63" t="s">
        <v>218</v>
      </c>
      <c r="D55" s="63" t="s">
        <v>185</v>
      </c>
      <c r="E55" s="63" t="s">
        <v>206</v>
      </c>
      <c r="F55" s="49" t="s">
        <v>77</v>
      </c>
      <c r="G55" s="55">
        <v>1</v>
      </c>
      <c r="H55" s="64"/>
      <c r="I55" s="69">
        <v>15625</v>
      </c>
      <c r="J55" s="58">
        <v>1</v>
      </c>
      <c r="K55" s="58">
        <v>0</v>
      </c>
      <c r="L55" s="55">
        <v>2</v>
      </c>
      <c r="M55" s="55" t="s">
        <v>2</v>
      </c>
      <c r="N55" s="62" t="s">
        <v>232</v>
      </c>
      <c r="O55" s="62" t="s">
        <v>237</v>
      </c>
      <c r="P55" s="55"/>
      <c r="Q55" s="64"/>
      <c r="R55" s="55" t="s">
        <v>1</v>
      </c>
      <c r="S55" s="91"/>
      <c r="T55" s="93"/>
      <c r="U55" s="93"/>
      <c r="V55" s="93"/>
      <c r="W55" s="93"/>
      <c r="X55" s="93"/>
      <c r="Y55" s="93"/>
      <c r="Z55" s="93"/>
      <c r="AA55" s="93"/>
      <c r="AB55" s="93"/>
      <c r="AC55" s="93"/>
      <c r="AD55" s="93"/>
      <c r="AE55" s="94"/>
      <c r="AF55" s="94"/>
      <c r="AG55" s="94"/>
      <c r="AH55" s="94"/>
    </row>
    <row r="56" spans="1:34" s="95" customFormat="1" ht="64.5" customHeight="1" x14ac:dyDescent="0.25">
      <c r="A56" s="54" t="s">
        <v>167</v>
      </c>
      <c r="B56" s="55" t="s">
        <v>126</v>
      </c>
      <c r="C56" s="63" t="s">
        <v>219</v>
      </c>
      <c r="D56" s="63" t="s">
        <v>186</v>
      </c>
      <c r="E56" s="63" t="s">
        <v>206</v>
      </c>
      <c r="F56" s="49" t="s">
        <v>77</v>
      </c>
      <c r="G56" s="55">
        <v>1</v>
      </c>
      <c r="H56" s="64"/>
      <c r="I56" s="69">
        <v>17000</v>
      </c>
      <c r="J56" s="58">
        <v>1</v>
      </c>
      <c r="K56" s="58">
        <v>0</v>
      </c>
      <c r="L56" s="55">
        <v>2</v>
      </c>
      <c r="M56" s="55" t="s">
        <v>2</v>
      </c>
      <c r="N56" s="62" t="s">
        <v>231</v>
      </c>
      <c r="O56" s="62" t="s">
        <v>232</v>
      </c>
      <c r="P56" s="55"/>
      <c r="Q56" s="64"/>
      <c r="R56" s="55" t="s">
        <v>1</v>
      </c>
      <c r="S56" s="91"/>
      <c r="T56" s="93"/>
      <c r="U56" s="93"/>
      <c r="V56" s="93"/>
      <c r="W56" s="93"/>
      <c r="X56" s="93"/>
      <c r="Y56" s="93"/>
      <c r="Z56" s="93"/>
      <c r="AA56" s="93"/>
      <c r="AB56" s="93"/>
      <c r="AC56" s="93"/>
      <c r="AD56" s="93"/>
      <c r="AE56" s="94"/>
      <c r="AF56" s="94"/>
      <c r="AG56" s="94"/>
      <c r="AH56" s="94"/>
    </row>
    <row r="57" spans="1:34" s="95" customFormat="1" ht="47.25" x14ac:dyDescent="0.25">
      <c r="A57" s="54" t="s">
        <v>168</v>
      </c>
      <c r="B57" s="55" t="s">
        <v>126</v>
      </c>
      <c r="C57" s="63" t="s">
        <v>220</v>
      </c>
      <c r="D57" s="63" t="s">
        <v>221</v>
      </c>
      <c r="E57" s="63" t="s">
        <v>206</v>
      </c>
      <c r="F57" s="49" t="s">
        <v>77</v>
      </c>
      <c r="G57" s="55">
        <v>1</v>
      </c>
      <c r="H57" s="64"/>
      <c r="I57" s="69">
        <v>17000</v>
      </c>
      <c r="J57" s="58">
        <v>1</v>
      </c>
      <c r="K57" s="58">
        <v>0</v>
      </c>
      <c r="L57" s="55">
        <v>2</v>
      </c>
      <c r="M57" s="55" t="s">
        <v>2</v>
      </c>
      <c r="N57" s="62" t="s">
        <v>232</v>
      </c>
      <c r="O57" s="62" t="s">
        <v>237</v>
      </c>
      <c r="P57" s="55"/>
      <c r="Q57" s="64"/>
      <c r="R57" s="55" t="s">
        <v>1</v>
      </c>
      <c r="S57" s="91"/>
      <c r="T57" s="93"/>
      <c r="U57" s="93"/>
      <c r="V57" s="93"/>
      <c r="W57" s="93"/>
      <c r="X57" s="93"/>
      <c r="Y57" s="93"/>
      <c r="Z57" s="93"/>
      <c r="AA57" s="93"/>
      <c r="AB57" s="93"/>
      <c r="AC57" s="93"/>
      <c r="AD57" s="93"/>
      <c r="AE57" s="94"/>
      <c r="AF57" s="94"/>
      <c r="AG57" s="94"/>
      <c r="AH57" s="94"/>
    </row>
    <row r="58" spans="1:34" s="95" customFormat="1" ht="81" customHeight="1" x14ac:dyDescent="0.25">
      <c r="A58" s="54" t="s">
        <v>169</v>
      </c>
      <c r="B58" s="55" t="s">
        <v>126</v>
      </c>
      <c r="C58" s="63" t="s">
        <v>222</v>
      </c>
      <c r="D58" s="63" t="s">
        <v>187</v>
      </c>
      <c r="E58" s="63" t="s">
        <v>206</v>
      </c>
      <c r="F58" s="49" t="s">
        <v>77</v>
      </c>
      <c r="G58" s="55">
        <v>1</v>
      </c>
      <c r="H58" s="64"/>
      <c r="I58" s="69">
        <v>17000</v>
      </c>
      <c r="J58" s="58">
        <v>1</v>
      </c>
      <c r="K58" s="58">
        <v>0</v>
      </c>
      <c r="L58" s="55">
        <v>2</v>
      </c>
      <c r="M58" s="55" t="s">
        <v>2</v>
      </c>
      <c r="N58" s="62" t="s">
        <v>232</v>
      </c>
      <c r="O58" s="62" t="s">
        <v>237</v>
      </c>
      <c r="P58" s="55"/>
      <c r="Q58" s="64"/>
      <c r="R58" s="55" t="s">
        <v>1</v>
      </c>
      <c r="S58" s="91"/>
      <c r="T58" s="93"/>
      <c r="U58" s="93"/>
      <c r="V58" s="93"/>
      <c r="W58" s="93"/>
      <c r="X58" s="93"/>
      <c r="Y58" s="93"/>
      <c r="Z58" s="93"/>
      <c r="AA58" s="93"/>
      <c r="AB58" s="93"/>
      <c r="AC58" s="93"/>
      <c r="AD58" s="93"/>
      <c r="AE58" s="94"/>
      <c r="AF58" s="94"/>
      <c r="AG58" s="94"/>
      <c r="AH58" s="94"/>
    </row>
    <row r="59" spans="1:34" s="95" customFormat="1" ht="47.25" x14ac:dyDescent="0.25">
      <c r="A59" s="54" t="s">
        <v>170</v>
      </c>
      <c r="B59" s="55" t="s">
        <v>126</v>
      </c>
      <c r="C59" s="63" t="s">
        <v>403</v>
      </c>
      <c r="D59" s="63" t="s">
        <v>188</v>
      </c>
      <c r="E59" s="63" t="s">
        <v>206</v>
      </c>
      <c r="F59" s="49" t="s">
        <v>77</v>
      </c>
      <c r="G59" s="55">
        <v>1</v>
      </c>
      <c r="H59" s="64"/>
      <c r="I59" s="69">
        <v>17000</v>
      </c>
      <c r="J59" s="58">
        <v>1</v>
      </c>
      <c r="K59" s="58">
        <v>0</v>
      </c>
      <c r="L59" s="55">
        <v>2</v>
      </c>
      <c r="M59" s="55" t="s">
        <v>2</v>
      </c>
      <c r="N59" s="62" t="s">
        <v>232</v>
      </c>
      <c r="O59" s="62" t="s">
        <v>237</v>
      </c>
      <c r="P59" s="55"/>
      <c r="Q59" s="64"/>
      <c r="R59" s="55" t="s">
        <v>1</v>
      </c>
      <c r="S59" s="91"/>
      <c r="T59" s="93"/>
      <c r="U59" s="93"/>
      <c r="V59" s="93"/>
      <c r="W59" s="93"/>
      <c r="X59" s="93"/>
      <c r="Y59" s="93"/>
      <c r="Z59" s="93"/>
      <c r="AA59" s="93"/>
      <c r="AB59" s="93"/>
      <c r="AC59" s="93"/>
      <c r="AD59" s="93"/>
      <c r="AE59" s="94"/>
      <c r="AF59" s="94"/>
      <c r="AG59" s="94"/>
      <c r="AH59" s="94"/>
    </row>
    <row r="60" spans="1:34" s="95" customFormat="1" ht="48" customHeight="1" x14ac:dyDescent="0.25">
      <c r="A60" s="54" t="s">
        <v>171</v>
      </c>
      <c r="B60" s="55" t="s">
        <v>126</v>
      </c>
      <c r="C60" s="63" t="s">
        <v>223</v>
      </c>
      <c r="D60" s="63" t="s">
        <v>189</v>
      </c>
      <c r="E60" s="63" t="s">
        <v>206</v>
      </c>
      <c r="F60" s="49" t="s">
        <v>77</v>
      </c>
      <c r="G60" s="55">
        <v>1</v>
      </c>
      <c r="H60" s="64"/>
      <c r="I60" s="69">
        <v>17000</v>
      </c>
      <c r="J60" s="58">
        <v>1</v>
      </c>
      <c r="K60" s="58">
        <v>0</v>
      </c>
      <c r="L60" s="55">
        <v>2</v>
      </c>
      <c r="M60" s="55" t="s">
        <v>2</v>
      </c>
      <c r="N60" s="62" t="s">
        <v>232</v>
      </c>
      <c r="O60" s="62" t="s">
        <v>237</v>
      </c>
      <c r="P60" s="55"/>
      <c r="Q60" s="64"/>
      <c r="R60" s="55" t="s">
        <v>1</v>
      </c>
      <c r="S60" s="91"/>
      <c r="T60" s="93"/>
      <c r="U60" s="93"/>
      <c r="V60" s="93"/>
      <c r="W60" s="93"/>
      <c r="X60" s="93"/>
      <c r="Y60" s="93"/>
      <c r="Z60" s="93"/>
      <c r="AA60" s="93"/>
      <c r="AB60" s="93"/>
      <c r="AC60" s="93"/>
      <c r="AD60" s="93"/>
      <c r="AE60" s="94"/>
      <c r="AF60" s="94"/>
      <c r="AG60" s="94"/>
      <c r="AH60" s="94"/>
    </row>
    <row r="61" spans="1:34" s="95" customFormat="1" ht="78.75" x14ac:dyDescent="0.25">
      <c r="A61" s="54" t="s">
        <v>172</v>
      </c>
      <c r="B61" s="55" t="s">
        <v>126</v>
      </c>
      <c r="C61" s="63" t="s">
        <v>223</v>
      </c>
      <c r="D61" s="63" t="s">
        <v>190</v>
      </c>
      <c r="E61" s="63" t="s">
        <v>206</v>
      </c>
      <c r="F61" s="49" t="s">
        <v>77</v>
      </c>
      <c r="G61" s="55">
        <v>1</v>
      </c>
      <c r="H61" s="64"/>
      <c r="I61" s="69">
        <v>17000</v>
      </c>
      <c r="J61" s="58">
        <v>1</v>
      </c>
      <c r="K61" s="58">
        <v>0</v>
      </c>
      <c r="L61" s="55">
        <v>2</v>
      </c>
      <c r="M61" s="55" t="s">
        <v>2</v>
      </c>
      <c r="N61" s="62" t="s">
        <v>232</v>
      </c>
      <c r="O61" s="62" t="s">
        <v>237</v>
      </c>
      <c r="P61" s="55"/>
      <c r="Q61" s="64"/>
      <c r="R61" s="55" t="s">
        <v>1</v>
      </c>
      <c r="S61" s="91"/>
      <c r="T61" s="93"/>
      <c r="U61" s="93"/>
      <c r="V61" s="93"/>
      <c r="W61" s="93"/>
      <c r="X61" s="93"/>
      <c r="Y61" s="93"/>
      <c r="Z61" s="93"/>
      <c r="AA61" s="93"/>
      <c r="AB61" s="93"/>
      <c r="AC61" s="93"/>
      <c r="AD61" s="93"/>
      <c r="AE61" s="94"/>
      <c r="AF61" s="94"/>
      <c r="AG61" s="94"/>
      <c r="AH61" s="94"/>
    </row>
    <row r="62" spans="1:34" s="95" customFormat="1" ht="47.25" x14ac:dyDescent="0.25">
      <c r="A62" s="54" t="s">
        <v>173</v>
      </c>
      <c r="B62" s="55" t="s">
        <v>126</v>
      </c>
      <c r="C62" s="63" t="s">
        <v>224</v>
      </c>
      <c r="D62" s="63" t="s">
        <v>191</v>
      </c>
      <c r="E62" s="63" t="s">
        <v>206</v>
      </c>
      <c r="F62" s="49" t="s">
        <v>77</v>
      </c>
      <c r="G62" s="55">
        <v>1</v>
      </c>
      <c r="H62" s="64"/>
      <c r="I62" s="69">
        <v>17000</v>
      </c>
      <c r="J62" s="58">
        <v>1</v>
      </c>
      <c r="K62" s="58">
        <v>0</v>
      </c>
      <c r="L62" s="55">
        <v>2</v>
      </c>
      <c r="M62" s="55" t="s">
        <v>2</v>
      </c>
      <c r="N62" s="62" t="s">
        <v>232</v>
      </c>
      <c r="O62" s="62" t="s">
        <v>237</v>
      </c>
      <c r="P62" s="55"/>
      <c r="Q62" s="64"/>
      <c r="R62" s="55" t="s">
        <v>1</v>
      </c>
      <c r="S62" s="91"/>
      <c r="T62" s="93"/>
      <c r="U62" s="93"/>
      <c r="V62" s="93"/>
      <c r="W62" s="93"/>
      <c r="X62" s="93"/>
      <c r="Y62" s="93"/>
      <c r="Z62" s="93"/>
      <c r="AA62" s="93"/>
      <c r="AB62" s="93"/>
      <c r="AC62" s="93"/>
      <c r="AD62" s="93"/>
      <c r="AE62" s="94"/>
      <c r="AF62" s="94"/>
      <c r="AG62" s="94"/>
      <c r="AH62" s="94"/>
    </row>
    <row r="63" spans="1:34" s="95" customFormat="1" ht="47.25" x14ac:dyDescent="0.25">
      <c r="A63" s="54" t="s">
        <v>174</v>
      </c>
      <c r="B63" s="55" t="s">
        <v>126</v>
      </c>
      <c r="C63" s="70" t="s">
        <v>384</v>
      </c>
      <c r="D63" s="70" t="s">
        <v>192</v>
      </c>
      <c r="E63" s="63" t="s">
        <v>206</v>
      </c>
      <c r="F63" s="49" t="s">
        <v>77</v>
      </c>
      <c r="G63" s="55">
        <v>1</v>
      </c>
      <c r="H63" s="64"/>
      <c r="I63" s="69">
        <v>17000</v>
      </c>
      <c r="J63" s="58">
        <v>1</v>
      </c>
      <c r="K63" s="58">
        <v>0</v>
      </c>
      <c r="L63" s="55">
        <v>2</v>
      </c>
      <c r="M63" s="55" t="s">
        <v>2</v>
      </c>
      <c r="N63" s="62" t="s">
        <v>231</v>
      </c>
      <c r="O63" s="62" t="s">
        <v>232</v>
      </c>
      <c r="P63" s="55"/>
      <c r="Q63" s="64"/>
      <c r="R63" s="55" t="s">
        <v>1</v>
      </c>
      <c r="S63" s="91"/>
      <c r="T63" s="93"/>
      <c r="U63" s="93"/>
      <c r="V63" s="93"/>
      <c r="W63" s="93"/>
      <c r="X63" s="93"/>
      <c r="Y63" s="93"/>
      <c r="Z63" s="93"/>
      <c r="AA63" s="93"/>
      <c r="AB63" s="93"/>
      <c r="AC63" s="93"/>
      <c r="AD63" s="93"/>
      <c r="AE63" s="94"/>
      <c r="AF63" s="94"/>
      <c r="AG63" s="94"/>
      <c r="AH63" s="94"/>
    </row>
    <row r="64" spans="1:34" s="95" customFormat="1" ht="63" x14ac:dyDescent="0.25">
      <c r="A64" s="54" t="s">
        <v>175</v>
      </c>
      <c r="B64" s="55" t="s">
        <v>126</v>
      </c>
      <c r="C64" s="49" t="s">
        <v>383</v>
      </c>
      <c r="D64" s="49" t="s">
        <v>382</v>
      </c>
      <c r="E64" s="136" t="s">
        <v>276</v>
      </c>
      <c r="F64" s="49" t="s">
        <v>41</v>
      </c>
      <c r="G64" s="55">
        <v>1</v>
      </c>
      <c r="H64" s="64"/>
      <c r="I64" s="98">
        <v>468750</v>
      </c>
      <c r="J64" s="58">
        <v>1</v>
      </c>
      <c r="K64" s="58">
        <v>0</v>
      </c>
      <c r="L64" s="55">
        <v>2</v>
      </c>
      <c r="M64" s="55" t="s">
        <v>2</v>
      </c>
      <c r="N64" s="62" t="s">
        <v>235</v>
      </c>
      <c r="O64" s="62" t="s">
        <v>240</v>
      </c>
      <c r="P64" s="55"/>
      <c r="Q64" s="64"/>
      <c r="R64" s="55" t="s">
        <v>1</v>
      </c>
      <c r="S64" s="91"/>
      <c r="T64" s="93"/>
      <c r="U64" s="93"/>
      <c r="V64" s="93"/>
      <c r="W64" s="93"/>
      <c r="X64" s="93"/>
      <c r="Y64" s="93"/>
      <c r="Z64" s="93"/>
      <c r="AA64" s="93"/>
      <c r="AB64" s="93"/>
      <c r="AC64" s="93"/>
      <c r="AD64" s="93"/>
      <c r="AE64" s="94"/>
      <c r="AF64" s="94"/>
      <c r="AG64" s="94"/>
      <c r="AH64" s="94"/>
    </row>
    <row r="65" spans="1:34" s="94" customFormat="1" ht="247.5" customHeight="1" x14ac:dyDescent="0.25">
      <c r="A65" s="54" t="s">
        <v>176</v>
      </c>
      <c r="B65" s="55" t="s">
        <v>126</v>
      </c>
      <c r="C65" s="107" t="s">
        <v>402</v>
      </c>
      <c r="D65" s="107" t="s">
        <v>401</v>
      </c>
      <c r="E65" s="66" t="s">
        <v>277</v>
      </c>
      <c r="F65" s="66" t="s">
        <v>76</v>
      </c>
      <c r="G65" s="59">
        <v>1</v>
      </c>
      <c r="H65" s="99"/>
      <c r="I65" s="100">
        <f>'[6]PEP US$'!$K$53+'[6]PEP US$'!$Q$53</f>
        <v>81250</v>
      </c>
      <c r="J65" s="101">
        <v>1</v>
      </c>
      <c r="K65" s="101">
        <v>0</v>
      </c>
      <c r="L65" s="59">
        <v>2</v>
      </c>
      <c r="M65" s="59" t="s">
        <v>2</v>
      </c>
      <c r="N65" s="62" t="s">
        <v>231</v>
      </c>
      <c r="O65" s="62" t="s">
        <v>232</v>
      </c>
      <c r="P65" s="59"/>
      <c r="Q65" s="99"/>
      <c r="R65" s="59" t="s">
        <v>1</v>
      </c>
      <c r="S65" s="91"/>
      <c r="T65" s="93"/>
      <c r="U65" s="93"/>
      <c r="V65" s="93"/>
      <c r="W65" s="93"/>
      <c r="X65" s="93"/>
      <c r="Y65" s="93"/>
      <c r="Z65" s="93"/>
      <c r="AA65" s="93"/>
      <c r="AB65" s="93"/>
      <c r="AC65" s="93"/>
      <c r="AD65" s="93"/>
    </row>
    <row r="66" spans="1:34" s="95" customFormat="1" ht="78.75" x14ac:dyDescent="0.25">
      <c r="A66" s="54" t="s">
        <v>177</v>
      </c>
      <c r="B66" s="55" t="s">
        <v>126</v>
      </c>
      <c r="C66" s="131" t="s">
        <v>386</v>
      </c>
      <c r="D66" s="131" t="s">
        <v>409</v>
      </c>
      <c r="E66" s="49" t="s">
        <v>282</v>
      </c>
      <c r="F66" s="49" t="s">
        <v>41</v>
      </c>
      <c r="G66" s="55">
        <v>1</v>
      </c>
      <c r="H66" s="64"/>
      <c r="I66" s="65">
        <v>78125</v>
      </c>
      <c r="J66" s="58">
        <v>1</v>
      </c>
      <c r="K66" s="58">
        <v>0</v>
      </c>
      <c r="L66" s="55">
        <v>2</v>
      </c>
      <c r="M66" s="55" t="s">
        <v>2</v>
      </c>
      <c r="N66" s="62" t="s">
        <v>327</v>
      </c>
      <c r="O66" s="62" t="s">
        <v>328</v>
      </c>
      <c r="P66" s="55"/>
      <c r="Q66" s="64"/>
      <c r="R66" s="55" t="s">
        <v>1</v>
      </c>
      <c r="S66" s="91"/>
      <c r="T66" s="93"/>
      <c r="U66" s="93"/>
      <c r="V66" s="93"/>
      <c r="W66" s="93"/>
      <c r="X66" s="93"/>
      <c r="Y66" s="93"/>
      <c r="Z66" s="93"/>
      <c r="AA66" s="93"/>
      <c r="AB66" s="93"/>
      <c r="AC66" s="93"/>
      <c r="AD66" s="93"/>
      <c r="AE66" s="94"/>
      <c r="AF66" s="94"/>
      <c r="AG66" s="94"/>
      <c r="AH66" s="94"/>
    </row>
    <row r="67" spans="1:34" s="95" customFormat="1" ht="47.25" x14ac:dyDescent="0.25">
      <c r="A67" s="54" t="s">
        <v>178</v>
      </c>
      <c r="B67" s="55" t="s">
        <v>126</v>
      </c>
      <c r="C67" s="131" t="s">
        <v>385</v>
      </c>
      <c r="D67" s="131" t="s">
        <v>283</v>
      </c>
      <c r="E67" s="49" t="s">
        <v>282</v>
      </c>
      <c r="F67" s="49" t="s">
        <v>41</v>
      </c>
      <c r="G67" s="55">
        <v>1</v>
      </c>
      <c r="H67" s="64"/>
      <c r="I67" s="65">
        <v>78125</v>
      </c>
      <c r="J67" s="58">
        <v>1</v>
      </c>
      <c r="K67" s="58">
        <v>0</v>
      </c>
      <c r="L67" s="55">
        <v>2</v>
      </c>
      <c r="M67" s="55" t="s">
        <v>2</v>
      </c>
      <c r="N67" s="62" t="s">
        <v>327</v>
      </c>
      <c r="O67" s="62" t="s">
        <v>328</v>
      </c>
      <c r="P67" s="55"/>
      <c r="Q67" s="64"/>
      <c r="R67" s="55" t="s">
        <v>1</v>
      </c>
      <c r="S67" s="91"/>
      <c r="T67" s="93"/>
      <c r="U67" s="93"/>
      <c r="V67" s="93"/>
      <c r="W67" s="93"/>
      <c r="X67" s="93"/>
      <c r="Y67" s="93"/>
      <c r="Z67" s="93"/>
      <c r="AA67" s="93"/>
      <c r="AB67" s="93"/>
      <c r="AC67" s="93"/>
      <c r="AD67" s="93"/>
      <c r="AE67" s="94"/>
      <c r="AF67" s="94"/>
      <c r="AG67" s="94"/>
      <c r="AH67" s="94"/>
    </row>
    <row r="68" spans="1:34" s="95" customFormat="1" ht="99.75" customHeight="1" x14ac:dyDescent="0.25">
      <c r="A68" s="54" t="s">
        <v>179</v>
      </c>
      <c r="B68" s="55" t="s">
        <v>126</v>
      </c>
      <c r="C68" s="131" t="s">
        <v>388</v>
      </c>
      <c r="D68" s="131" t="s">
        <v>285</v>
      </c>
      <c r="E68" s="49" t="s">
        <v>284</v>
      </c>
      <c r="F68" s="49" t="s">
        <v>41</v>
      </c>
      <c r="G68" s="55">
        <v>1</v>
      </c>
      <c r="H68" s="64"/>
      <c r="I68" s="65">
        <v>62500</v>
      </c>
      <c r="J68" s="58">
        <v>1</v>
      </c>
      <c r="K68" s="58">
        <v>0</v>
      </c>
      <c r="L68" s="55">
        <v>2</v>
      </c>
      <c r="M68" s="55" t="s">
        <v>3</v>
      </c>
      <c r="N68" s="62" t="s">
        <v>329</v>
      </c>
      <c r="O68" s="62" t="s">
        <v>330</v>
      </c>
      <c r="P68" s="55"/>
      <c r="Q68" s="64"/>
      <c r="R68" s="55" t="s">
        <v>1</v>
      </c>
      <c r="S68" s="91"/>
      <c r="T68" s="93"/>
      <c r="U68" s="93"/>
      <c r="V68" s="93"/>
      <c r="W68" s="93"/>
      <c r="X68" s="93"/>
      <c r="Y68" s="93"/>
      <c r="Z68" s="93"/>
      <c r="AA68" s="93"/>
      <c r="AB68" s="93"/>
      <c r="AC68" s="93"/>
      <c r="AD68" s="93"/>
      <c r="AE68" s="94"/>
      <c r="AF68" s="94"/>
      <c r="AG68" s="94"/>
      <c r="AH68" s="94"/>
    </row>
    <row r="69" spans="1:34" s="95" customFormat="1" ht="143.25" customHeight="1" x14ac:dyDescent="0.25">
      <c r="A69" s="54" t="s">
        <v>241</v>
      </c>
      <c r="B69" s="55" t="s">
        <v>126</v>
      </c>
      <c r="C69" s="131" t="s">
        <v>387</v>
      </c>
      <c r="D69" s="131" t="s">
        <v>289</v>
      </c>
      <c r="E69" s="49" t="s">
        <v>288</v>
      </c>
      <c r="F69" s="49" t="s">
        <v>41</v>
      </c>
      <c r="G69" s="55">
        <v>1</v>
      </c>
      <c r="H69" s="64"/>
      <c r="I69" s="65">
        <f>'[7]PEP US$'!$N$64+'[7]PEP US$'!$Q$64</f>
        <v>0</v>
      </c>
      <c r="J69" s="58">
        <v>0</v>
      </c>
      <c r="K69" s="58">
        <v>0</v>
      </c>
      <c r="L69" s="55">
        <v>2</v>
      </c>
      <c r="M69" s="55" t="s">
        <v>2</v>
      </c>
      <c r="N69" s="62" t="s">
        <v>327</v>
      </c>
      <c r="O69" s="62" t="s">
        <v>328</v>
      </c>
      <c r="P69" s="55"/>
      <c r="Q69" s="64"/>
      <c r="R69" s="55" t="s">
        <v>1</v>
      </c>
      <c r="S69" s="91"/>
      <c r="T69" s="93"/>
      <c r="U69" s="93"/>
      <c r="V69" s="93"/>
      <c r="W69" s="93"/>
      <c r="X69" s="93"/>
      <c r="Y69" s="93"/>
      <c r="Z69" s="93"/>
      <c r="AA69" s="93"/>
      <c r="AB69" s="93"/>
      <c r="AC69" s="93"/>
      <c r="AD69" s="93"/>
      <c r="AE69" s="94"/>
      <c r="AF69" s="94"/>
      <c r="AG69" s="94"/>
      <c r="AH69" s="94"/>
    </row>
    <row r="70" spans="1:34" s="95" customFormat="1" ht="57" customHeight="1" x14ac:dyDescent="0.25">
      <c r="A70" s="54" t="s">
        <v>432</v>
      </c>
      <c r="B70" s="195" t="s">
        <v>126</v>
      </c>
      <c r="C70" s="131" t="s">
        <v>433</v>
      </c>
      <c r="D70" s="131" t="s">
        <v>433</v>
      </c>
      <c r="E70" s="196" t="s">
        <v>290</v>
      </c>
      <c r="F70" s="196" t="s">
        <v>77</v>
      </c>
      <c r="G70" s="195">
        <v>1</v>
      </c>
      <c r="H70" s="197"/>
      <c r="I70" s="65">
        <v>0</v>
      </c>
      <c r="J70" s="198">
        <v>0</v>
      </c>
      <c r="K70" s="144">
        <v>0</v>
      </c>
      <c r="L70" s="142">
        <v>2</v>
      </c>
      <c r="M70" s="142" t="s">
        <v>2</v>
      </c>
      <c r="N70" s="145" t="s">
        <v>327</v>
      </c>
      <c r="O70" s="145" t="s">
        <v>328</v>
      </c>
      <c r="P70" s="142"/>
      <c r="Q70" s="143"/>
      <c r="R70" s="142" t="s">
        <v>1</v>
      </c>
      <c r="S70" s="91"/>
      <c r="T70" s="93"/>
      <c r="U70" s="93"/>
      <c r="V70" s="93"/>
      <c r="W70" s="93"/>
      <c r="X70" s="93"/>
      <c r="Y70" s="93"/>
      <c r="Z70" s="93"/>
      <c r="AA70" s="93"/>
      <c r="AB70" s="93"/>
      <c r="AC70" s="93"/>
      <c r="AD70" s="93"/>
      <c r="AE70" s="94"/>
      <c r="AF70" s="94"/>
      <c r="AG70" s="94"/>
      <c r="AH70" s="94"/>
    </row>
    <row r="71" spans="1:34" s="95" customFormat="1" ht="63" x14ac:dyDescent="0.25">
      <c r="A71" s="54" t="s">
        <v>404</v>
      </c>
      <c r="B71" s="55" t="s">
        <v>126</v>
      </c>
      <c r="C71" s="131" t="s">
        <v>389</v>
      </c>
      <c r="D71" s="131" t="s">
        <v>291</v>
      </c>
      <c r="E71" s="49" t="s">
        <v>290</v>
      </c>
      <c r="F71" s="49" t="s">
        <v>77</v>
      </c>
      <c r="G71" s="55">
        <v>1</v>
      </c>
      <c r="H71" s="64"/>
      <c r="I71" s="65">
        <v>0</v>
      </c>
      <c r="J71" s="58">
        <v>0</v>
      </c>
      <c r="K71" s="58">
        <v>0</v>
      </c>
      <c r="L71" s="55">
        <v>2</v>
      </c>
      <c r="M71" s="55" t="s">
        <v>2</v>
      </c>
      <c r="N71" s="62" t="s">
        <v>327</v>
      </c>
      <c r="O71" s="62" t="s">
        <v>328</v>
      </c>
      <c r="P71" s="55"/>
      <c r="Q71" s="64"/>
      <c r="R71" s="55" t="s">
        <v>1</v>
      </c>
      <c r="S71" s="91"/>
      <c r="T71" s="93"/>
      <c r="U71" s="93"/>
      <c r="V71" s="93"/>
      <c r="W71" s="93"/>
      <c r="X71" s="93"/>
      <c r="Y71" s="93"/>
      <c r="Z71" s="93"/>
      <c r="AA71" s="93"/>
      <c r="AB71" s="93"/>
      <c r="AC71" s="93"/>
      <c r="AD71" s="93"/>
      <c r="AE71" s="94"/>
      <c r="AF71" s="94"/>
      <c r="AG71" s="94"/>
      <c r="AH71" s="94"/>
    </row>
    <row r="72" spans="1:34" s="95" customFormat="1" ht="47.25" x14ac:dyDescent="0.25">
      <c r="A72" s="54" t="s">
        <v>434</v>
      </c>
      <c r="B72" s="195" t="s">
        <v>126</v>
      </c>
      <c r="C72" s="131" t="s">
        <v>435</v>
      </c>
      <c r="D72" s="131" t="s">
        <v>435</v>
      </c>
      <c r="E72" s="196" t="s">
        <v>290</v>
      </c>
      <c r="F72" s="196" t="s">
        <v>77</v>
      </c>
      <c r="G72" s="195">
        <v>1</v>
      </c>
      <c r="H72" s="197"/>
      <c r="I72" s="65">
        <v>0</v>
      </c>
      <c r="J72" s="198">
        <v>0</v>
      </c>
      <c r="K72" s="198">
        <v>0</v>
      </c>
      <c r="L72" s="195">
        <v>2</v>
      </c>
      <c r="M72" s="195" t="s">
        <v>2</v>
      </c>
      <c r="N72" s="62" t="s">
        <v>327</v>
      </c>
      <c r="O72" s="62" t="s">
        <v>328</v>
      </c>
      <c r="P72" s="142"/>
      <c r="Q72" s="143"/>
      <c r="R72" s="142" t="s">
        <v>1</v>
      </c>
      <c r="S72" s="175"/>
      <c r="T72" s="93"/>
      <c r="U72" s="93"/>
      <c r="V72" s="93"/>
      <c r="W72" s="93"/>
      <c r="X72" s="93"/>
      <c r="Y72" s="93"/>
      <c r="Z72" s="93"/>
      <c r="AA72" s="93"/>
      <c r="AB72" s="93"/>
      <c r="AC72" s="93"/>
      <c r="AD72" s="93"/>
      <c r="AE72" s="94"/>
      <c r="AF72" s="94"/>
      <c r="AG72" s="94"/>
      <c r="AH72" s="94"/>
    </row>
    <row r="73" spans="1:34" s="95" customFormat="1" ht="78.75" x14ac:dyDescent="0.25">
      <c r="A73" s="54" t="s">
        <v>436</v>
      </c>
      <c r="B73" s="195" t="s">
        <v>126</v>
      </c>
      <c r="C73" s="131" t="s">
        <v>437</v>
      </c>
      <c r="D73" s="131" t="s">
        <v>438</v>
      </c>
      <c r="E73" s="196" t="s">
        <v>293</v>
      </c>
      <c r="F73" s="196" t="s">
        <v>77</v>
      </c>
      <c r="G73" s="195">
        <v>1</v>
      </c>
      <c r="H73" s="197"/>
      <c r="I73" s="65">
        <f>62500+15625</f>
        <v>78125</v>
      </c>
      <c r="J73" s="198">
        <v>1</v>
      </c>
      <c r="K73" s="198">
        <v>0</v>
      </c>
      <c r="L73" s="195">
        <v>2</v>
      </c>
      <c r="M73" s="195" t="s">
        <v>2</v>
      </c>
      <c r="N73" s="62" t="s">
        <v>228</v>
      </c>
      <c r="O73" s="62" t="s">
        <v>232</v>
      </c>
      <c r="P73" s="142"/>
      <c r="Q73" s="143"/>
      <c r="R73" s="142" t="s">
        <v>1</v>
      </c>
      <c r="S73" s="175"/>
      <c r="T73" s="93"/>
      <c r="U73" s="93"/>
      <c r="V73" s="93"/>
      <c r="W73" s="93"/>
      <c r="X73" s="93"/>
      <c r="Y73" s="93"/>
      <c r="Z73" s="93"/>
      <c r="AA73" s="93"/>
      <c r="AB73" s="93"/>
      <c r="AC73" s="93"/>
      <c r="AD73" s="93"/>
      <c r="AE73" s="94"/>
      <c r="AF73" s="94"/>
      <c r="AG73" s="94"/>
      <c r="AH73" s="94"/>
    </row>
    <row r="74" spans="1:34" s="95" customFormat="1" ht="47.25" x14ac:dyDescent="0.25">
      <c r="A74" s="54" t="s">
        <v>439</v>
      </c>
      <c r="B74" s="195" t="s">
        <v>126</v>
      </c>
      <c r="C74" s="67" t="s">
        <v>440</v>
      </c>
      <c r="D74" s="67" t="s">
        <v>440</v>
      </c>
      <c r="E74" s="196" t="s">
        <v>293</v>
      </c>
      <c r="F74" s="196" t="s">
        <v>77</v>
      </c>
      <c r="G74" s="195">
        <v>1</v>
      </c>
      <c r="H74" s="197"/>
      <c r="I74" s="65">
        <v>62500</v>
      </c>
      <c r="J74" s="198">
        <v>1</v>
      </c>
      <c r="K74" s="198">
        <v>0</v>
      </c>
      <c r="L74" s="195">
        <v>2</v>
      </c>
      <c r="M74" s="195" t="s">
        <v>2</v>
      </c>
      <c r="N74" s="62" t="s">
        <v>228</v>
      </c>
      <c r="O74" s="62" t="s">
        <v>232</v>
      </c>
      <c r="P74" s="142"/>
      <c r="Q74" s="143"/>
      <c r="R74" s="142" t="s">
        <v>1</v>
      </c>
      <c r="S74" s="175"/>
      <c r="T74" s="93"/>
      <c r="U74" s="93"/>
      <c r="V74" s="93"/>
      <c r="W74" s="93"/>
      <c r="X74" s="93"/>
      <c r="Y74" s="93"/>
      <c r="Z74" s="93"/>
      <c r="AA74" s="93"/>
      <c r="AB74" s="93"/>
      <c r="AC74" s="93"/>
      <c r="AD74" s="93"/>
      <c r="AE74" s="94"/>
      <c r="AF74" s="94"/>
      <c r="AG74" s="94"/>
      <c r="AH74" s="94"/>
    </row>
    <row r="75" spans="1:34" s="95" customFormat="1" ht="31.5" x14ac:dyDescent="0.25">
      <c r="A75" s="54" t="s">
        <v>441</v>
      </c>
      <c r="B75" s="195" t="s">
        <v>126</v>
      </c>
      <c r="C75" s="67" t="s">
        <v>442</v>
      </c>
      <c r="D75" s="67" t="s">
        <v>442</v>
      </c>
      <c r="E75" s="196" t="s">
        <v>293</v>
      </c>
      <c r="F75" s="196" t="s">
        <v>76</v>
      </c>
      <c r="G75" s="195">
        <v>1</v>
      </c>
      <c r="H75" s="197"/>
      <c r="I75" s="65">
        <v>37500</v>
      </c>
      <c r="J75" s="198">
        <v>1</v>
      </c>
      <c r="K75" s="198">
        <v>0</v>
      </c>
      <c r="L75" s="195">
        <v>2</v>
      </c>
      <c r="M75" s="195" t="s">
        <v>2</v>
      </c>
      <c r="N75" s="62" t="s">
        <v>228</v>
      </c>
      <c r="O75" s="62" t="s">
        <v>232</v>
      </c>
      <c r="P75" s="142"/>
      <c r="Q75" s="143"/>
      <c r="R75" s="142" t="s">
        <v>1</v>
      </c>
      <c r="S75" s="175"/>
      <c r="T75" s="93"/>
      <c r="U75" s="93"/>
      <c r="V75" s="93"/>
      <c r="W75" s="93"/>
      <c r="X75" s="93"/>
      <c r="Y75" s="93"/>
      <c r="Z75" s="93"/>
      <c r="AA75" s="93"/>
      <c r="AB75" s="93"/>
      <c r="AC75" s="93"/>
      <c r="AD75" s="93"/>
      <c r="AE75" s="94"/>
      <c r="AF75" s="94"/>
      <c r="AG75" s="94"/>
      <c r="AH75" s="94"/>
    </row>
    <row r="76" spans="1:34" s="95" customFormat="1" ht="63" x14ac:dyDescent="0.25">
      <c r="A76" s="54" t="s">
        <v>443</v>
      </c>
      <c r="B76" s="195" t="s">
        <v>126</v>
      </c>
      <c r="C76" s="67" t="s">
        <v>444</v>
      </c>
      <c r="D76" s="67" t="s">
        <v>445</v>
      </c>
      <c r="E76" s="196" t="s">
        <v>293</v>
      </c>
      <c r="F76" s="196" t="s">
        <v>77</v>
      </c>
      <c r="G76" s="195">
        <v>1</v>
      </c>
      <c r="H76" s="197"/>
      <c r="I76" s="65">
        <v>25000</v>
      </c>
      <c r="J76" s="198">
        <v>1</v>
      </c>
      <c r="K76" s="198">
        <v>0</v>
      </c>
      <c r="L76" s="195">
        <v>2</v>
      </c>
      <c r="M76" s="195" t="s">
        <v>2</v>
      </c>
      <c r="N76" s="62" t="s">
        <v>228</v>
      </c>
      <c r="O76" s="62" t="s">
        <v>232</v>
      </c>
      <c r="P76" s="142"/>
      <c r="Q76" s="143"/>
      <c r="R76" s="142" t="s">
        <v>1</v>
      </c>
      <c r="S76" s="175"/>
      <c r="T76" s="93"/>
      <c r="U76" s="93"/>
      <c r="V76" s="93"/>
      <c r="W76" s="93"/>
      <c r="X76" s="93"/>
      <c r="Y76" s="93"/>
      <c r="Z76" s="93"/>
      <c r="AA76" s="93"/>
      <c r="AB76" s="93"/>
      <c r="AC76" s="93"/>
      <c r="AD76" s="93"/>
      <c r="AE76" s="94"/>
      <c r="AF76" s="94"/>
      <c r="AG76" s="94"/>
      <c r="AH76" s="94"/>
    </row>
    <row r="77" spans="1:34" s="95" customFormat="1" ht="63" x14ac:dyDescent="0.25">
      <c r="A77" s="54" t="s">
        <v>242</v>
      </c>
      <c r="B77" s="55" t="s">
        <v>126</v>
      </c>
      <c r="C77" s="131" t="s">
        <v>390</v>
      </c>
      <c r="D77" s="131" t="s">
        <v>296</v>
      </c>
      <c r="E77" s="49" t="s">
        <v>295</v>
      </c>
      <c r="F77" s="49" t="s">
        <v>77</v>
      </c>
      <c r="G77" s="55">
        <v>1</v>
      </c>
      <c r="H77" s="64"/>
      <c r="I77" s="65">
        <v>10000</v>
      </c>
      <c r="J77" s="58">
        <v>1</v>
      </c>
      <c r="K77" s="58">
        <v>0</v>
      </c>
      <c r="L77" s="55">
        <v>2</v>
      </c>
      <c r="M77" s="55" t="s">
        <v>2</v>
      </c>
      <c r="N77" s="62" t="s">
        <v>330</v>
      </c>
      <c r="O77" s="62" t="s">
        <v>237</v>
      </c>
      <c r="P77" s="55"/>
      <c r="Q77" s="64"/>
      <c r="R77" s="55" t="s">
        <v>1</v>
      </c>
      <c r="S77" s="91"/>
      <c r="T77" s="93"/>
      <c r="U77" s="93"/>
      <c r="V77" s="93"/>
      <c r="W77" s="93"/>
      <c r="X77" s="93"/>
      <c r="Y77" s="93"/>
      <c r="Z77" s="93"/>
      <c r="AA77" s="93"/>
      <c r="AB77" s="93"/>
      <c r="AC77" s="93"/>
      <c r="AD77" s="93"/>
      <c r="AE77" s="94"/>
      <c r="AF77" s="94"/>
      <c r="AG77" s="94"/>
      <c r="AH77" s="94"/>
    </row>
    <row r="78" spans="1:34" s="95" customFormat="1" ht="94.5" x14ac:dyDescent="0.25">
      <c r="A78" s="54" t="s">
        <v>243</v>
      </c>
      <c r="B78" s="195" t="s">
        <v>126</v>
      </c>
      <c r="C78" s="131" t="s">
        <v>391</v>
      </c>
      <c r="D78" s="131" t="s">
        <v>298</v>
      </c>
      <c r="E78" s="196" t="s">
        <v>297</v>
      </c>
      <c r="F78" s="196" t="s">
        <v>41</v>
      </c>
      <c r="G78" s="195">
        <v>1</v>
      </c>
      <c r="H78" s="197"/>
      <c r="I78" s="65">
        <f>'[7]PEP US$'!$N$59+'[7]PEP US$'!$Q$59</f>
        <v>0</v>
      </c>
      <c r="J78" s="198">
        <v>0</v>
      </c>
      <c r="K78" s="198">
        <v>0</v>
      </c>
      <c r="L78" s="195">
        <v>2</v>
      </c>
      <c r="M78" s="195" t="s">
        <v>2</v>
      </c>
      <c r="N78" s="62" t="s">
        <v>234</v>
      </c>
      <c r="O78" s="62" t="s">
        <v>446</v>
      </c>
      <c r="P78" s="142"/>
      <c r="Q78" s="143"/>
      <c r="R78" s="142" t="s">
        <v>1</v>
      </c>
      <c r="S78" s="175"/>
      <c r="T78" s="93"/>
      <c r="U78" s="93"/>
      <c r="V78" s="93"/>
      <c r="W78" s="93"/>
      <c r="X78" s="93"/>
      <c r="Y78" s="93"/>
      <c r="Z78" s="93"/>
      <c r="AA78" s="93"/>
      <c r="AB78" s="93"/>
      <c r="AC78" s="93"/>
      <c r="AD78" s="93"/>
      <c r="AE78" s="94"/>
      <c r="AF78" s="94"/>
      <c r="AG78" s="94"/>
      <c r="AH78" s="94"/>
    </row>
    <row r="79" spans="1:34" s="95" customFormat="1" ht="78.75" x14ac:dyDescent="0.25">
      <c r="A79" s="54" t="s">
        <v>244</v>
      </c>
      <c r="B79" s="55" t="s">
        <v>126</v>
      </c>
      <c r="C79" s="71" t="s">
        <v>392</v>
      </c>
      <c r="D79" s="71" t="s">
        <v>300</v>
      </c>
      <c r="E79" s="49" t="s">
        <v>299</v>
      </c>
      <c r="F79" s="49" t="s">
        <v>77</v>
      </c>
      <c r="G79" s="55">
        <v>1</v>
      </c>
      <c r="H79" s="64"/>
      <c r="I79" s="65">
        <v>93750</v>
      </c>
      <c r="J79" s="58">
        <v>1</v>
      </c>
      <c r="K79" s="58">
        <v>0</v>
      </c>
      <c r="L79" s="55">
        <v>2</v>
      </c>
      <c r="M79" s="55" t="s">
        <v>2</v>
      </c>
      <c r="N79" s="62" t="s">
        <v>236</v>
      </c>
      <c r="O79" s="62" t="s">
        <v>237</v>
      </c>
      <c r="P79" s="55"/>
      <c r="Q79" s="64"/>
      <c r="R79" s="55" t="s">
        <v>1</v>
      </c>
      <c r="S79" s="91"/>
      <c r="T79" s="93"/>
      <c r="U79" s="93"/>
      <c r="V79" s="93"/>
      <c r="W79" s="93"/>
      <c r="X79" s="93"/>
      <c r="Y79" s="93"/>
      <c r="Z79" s="93"/>
      <c r="AA79" s="93"/>
      <c r="AB79" s="93"/>
      <c r="AC79" s="93"/>
      <c r="AD79" s="93"/>
      <c r="AE79" s="94"/>
      <c r="AF79" s="94"/>
      <c r="AG79" s="94"/>
      <c r="AH79" s="94"/>
    </row>
    <row r="80" spans="1:34" s="6" customFormat="1" ht="47.25" x14ac:dyDescent="0.25">
      <c r="A80" s="54" t="s">
        <v>245</v>
      </c>
      <c r="B80" s="55" t="s">
        <v>126</v>
      </c>
      <c r="C80" s="109" t="s">
        <v>393</v>
      </c>
      <c r="D80" s="67" t="s">
        <v>303</v>
      </c>
      <c r="E80" s="49" t="s">
        <v>302</v>
      </c>
      <c r="F80" s="49" t="s">
        <v>41</v>
      </c>
      <c r="G80" s="55">
        <v>1</v>
      </c>
      <c r="H80" s="64"/>
      <c r="I80" s="65">
        <f>'[7]PEP US$'!$N$67+'[7]PEP US$'!$Q$67-(I27+I81)</f>
        <v>815625</v>
      </c>
      <c r="J80" s="58">
        <v>1</v>
      </c>
      <c r="K80" s="58">
        <v>0</v>
      </c>
      <c r="L80" s="55">
        <v>2</v>
      </c>
      <c r="M80" s="55" t="s">
        <v>3</v>
      </c>
      <c r="N80" s="62" t="s">
        <v>331</v>
      </c>
      <c r="O80" s="62" t="s">
        <v>332</v>
      </c>
      <c r="P80" s="55"/>
      <c r="Q80" s="64"/>
      <c r="R80" s="55" t="s">
        <v>1</v>
      </c>
      <c r="S80" s="91"/>
      <c r="T80" s="93"/>
      <c r="U80" s="93"/>
      <c r="V80" s="93"/>
      <c r="W80" s="93"/>
      <c r="X80" s="93"/>
      <c r="Y80" s="93"/>
      <c r="Z80" s="93"/>
      <c r="AA80" s="93"/>
      <c r="AB80" s="93"/>
      <c r="AC80" s="93"/>
      <c r="AD80" s="93"/>
      <c r="AE80" s="93"/>
      <c r="AF80" s="93"/>
      <c r="AG80" s="93"/>
      <c r="AH80" s="93"/>
    </row>
    <row r="81" spans="1:34" s="95" customFormat="1" ht="63" x14ac:dyDescent="0.25">
      <c r="A81" s="54" t="s">
        <v>246</v>
      </c>
      <c r="B81" s="55" t="s">
        <v>126</v>
      </c>
      <c r="C81" s="67" t="s">
        <v>394</v>
      </c>
      <c r="D81" s="67" t="s">
        <v>398</v>
      </c>
      <c r="E81" s="49" t="s">
        <v>302</v>
      </c>
      <c r="F81" s="49" t="s">
        <v>77</v>
      </c>
      <c r="G81" s="55">
        <v>1</v>
      </c>
      <c r="H81" s="64"/>
      <c r="I81" s="65">
        <f>93750+93750</f>
        <v>187500</v>
      </c>
      <c r="J81" s="58">
        <v>1</v>
      </c>
      <c r="K81" s="58">
        <v>0</v>
      </c>
      <c r="L81" s="55">
        <v>2</v>
      </c>
      <c r="M81" s="55" t="s">
        <v>2</v>
      </c>
      <c r="N81" s="62" t="s">
        <v>331</v>
      </c>
      <c r="O81" s="62" t="s">
        <v>332</v>
      </c>
      <c r="P81" s="55"/>
      <c r="Q81" s="64"/>
      <c r="R81" s="55" t="s">
        <v>1</v>
      </c>
      <c r="S81" s="91"/>
      <c r="T81" s="93"/>
      <c r="U81" s="93"/>
      <c r="V81" s="93"/>
      <c r="W81" s="93"/>
      <c r="X81" s="93"/>
      <c r="Y81" s="93"/>
      <c r="Z81" s="93"/>
      <c r="AA81" s="93"/>
      <c r="AB81" s="93"/>
      <c r="AC81" s="93"/>
      <c r="AD81" s="93"/>
      <c r="AE81" s="94"/>
      <c r="AF81" s="94"/>
      <c r="AG81" s="94"/>
      <c r="AH81" s="94"/>
    </row>
    <row r="82" spans="1:34" s="95" customFormat="1" ht="110.25" x14ac:dyDescent="0.25">
      <c r="A82" s="54" t="s">
        <v>247</v>
      </c>
      <c r="B82" s="55" t="s">
        <v>126</v>
      </c>
      <c r="C82" s="49" t="s">
        <v>395</v>
      </c>
      <c r="D82" s="49" t="s">
        <v>308</v>
      </c>
      <c r="E82" s="49" t="s">
        <v>306</v>
      </c>
      <c r="F82" s="49" t="s">
        <v>77</v>
      </c>
      <c r="G82" s="55">
        <v>1</v>
      </c>
      <c r="H82" s="64"/>
      <c r="I82" s="65">
        <f>'[7]PEP US$'!$N$68+'[7]PEP US$'!$Q$68</f>
        <v>0</v>
      </c>
      <c r="J82" s="58">
        <v>0</v>
      </c>
      <c r="K82" s="58">
        <v>0</v>
      </c>
      <c r="L82" s="55">
        <v>2</v>
      </c>
      <c r="M82" s="55" t="s">
        <v>2</v>
      </c>
      <c r="N82" s="62" t="s">
        <v>229</v>
      </c>
      <c r="O82" s="62" t="s">
        <v>237</v>
      </c>
      <c r="P82" s="55"/>
      <c r="Q82" s="64"/>
      <c r="R82" s="55" t="s">
        <v>1</v>
      </c>
      <c r="S82" s="91"/>
      <c r="T82" s="93"/>
      <c r="U82" s="93"/>
      <c r="V82" s="93"/>
      <c r="W82" s="93"/>
      <c r="X82" s="93"/>
      <c r="Y82" s="93"/>
      <c r="Z82" s="93"/>
      <c r="AA82" s="93"/>
      <c r="AB82" s="93"/>
      <c r="AC82" s="93"/>
      <c r="AD82" s="93"/>
      <c r="AE82" s="94"/>
      <c r="AF82" s="94"/>
      <c r="AG82" s="94"/>
      <c r="AH82" s="94"/>
    </row>
    <row r="83" spans="1:34" s="6" customFormat="1" ht="47.25" x14ac:dyDescent="0.25">
      <c r="A83" s="54" t="s">
        <v>248</v>
      </c>
      <c r="B83" s="55" t="s">
        <v>126</v>
      </c>
      <c r="C83" s="72" t="s">
        <v>396</v>
      </c>
      <c r="D83" s="72" t="s">
        <v>322</v>
      </c>
      <c r="E83" s="49" t="s">
        <v>320</v>
      </c>
      <c r="F83" s="49" t="s">
        <v>77</v>
      </c>
      <c r="G83" s="55">
        <v>1</v>
      </c>
      <c r="H83" s="64"/>
      <c r="I83" s="65">
        <v>58594</v>
      </c>
      <c r="J83" s="58">
        <v>1</v>
      </c>
      <c r="K83" s="58">
        <v>0</v>
      </c>
      <c r="L83" s="55">
        <v>2</v>
      </c>
      <c r="M83" s="55" t="s">
        <v>2</v>
      </c>
      <c r="N83" s="62" t="s">
        <v>228</v>
      </c>
      <c r="O83" s="62" t="s">
        <v>229</v>
      </c>
      <c r="P83" s="55"/>
      <c r="Q83" s="64"/>
      <c r="R83" s="55" t="s">
        <v>1</v>
      </c>
      <c r="S83" s="91"/>
      <c r="T83" s="93"/>
      <c r="U83" s="93"/>
      <c r="V83" s="93"/>
      <c r="W83" s="93"/>
      <c r="X83" s="93"/>
      <c r="Y83" s="93"/>
      <c r="Z83" s="93"/>
      <c r="AA83" s="93"/>
      <c r="AB83" s="93"/>
      <c r="AC83" s="93"/>
      <c r="AD83" s="93"/>
      <c r="AE83" s="93"/>
      <c r="AF83" s="93"/>
      <c r="AG83" s="93"/>
      <c r="AH83" s="93"/>
    </row>
    <row r="84" spans="1:34" s="93" customFormat="1" ht="47.25" x14ac:dyDescent="0.25">
      <c r="A84" s="54" t="s">
        <v>249</v>
      </c>
      <c r="B84" s="55" t="s">
        <v>126</v>
      </c>
      <c r="C84" s="66" t="s">
        <v>149</v>
      </c>
      <c r="D84" s="66" t="s">
        <v>334</v>
      </c>
      <c r="E84" s="49" t="s">
        <v>340</v>
      </c>
      <c r="F84" s="66" t="s">
        <v>41</v>
      </c>
      <c r="G84" s="59">
        <v>1</v>
      </c>
      <c r="H84" s="99"/>
      <c r="I84" s="100">
        <f>'[6]PEP US$'!$N$73+'[6]PEP US$'!$Q$73</f>
        <v>718750</v>
      </c>
      <c r="J84" s="101">
        <v>1</v>
      </c>
      <c r="K84" s="101">
        <v>0</v>
      </c>
      <c r="L84" s="59" t="s">
        <v>335</v>
      </c>
      <c r="M84" s="59" t="s">
        <v>3</v>
      </c>
      <c r="N84" s="62" t="s">
        <v>336</v>
      </c>
      <c r="O84" s="62" t="s">
        <v>337</v>
      </c>
      <c r="P84" s="59"/>
      <c r="Q84" s="99"/>
      <c r="R84" s="59" t="s">
        <v>1</v>
      </c>
      <c r="S84" s="91"/>
    </row>
    <row r="85" spans="1:34" s="93" customFormat="1" ht="47.25" x14ac:dyDescent="0.25">
      <c r="A85" s="54" t="s">
        <v>250</v>
      </c>
      <c r="B85" s="55" t="s">
        <v>126</v>
      </c>
      <c r="C85" s="66" t="s">
        <v>351</v>
      </c>
      <c r="D85" s="66" t="s">
        <v>344</v>
      </c>
      <c r="E85" s="49" t="s">
        <v>340</v>
      </c>
      <c r="F85" s="66" t="s">
        <v>41</v>
      </c>
      <c r="G85" s="59">
        <v>1</v>
      </c>
      <c r="H85" s="99"/>
      <c r="I85" s="65">
        <f>'[6]PEP US$'!$N$76+'[6]PEP US$'!$Q$76</f>
        <v>321875</v>
      </c>
      <c r="J85" s="101">
        <v>1</v>
      </c>
      <c r="K85" s="101">
        <v>0</v>
      </c>
      <c r="L85" s="59" t="s">
        <v>335</v>
      </c>
      <c r="M85" s="59" t="s">
        <v>3</v>
      </c>
      <c r="N85" s="62" t="s">
        <v>336</v>
      </c>
      <c r="O85" s="62" t="s">
        <v>337</v>
      </c>
      <c r="P85" s="59"/>
      <c r="Q85" s="99"/>
      <c r="R85" s="59" t="s">
        <v>1</v>
      </c>
      <c r="S85" s="91"/>
    </row>
    <row r="86" spans="1:34" s="94" customFormat="1" ht="38.25" customHeight="1" x14ac:dyDescent="0.25">
      <c r="A86" s="54" t="s">
        <v>251</v>
      </c>
      <c r="B86" s="55" t="s">
        <v>126</v>
      </c>
      <c r="C86" s="66" t="s">
        <v>352</v>
      </c>
      <c r="D86" s="66" t="s">
        <v>345</v>
      </c>
      <c r="E86" s="49" t="s">
        <v>340</v>
      </c>
      <c r="F86" s="66" t="s">
        <v>41</v>
      </c>
      <c r="G86" s="59">
        <v>1</v>
      </c>
      <c r="H86" s="99"/>
      <c r="I86" s="65">
        <f>'[6]PEP US$'!$N$77+'[6]PEP US$'!$N$78+'[6]PEP US$'!$Q$77+'[6]PEP US$'!$Q$78</f>
        <v>46875</v>
      </c>
      <c r="J86" s="101">
        <v>1</v>
      </c>
      <c r="K86" s="101">
        <v>0</v>
      </c>
      <c r="L86" s="59">
        <v>2</v>
      </c>
      <c r="M86" s="59" t="s">
        <v>2</v>
      </c>
      <c r="N86" s="62" t="s">
        <v>346</v>
      </c>
      <c r="O86" s="62" t="s">
        <v>229</v>
      </c>
      <c r="P86" s="59"/>
      <c r="Q86" s="99"/>
      <c r="R86" s="59" t="s">
        <v>1</v>
      </c>
      <c r="S86" s="91"/>
      <c r="T86" s="93"/>
      <c r="U86" s="93"/>
      <c r="V86" s="93"/>
      <c r="W86" s="93"/>
      <c r="X86" s="93"/>
      <c r="Y86" s="93"/>
      <c r="Z86" s="93"/>
      <c r="AA86" s="93"/>
      <c r="AB86" s="93"/>
      <c r="AC86" s="93"/>
      <c r="AD86" s="93"/>
    </row>
    <row r="87" spans="1:34" s="93" customFormat="1" ht="47.25" x14ac:dyDescent="0.25">
      <c r="A87" s="54" t="s">
        <v>252</v>
      </c>
      <c r="B87" s="55" t="s">
        <v>126</v>
      </c>
      <c r="C87" s="66" t="s">
        <v>377</v>
      </c>
      <c r="D87" s="66" t="s">
        <v>353</v>
      </c>
      <c r="E87" s="49" t="s">
        <v>412</v>
      </c>
      <c r="F87" s="66" t="s">
        <v>41</v>
      </c>
      <c r="G87" s="59">
        <v>1</v>
      </c>
      <c r="H87" s="99"/>
      <c r="I87" s="65">
        <f>'[6]PEP US$'!$N$48+'[6]PEP US$'!$N$49+'[6]PEP US$'!$Q$48+'[6]PEP US$'!$Q$49</f>
        <v>937500</v>
      </c>
      <c r="J87" s="101">
        <v>1</v>
      </c>
      <c r="K87" s="101">
        <v>0</v>
      </c>
      <c r="L87" s="59" t="s">
        <v>335</v>
      </c>
      <c r="M87" s="59" t="s">
        <v>3</v>
      </c>
      <c r="N87" s="62" t="s">
        <v>354</v>
      </c>
      <c r="O87" s="62" t="s">
        <v>230</v>
      </c>
      <c r="P87" s="59"/>
      <c r="Q87" s="99"/>
      <c r="R87" s="59" t="s">
        <v>1</v>
      </c>
      <c r="S87" s="91"/>
    </row>
    <row r="88" spans="1:34" s="6" customFormat="1" ht="47.25" x14ac:dyDescent="0.25">
      <c r="A88" s="54" t="s">
        <v>405</v>
      </c>
      <c r="B88" s="55" t="s">
        <v>126</v>
      </c>
      <c r="C88" s="49" t="s">
        <v>377</v>
      </c>
      <c r="D88" s="49" t="s">
        <v>355</v>
      </c>
      <c r="E88" s="49" t="s">
        <v>412</v>
      </c>
      <c r="F88" s="49" t="s">
        <v>41</v>
      </c>
      <c r="G88" s="55">
        <v>1</v>
      </c>
      <c r="H88" s="64"/>
      <c r="I88" s="65">
        <f>'[6]PEP US$'!$N$47+'[6]PEP US$'!$Q$47</f>
        <v>781250</v>
      </c>
      <c r="J88" s="58">
        <v>1</v>
      </c>
      <c r="K88" s="58">
        <v>0</v>
      </c>
      <c r="L88" s="55" t="s">
        <v>335</v>
      </c>
      <c r="M88" s="55" t="s">
        <v>3</v>
      </c>
      <c r="N88" s="193" t="s">
        <v>356</v>
      </c>
      <c r="O88" s="193" t="s">
        <v>346</v>
      </c>
      <c r="P88" s="55"/>
      <c r="Q88" s="64"/>
      <c r="R88" s="55" t="s">
        <v>1</v>
      </c>
      <c r="S88" s="192"/>
    </row>
    <row r="89" spans="1:34" s="94" customFormat="1" ht="43.5" customHeight="1" x14ac:dyDescent="0.25">
      <c r="A89" s="54" t="s">
        <v>253</v>
      </c>
      <c r="B89" s="55" t="s">
        <v>126</v>
      </c>
      <c r="C89" s="66" t="s">
        <v>357</v>
      </c>
      <c r="D89" s="66" t="s">
        <v>357</v>
      </c>
      <c r="E89" s="66" t="s">
        <v>412</v>
      </c>
      <c r="F89" s="66" t="s">
        <v>41</v>
      </c>
      <c r="G89" s="59">
        <v>1</v>
      </c>
      <c r="H89" s="99"/>
      <c r="I89" s="65">
        <f>'[6]PEP US$'!$N$50+'[6]PEP US$'!$Q$50</f>
        <v>737500</v>
      </c>
      <c r="J89" s="101">
        <v>1</v>
      </c>
      <c r="K89" s="101">
        <v>0</v>
      </c>
      <c r="L89" s="59" t="s">
        <v>335</v>
      </c>
      <c r="M89" s="59" t="s">
        <v>2</v>
      </c>
      <c r="N89" s="108" t="s">
        <v>358</v>
      </c>
      <c r="O89" s="108" t="s">
        <v>359</v>
      </c>
      <c r="P89" s="59"/>
      <c r="Q89" s="99"/>
      <c r="R89" s="59" t="s">
        <v>1</v>
      </c>
      <c r="S89" s="91"/>
      <c r="T89" s="93"/>
      <c r="U89" s="93"/>
      <c r="V89" s="93"/>
      <c r="W89" s="93"/>
      <c r="X89" s="93"/>
      <c r="Y89" s="93"/>
      <c r="Z89" s="93"/>
      <c r="AA89" s="93"/>
      <c r="AB89" s="93"/>
      <c r="AC89" s="93"/>
      <c r="AD89" s="93"/>
    </row>
    <row r="90" spans="1:34" s="93" customFormat="1" ht="99" customHeight="1" x14ac:dyDescent="0.25">
      <c r="A90" s="54" t="s">
        <v>254</v>
      </c>
      <c r="B90" s="55" t="s">
        <v>126</v>
      </c>
      <c r="C90" s="66" t="s">
        <v>498</v>
      </c>
      <c r="D90" s="66" t="s">
        <v>500</v>
      </c>
      <c r="E90" s="66" t="s">
        <v>340</v>
      </c>
      <c r="F90" s="66" t="s">
        <v>41</v>
      </c>
      <c r="G90" s="59">
        <v>1</v>
      </c>
      <c r="H90" s="99"/>
      <c r="I90" s="100">
        <f>'[6]PEP US$'!$N$79+'[6]PEP US$'!$Q$79</f>
        <v>462500</v>
      </c>
      <c r="J90" s="101">
        <v>1</v>
      </c>
      <c r="K90" s="101">
        <v>0</v>
      </c>
      <c r="L90" s="59" t="s">
        <v>335</v>
      </c>
      <c r="M90" s="59" t="s">
        <v>3</v>
      </c>
      <c r="N90" s="102">
        <v>43132</v>
      </c>
      <c r="O90" s="102">
        <v>43282</v>
      </c>
      <c r="P90" s="59"/>
      <c r="Q90" s="99"/>
      <c r="R90" s="59" t="s">
        <v>1</v>
      </c>
      <c r="S90" s="91"/>
    </row>
    <row r="91" spans="1:34" s="94" customFormat="1" ht="84" customHeight="1" x14ac:dyDescent="0.25">
      <c r="A91" s="54" t="s">
        <v>255</v>
      </c>
      <c r="B91" s="55" t="s">
        <v>126</v>
      </c>
      <c r="C91" s="66" t="s">
        <v>376</v>
      </c>
      <c r="D91" s="66" t="s">
        <v>360</v>
      </c>
      <c r="E91" s="66" t="s">
        <v>340</v>
      </c>
      <c r="F91" s="66" t="s">
        <v>41</v>
      </c>
      <c r="G91" s="59">
        <v>1</v>
      </c>
      <c r="H91" s="99"/>
      <c r="I91" s="100">
        <f>'[7]PEP US$'!$N$84+'[7]PEP US$'!$N$85+'[7]PEP US$'!$Q$84+'[7]PEP US$'!$Q$85</f>
        <v>0</v>
      </c>
      <c r="J91" s="101">
        <v>0</v>
      </c>
      <c r="K91" s="101">
        <v>0</v>
      </c>
      <c r="L91" s="59" t="s">
        <v>335</v>
      </c>
      <c r="M91" s="59" t="s">
        <v>2</v>
      </c>
      <c r="N91" s="102">
        <v>43831</v>
      </c>
      <c r="O91" s="102">
        <v>43983</v>
      </c>
      <c r="P91" s="59"/>
      <c r="Q91" s="99"/>
      <c r="R91" s="59" t="s">
        <v>1</v>
      </c>
      <c r="S91" s="91"/>
      <c r="T91" s="93"/>
      <c r="U91" s="93"/>
      <c r="V91" s="93"/>
      <c r="W91" s="93"/>
      <c r="X91" s="93"/>
      <c r="Y91" s="93"/>
      <c r="Z91" s="93"/>
      <c r="AA91" s="93"/>
      <c r="AB91" s="93"/>
      <c r="AC91" s="93"/>
      <c r="AD91" s="93"/>
    </row>
    <row r="92" spans="1:34" s="94" customFormat="1" ht="129.75" customHeight="1" x14ac:dyDescent="0.25">
      <c r="A92" s="54" t="s">
        <v>429</v>
      </c>
      <c r="B92" s="55" t="s">
        <v>126</v>
      </c>
      <c r="C92" s="67" t="s">
        <v>425</v>
      </c>
      <c r="D92" s="67" t="s">
        <v>430</v>
      </c>
      <c r="E92" s="49" t="s">
        <v>431</v>
      </c>
      <c r="F92" s="66" t="s">
        <v>76</v>
      </c>
      <c r="G92" s="55">
        <v>1</v>
      </c>
      <c r="H92" s="65"/>
      <c r="I92" s="140">
        <f>'[7]PEP US$'!$N$43+'[7]PEP US$'!$Q$43</f>
        <v>0</v>
      </c>
      <c r="J92" s="58">
        <v>0</v>
      </c>
      <c r="K92" s="58">
        <v>0</v>
      </c>
      <c r="L92" s="55">
        <v>2</v>
      </c>
      <c r="M92" s="55" t="s">
        <v>2</v>
      </c>
      <c r="N92" s="60">
        <v>44197</v>
      </c>
      <c r="O92" s="60">
        <v>44348</v>
      </c>
      <c r="P92" s="55"/>
      <c r="Q92" s="64"/>
      <c r="R92" s="55" t="s">
        <v>1</v>
      </c>
      <c r="S92" s="91"/>
      <c r="T92" s="93"/>
      <c r="U92" s="93"/>
      <c r="V92" s="93"/>
      <c r="W92" s="93"/>
      <c r="X92" s="93"/>
      <c r="Y92" s="93"/>
      <c r="Z92" s="93"/>
      <c r="AA92" s="93"/>
      <c r="AB92" s="93"/>
      <c r="AC92" s="93"/>
      <c r="AD92" s="93"/>
    </row>
    <row r="93" spans="1:34" s="94" customFormat="1" ht="99.75" customHeight="1" x14ac:dyDescent="0.25">
      <c r="A93" s="54" t="s">
        <v>449</v>
      </c>
      <c r="B93" s="55" t="s">
        <v>126</v>
      </c>
      <c r="C93" s="67" t="s">
        <v>450</v>
      </c>
      <c r="D93" s="67" t="s">
        <v>451</v>
      </c>
      <c r="E93" s="67" t="s">
        <v>452</v>
      </c>
      <c r="F93" s="66" t="s">
        <v>76</v>
      </c>
      <c r="G93" s="55"/>
      <c r="H93" s="65"/>
      <c r="I93" s="140">
        <f>'[6]PEP US$'!$Q$13</f>
        <v>78125</v>
      </c>
      <c r="J93" s="58">
        <v>1</v>
      </c>
      <c r="K93" s="58">
        <v>0</v>
      </c>
      <c r="L93" s="55">
        <v>2</v>
      </c>
      <c r="M93" s="55" t="s">
        <v>3</v>
      </c>
      <c r="N93" s="61" t="s">
        <v>453</v>
      </c>
      <c r="O93" s="61" t="s">
        <v>454</v>
      </c>
      <c r="P93" s="55"/>
      <c r="Q93" s="64"/>
      <c r="R93" s="55" t="s">
        <v>1</v>
      </c>
      <c r="S93" s="91"/>
      <c r="T93" s="93"/>
      <c r="U93" s="93"/>
      <c r="V93" s="93"/>
      <c r="W93" s="93"/>
      <c r="X93" s="93"/>
      <c r="Y93" s="93"/>
      <c r="Z93" s="93"/>
      <c r="AA93" s="93"/>
      <c r="AB93" s="93"/>
      <c r="AC93" s="93"/>
      <c r="AD93" s="93"/>
    </row>
    <row r="94" spans="1:34" s="6" customFormat="1" ht="47.25" x14ac:dyDescent="0.25">
      <c r="A94" s="54" t="s">
        <v>490</v>
      </c>
      <c r="B94" s="55" t="s">
        <v>126</v>
      </c>
      <c r="C94" s="67" t="s">
        <v>318</v>
      </c>
      <c r="D94" s="67" t="s">
        <v>318</v>
      </c>
      <c r="E94" s="49" t="s">
        <v>315</v>
      </c>
      <c r="F94" s="49" t="s">
        <v>76</v>
      </c>
      <c r="G94" s="55">
        <v>1</v>
      </c>
      <c r="H94" s="64"/>
      <c r="I94" s="65">
        <v>25000</v>
      </c>
      <c r="J94" s="58">
        <v>1</v>
      </c>
      <c r="K94" s="58">
        <v>0</v>
      </c>
      <c r="L94" s="55">
        <v>2</v>
      </c>
      <c r="M94" s="55" t="s">
        <v>2</v>
      </c>
      <c r="N94" s="62" t="s">
        <v>229</v>
      </c>
      <c r="O94" s="62" t="s">
        <v>237</v>
      </c>
      <c r="P94" s="55"/>
      <c r="Q94" s="64"/>
      <c r="R94" s="55" t="s">
        <v>1</v>
      </c>
      <c r="S94" s="91"/>
      <c r="T94" s="93"/>
      <c r="U94" s="93"/>
      <c r="V94" s="93"/>
      <c r="W94" s="93"/>
      <c r="X94" s="93"/>
      <c r="Y94" s="93"/>
      <c r="Z94" s="93"/>
      <c r="AA94" s="93"/>
      <c r="AB94" s="93"/>
      <c r="AC94" s="93"/>
      <c r="AD94" s="93"/>
      <c r="AE94" s="93"/>
      <c r="AF94" s="93"/>
      <c r="AG94" s="93"/>
      <c r="AH94" s="93"/>
    </row>
    <row r="95" spans="1:34" s="84" customFormat="1" x14ac:dyDescent="0.25">
      <c r="A95" s="68"/>
      <c r="B95" s="68"/>
      <c r="C95" s="132"/>
      <c r="D95" s="132"/>
      <c r="E95" s="132"/>
      <c r="F95" s="132"/>
      <c r="G95" s="68"/>
      <c r="H95" s="133"/>
      <c r="I95" s="134"/>
      <c r="J95" s="135"/>
      <c r="K95" s="135"/>
      <c r="L95" s="133"/>
      <c r="M95" s="68"/>
      <c r="N95" s="68"/>
      <c r="O95" s="68"/>
      <c r="P95" s="68"/>
      <c r="Q95" s="133"/>
      <c r="R95" s="55"/>
      <c r="S95" s="91"/>
      <c r="T95" s="93"/>
      <c r="U95" s="93"/>
      <c r="V95" s="93"/>
      <c r="W95" s="93"/>
      <c r="X95" s="93"/>
      <c r="Y95" s="93"/>
      <c r="Z95" s="93"/>
      <c r="AA95" s="93"/>
      <c r="AB95" s="93"/>
      <c r="AC95" s="93"/>
      <c r="AD95" s="93"/>
    </row>
    <row r="96" spans="1:34" ht="15.75" customHeight="1" x14ac:dyDescent="0.25">
      <c r="A96" s="53">
        <v>5</v>
      </c>
      <c r="B96" s="498" t="s">
        <v>51</v>
      </c>
      <c r="C96" s="499"/>
      <c r="D96" s="499"/>
      <c r="E96" s="499"/>
      <c r="F96" s="499"/>
      <c r="G96" s="499"/>
      <c r="H96" s="499"/>
      <c r="I96" s="50">
        <f>SUM(I97:I102)</f>
        <v>218750</v>
      </c>
      <c r="J96" s="47"/>
      <c r="K96" s="47"/>
      <c r="L96" s="47"/>
      <c r="M96" s="47"/>
      <c r="N96" s="47"/>
      <c r="O96" s="47"/>
      <c r="P96" s="47"/>
      <c r="Q96" s="47"/>
      <c r="R96" s="48"/>
      <c r="S96" s="91"/>
      <c r="T96" s="91"/>
      <c r="U96" s="91"/>
      <c r="V96" s="93"/>
      <c r="W96" s="93"/>
      <c r="X96" s="93"/>
      <c r="Y96" s="93"/>
      <c r="Z96" s="93"/>
      <c r="AA96" s="93"/>
      <c r="AB96" s="93"/>
      <c r="AC96" s="93"/>
      <c r="AD96" s="93"/>
    </row>
    <row r="97" spans="1:34" s="93" customFormat="1" ht="47.25" x14ac:dyDescent="0.25">
      <c r="A97" s="54" t="s">
        <v>130</v>
      </c>
      <c r="B97" s="59" t="s">
        <v>126</v>
      </c>
      <c r="C97" s="66" t="s">
        <v>338</v>
      </c>
      <c r="D97" s="66" t="s">
        <v>339</v>
      </c>
      <c r="E97" s="49" t="s">
        <v>340</v>
      </c>
      <c r="F97" s="66" t="s">
        <v>81</v>
      </c>
      <c r="G97" s="59">
        <v>1</v>
      </c>
      <c r="H97" s="99"/>
      <c r="I97" s="140">
        <v>119550.91</v>
      </c>
      <c r="J97" s="101">
        <v>1</v>
      </c>
      <c r="K97" s="101">
        <v>0</v>
      </c>
      <c r="L97" s="59" t="s">
        <v>340</v>
      </c>
      <c r="M97" s="59" t="s">
        <v>2</v>
      </c>
      <c r="N97" s="102">
        <v>43101</v>
      </c>
      <c r="O97" s="102">
        <v>43221</v>
      </c>
      <c r="P97" s="59"/>
      <c r="Q97" s="99"/>
      <c r="R97" s="59"/>
      <c r="S97" s="91"/>
    </row>
    <row r="98" spans="1:34" s="93" customFormat="1" ht="47.25" x14ac:dyDescent="0.25">
      <c r="A98" s="54" t="s">
        <v>341</v>
      </c>
      <c r="B98" s="59" t="s">
        <v>126</v>
      </c>
      <c r="C98" s="66" t="s">
        <v>342</v>
      </c>
      <c r="D98" s="66" t="s">
        <v>343</v>
      </c>
      <c r="E98" s="49" t="s">
        <v>340</v>
      </c>
      <c r="F98" s="66" t="s">
        <v>31</v>
      </c>
      <c r="G98" s="59">
        <v>1</v>
      </c>
      <c r="H98" s="99"/>
      <c r="I98" s="140">
        <v>39824.089999999997</v>
      </c>
      <c r="J98" s="101">
        <v>1</v>
      </c>
      <c r="K98" s="101">
        <v>0</v>
      </c>
      <c r="L98" s="59" t="s">
        <v>340</v>
      </c>
      <c r="M98" s="59" t="s">
        <v>2</v>
      </c>
      <c r="N98" s="102">
        <v>43525</v>
      </c>
      <c r="O98" s="102">
        <v>43525</v>
      </c>
      <c r="P98" s="59"/>
      <c r="Q98" s="99"/>
      <c r="R98" s="59"/>
      <c r="S98" s="91"/>
    </row>
    <row r="99" spans="1:34" s="224" customFormat="1" ht="55.5" customHeight="1" x14ac:dyDescent="0.25">
      <c r="A99" s="206" t="s">
        <v>347</v>
      </c>
      <c r="B99" s="207" t="s">
        <v>126</v>
      </c>
      <c r="C99" s="208" t="s">
        <v>415</v>
      </c>
      <c r="D99" s="208" t="s">
        <v>416</v>
      </c>
      <c r="E99" s="208" t="s">
        <v>340</v>
      </c>
      <c r="F99" s="208" t="s">
        <v>31</v>
      </c>
      <c r="G99" s="207">
        <v>1</v>
      </c>
      <c r="H99" s="209"/>
      <c r="I99" s="221">
        <v>40625</v>
      </c>
      <c r="J99" s="210">
        <v>1</v>
      </c>
      <c r="K99" s="210">
        <v>0</v>
      </c>
      <c r="L99" s="207" t="s">
        <v>340</v>
      </c>
      <c r="M99" s="207" t="s">
        <v>2</v>
      </c>
      <c r="N99" s="222">
        <v>43525</v>
      </c>
      <c r="O99" s="222">
        <v>43525</v>
      </c>
      <c r="P99" s="207"/>
      <c r="Q99" s="209"/>
      <c r="R99" s="207"/>
      <c r="S99" s="223"/>
    </row>
    <row r="100" spans="1:34" s="93" customFormat="1" ht="47.25" x14ac:dyDescent="0.25">
      <c r="A100" s="54" t="s">
        <v>348</v>
      </c>
      <c r="B100" s="59" t="s">
        <v>126</v>
      </c>
      <c r="C100" s="66" t="s">
        <v>428</v>
      </c>
      <c r="D100" s="66" t="s">
        <v>406</v>
      </c>
      <c r="E100" s="49" t="s">
        <v>340</v>
      </c>
      <c r="F100" s="66" t="s">
        <v>31</v>
      </c>
      <c r="G100" s="59"/>
      <c r="H100" s="99"/>
      <c r="I100" s="140">
        <v>18750</v>
      </c>
      <c r="J100" s="101">
        <v>1</v>
      </c>
      <c r="K100" s="101">
        <v>0</v>
      </c>
      <c r="L100" s="59" t="s">
        <v>340</v>
      </c>
      <c r="M100" s="59" t="s">
        <v>2</v>
      </c>
      <c r="N100" s="102">
        <v>43525</v>
      </c>
      <c r="O100" s="102">
        <v>43160</v>
      </c>
      <c r="P100" s="59"/>
      <c r="Q100" s="99"/>
      <c r="R100" s="59"/>
      <c r="S100" s="91"/>
    </row>
    <row r="101" spans="1:34" s="93" customFormat="1" ht="54.75" customHeight="1" x14ac:dyDescent="0.25">
      <c r="A101" s="54" t="s">
        <v>407</v>
      </c>
      <c r="B101" s="59" t="s">
        <v>126</v>
      </c>
      <c r="C101" s="66" t="s">
        <v>349</v>
      </c>
      <c r="D101" s="66" t="s">
        <v>349</v>
      </c>
      <c r="E101" s="66" t="s">
        <v>340</v>
      </c>
      <c r="F101" s="66" t="s">
        <v>81</v>
      </c>
      <c r="G101" s="59">
        <v>1</v>
      </c>
      <c r="H101" s="99"/>
      <c r="I101" s="65">
        <v>0</v>
      </c>
      <c r="J101" s="101">
        <v>0</v>
      </c>
      <c r="K101" s="101">
        <v>0</v>
      </c>
      <c r="L101" s="59" t="s">
        <v>340</v>
      </c>
      <c r="M101" s="59" t="s">
        <v>2</v>
      </c>
      <c r="N101" s="102">
        <v>43831</v>
      </c>
      <c r="O101" s="102">
        <v>43862</v>
      </c>
      <c r="P101" s="59"/>
      <c r="Q101" s="99"/>
      <c r="R101" s="59"/>
      <c r="S101" s="91"/>
    </row>
    <row r="102" spans="1:34" s="93" customFormat="1" ht="46.5" customHeight="1" x14ac:dyDescent="0.25">
      <c r="A102" s="54" t="s">
        <v>447</v>
      </c>
      <c r="B102" s="59" t="s">
        <v>126</v>
      </c>
      <c r="C102" s="66" t="s">
        <v>350</v>
      </c>
      <c r="D102" s="66" t="s">
        <v>350</v>
      </c>
      <c r="E102" s="66" t="s">
        <v>340</v>
      </c>
      <c r="F102" s="66" t="s">
        <v>81</v>
      </c>
      <c r="G102" s="59">
        <v>1</v>
      </c>
      <c r="H102" s="99"/>
      <c r="I102" s="65">
        <v>0</v>
      </c>
      <c r="J102" s="101">
        <v>0</v>
      </c>
      <c r="K102" s="101">
        <v>0</v>
      </c>
      <c r="L102" s="59" t="s">
        <v>340</v>
      </c>
      <c r="M102" s="59" t="s">
        <v>2</v>
      </c>
      <c r="N102" s="102">
        <v>44593</v>
      </c>
      <c r="O102" s="102">
        <v>44621</v>
      </c>
      <c r="P102" s="59"/>
      <c r="Q102" s="99"/>
      <c r="R102" s="59"/>
      <c r="S102" s="91"/>
    </row>
    <row r="103" spans="1:34" s="84" customFormat="1" ht="16.5" customHeight="1" x14ac:dyDescent="0.25">
      <c r="A103" s="68"/>
      <c r="B103" s="68"/>
      <c r="C103" s="132"/>
      <c r="D103" s="132"/>
      <c r="E103" s="132"/>
      <c r="F103" s="132"/>
      <c r="G103" s="68"/>
      <c r="H103" s="133"/>
      <c r="I103" s="134"/>
      <c r="J103" s="135"/>
      <c r="K103" s="135"/>
      <c r="L103" s="133"/>
      <c r="M103" s="68"/>
      <c r="N103" s="68"/>
      <c r="O103" s="68"/>
      <c r="P103" s="68"/>
      <c r="Q103" s="133"/>
      <c r="R103" s="68"/>
      <c r="S103" s="91"/>
      <c r="T103" s="93"/>
      <c r="U103" s="93"/>
      <c r="V103" s="93"/>
      <c r="W103" s="93"/>
      <c r="X103" s="93"/>
      <c r="Y103" s="93"/>
      <c r="Z103" s="93"/>
      <c r="AA103" s="93"/>
      <c r="AB103" s="93"/>
      <c r="AC103" s="93"/>
      <c r="AD103" s="93"/>
    </row>
    <row r="104" spans="1:34" ht="15.75" customHeight="1" x14ac:dyDescent="0.25">
      <c r="A104" s="53">
        <v>6</v>
      </c>
      <c r="B104" s="498" t="s">
        <v>11</v>
      </c>
      <c r="C104" s="499"/>
      <c r="D104" s="499"/>
      <c r="E104" s="499"/>
      <c r="F104" s="499"/>
      <c r="G104" s="499"/>
      <c r="H104" s="499"/>
      <c r="I104" s="50">
        <f>SUM(I105:I109)</f>
        <v>31250</v>
      </c>
      <c r="J104" s="47"/>
      <c r="K104" s="47"/>
      <c r="L104" s="47"/>
      <c r="M104" s="47"/>
      <c r="N104" s="47"/>
      <c r="O104" s="47"/>
      <c r="P104" s="47"/>
      <c r="Q104" s="47"/>
      <c r="R104" s="48"/>
      <c r="S104" s="91"/>
      <c r="T104" s="91"/>
      <c r="U104" s="91"/>
      <c r="V104" s="93"/>
      <c r="W104" s="93"/>
      <c r="X104" s="93"/>
      <c r="Y104" s="93"/>
      <c r="Z104" s="93"/>
      <c r="AA104" s="93"/>
      <c r="AB104" s="93"/>
      <c r="AC104" s="93"/>
      <c r="AD104" s="93"/>
    </row>
    <row r="105" spans="1:34" s="6" customFormat="1" ht="63" x14ac:dyDescent="0.25">
      <c r="A105" s="54" t="s">
        <v>143</v>
      </c>
      <c r="B105" s="55" t="s">
        <v>126</v>
      </c>
      <c r="C105" s="66" t="s">
        <v>226</v>
      </c>
      <c r="D105" s="66" t="s">
        <v>182</v>
      </c>
      <c r="E105" s="49" t="s">
        <v>227</v>
      </c>
      <c r="F105" s="49" t="s">
        <v>77</v>
      </c>
      <c r="G105" s="55">
        <v>1</v>
      </c>
      <c r="H105" s="55"/>
      <c r="I105" s="65">
        <f>50000/3.2</f>
        <v>15625</v>
      </c>
      <c r="J105" s="101">
        <v>1</v>
      </c>
      <c r="K105" s="58">
        <v>0</v>
      </c>
      <c r="L105" s="55">
        <v>2</v>
      </c>
      <c r="M105" s="55" t="s">
        <v>2</v>
      </c>
      <c r="N105" s="62" t="s">
        <v>232</v>
      </c>
      <c r="O105" s="62" t="s">
        <v>237</v>
      </c>
      <c r="P105" s="55"/>
      <c r="Q105" s="64"/>
      <c r="R105" s="55" t="s">
        <v>1</v>
      </c>
      <c r="S105" s="91"/>
      <c r="T105" s="93"/>
      <c r="U105" s="93"/>
      <c r="V105" s="93"/>
      <c r="W105" s="93"/>
      <c r="X105" s="93"/>
      <c r="Y105" s="93"/>
      <c r="Z105" s="93"/>
      <c r="AA105" s="93"/>
      <c r="AB105" s="93"/>
      <c r="AC105" s="93"/>
      <c r="AD105" s="93"/>
      <c r="AE105" s="93"/>
      <c r="AF105" s="93"/>
      <c r="AG105" s="93"/>
      <c r="AH105" s="93"/>
    </row>
    <row r="106" spans="1:34" s="6" customFormat="1" ht="31.5" x14ac:dyDescent="0.25">
      <c r="A106" s="54" t="s">
        <v>193</v>
      </c>
      <c r="B106" s="55" t="s">
        <v>126</v>
      </c>
      <c r="C106" s="129" t="s">
        <v>292</v>
      </c>
      <c r="D106" s="129" t="s">
        <v>292</v>
      </c>
      <c r="E106" s="49" t="s">
        <v>290</v>
      </c>
      <c r="F106" s="49" t="s">
        <v>76</v>
      </c>
      <c r="G106" s="55">
        <v>1</v>
      </c>
      <c r="H106" s="65"/>
      <c r="I106" s="140">
        <v>0</v>
      </c>
      <c r="J106" s="58">
        <v>0</v>
      </c>
      <c r="K106" s="58">
        <v>0</v>
      </c>
      <c r="L106" s="55">
        <v>2</v>
      </c>
      <c r="M106" s="55" t="s">
        <v>2</v>
      </c>
      <c r="N106" s="62" t="s">
        <v>327</v>
      </c>
      <c r="O106" s="62" t="s">
        <v>328</v>
      </c>
      <c r="P106" s="55"/>
      <c r="Q106" s="64"/>
      <c r="R106" s="55"/>
      <c r="S106" s="91"/>
      <c r="T106" s="93"/>
      <c r="U106" s="93"/>
      <c r="V106" s="93"/>
      <c r="W106" s="93"/>
      <c r="X106" s="93"/>
      <c r="Y106" s="93"/>
      <c r="Z106" s="93"/>
      <c r="AA106" s="93"/>
      <c r="AB106" s="93"/>
      <c r="AC106" s="93"/>
      <c r="AD106" s="93"/>
      <c r="AE106" s="93"/>
      <c r="AF106" s="93"/>
      <c r="AG106" s="93"/>
      <c r="AH106" s="93"/>
    </row>
    <row r="107" spans="1:34" s="6" customFormat="1" ht="63" x14ac:dyDescent="0.25">
      <c r="A107" s="54" t="s">
        <v>198</v>
      </c>
      <c r="B107" s="55" t="s">
        <v>126</v>
      </c>
      <c r="C107" s="109" t="s">
        <v>307</v>
      </c>
      <c r="D107" s="109" t="s">
        <v>307</v>
      </c>
      <c r="E107" s="49" t="s">
        <v>306</v>
      </c>
      <c r="F107" s="49" t="s">
        <v>77</v>
      </c>
      <c r="G107" s="55">
        <v>1</v>
      </c>
      <c r="H107" s="55"/>
      <c r="I107" s="65">
        <f>'[7]PEP US$'!$N$68+'[7]PEP US$'!$Q$68</f>
        <v>0</v>
      </c>
      <c r="J107" s="101">
        <v>0</v>
      </c>
      <c r="K107" s="58">
        <v>0</v>
      </c>
      <c r="L107" s="55">
        <v>2</v>
      </c>
      <c r="M107" s="55" t="s">
        <v>2</v>
      </c>
      <c r="N107" s="62" t="s">
        <v>232</v>
      </c>
      <c r="O107" s="62" t="s">
        <v>237</v>
      </c>
      <c r="P107" s="55"/>
      <c r="Q107" s="64"/>
      <c r="R107" s="55" t="s">
        <v>1</v>
      </c>
      <c r="S107" s="91"/>
      <c r="T107" s="93"/>
      <c r="U107" s="93"/>
      <c r="V107" s="93"/>
      <c r="W107" s="93"/>
      <c r="X107" s="93"/>
      <c r="Y107" s="93"/>
      <c r="Z107" s="93"/>
      <c r="AA107" s="93"/>
      <c r="AB107" s="93"/>
      <c r="AC107" s="93"/>
      <c r="AD107" s="93"/>
      <c r="AE107" s="93"/>
      <c r="AF107" s="93"/>
      <c r="AG107" s="93"/>
      <c r="AH107" s="93"/>
    </row>
    <row r="108" spans="1:34" s="95" customFormat="1" ht="47.25" x14ac:dyDescent="0.25">
      <c r="A108" s="54" t="s">
        <v>256</v>
      </c>
      <c r="B108" s="55" t="s">
        <v>126</v>
      </c>
      <c r="C108" s="66" t="s">
        <v>316</v>
      </c>
      <c r="D108" s="66" t="s">
        <v>317</v>
      </c>
      <c r="E108" s="49" t="s">
        <v>315</v>
      </c>
      <c r="F108" s="49" t="s">
        <v>77</v>
      </c>
      <c r="G108" s="55">
        <v>1</v>
      </c>
      <c r="H108" s="55"/>
      <c r="I108" s="65">
        <v>15625</v>
      </c>
      <c r="J108" s="101">
        <v>1</v>
      </c>
      <c r="K108" s="58">
        <v>0</v>
      </c>
      <c r="L108" s="55">
        <v>2</v>
      </c>
      <c r="M108" s="55" t="s">
        <v>2</v>
      </c>
      <c r="N108" s="62" t="s">
        <v>232</v>
      </c>
      <c r="O108" s="62" t="s">
        <v>237</v>
      </c>
      <c r="P108" s="55"/>
      <c r="Q108" s="64"/>
      <c r="R108" s="55" t="s">
        <v>1</v>
      </c>
      <c r="S108" s="91"/>
      <c r="T108" s="93"/>
      <c r="U108" s="93"/>
      <c r="V108" s="93"/>
      <c r="W108" s="93"/>
      <c r="X108" s="93"/>
      <c r="Y108" s="93"/>
      <c r="Z108" s="93"/>
      <c r="AA108" s="93"/>
      <c r="AB108" s="93"/>
      <c r="AC108" s="93"/>
      <c r="AD108" s="93"/>
      <c r="AE108" s="94"/>
      <c r="AF108" s="94"/>
      <c r="AG108" s="94"/>
      <c r="AH108" s="94"/>
    </row>
    <row r="109" spans="1:34" s="95" customFormat="1" ht="47.25" x14ac:dyDescent="0.25">
      <c r="A109" s="54" t="s">
        <v>257</v>
      </c>
      <c r="B109" s="55" t="s">
        <v>126</v>
      </c>
      <c r="C109" s="49" t="s">
        <v>225</v>
      </c>
      <c r="D109" s="49" t="s">
        <v>321</v>
      </c>
      <c r="E109" s="49" t="s">
        <v>320</v>
      </c>
      <c r="F109" s="49" t="s">
        <v>77</v>
      </c>
      <c r="G109" s="55">
        <v>1</v>
      </c>
      <c r="H109" s="55"/>
      <c r="I109" s="65">
        <v>0</v>
      </c>
      <c r="J109" s="101">
        <v>0</v>
      </c>
      <c r="K109" s="58">
        <v>0</v>
      </c>
      <c r="L109" s="55">
        <v>2</v>
      </c>
      <c r="M109" s="55" t="s">
        <v>2</v>
      </c>
      <c r="N109" s="62" t="s">
        <v>228</v>
      </c>
      <c r="O109" s="62" t="s">
        <v>229</v>
      </c>
      <c r="P109" s="55"/>
      <c r="Q109" s="64"/>
      <c r="R109" s="55" t="s">
        <v>1</v>
      </c>
      <c r="S109" s="91"/>
      <c r="T109" s="93"/>
      <c r="U109" s="93"/>
      <c r="V109" s="93"/>
      <c r="W109" s="93"/>
      <c r="X109" s="93"/>
      <c r="Y109" s="93"/>
      <c r="Z109" s="93"/>
      <c r="AA109" s="93"/>
      <c r="AB109" s="93"/>
      <c r="AC109" s="93"/>
      <c r="AD109" s="93"/>
      <c r="AE109" s="94"/>
      <c r="AF109" s="94"/>
      <c r="AG109" s="94"/>
      <c r="AH109" s="94"/>
    </row>
    <row r="110" spans="1:34" s="95" customFormat="1" x14ac:dyDescent="0.25">
      <c r="A110" s="74"/>
      <c r="B110" s="190"/>
      <c r="C110" s="75"/>
      <c r="D110" s="75"/>
      <c r="E110" s="75"/>
      <c r="F110" s="75"/>
      <c r="G110" s="190"/>
      <c r="H110" s="190"/>
      <c r="I110" s="76"/>
      <c r="J110" s="77"/>
      <c r="K110" s="78"/>
      <c r="L110" s="190"/>
      <c r="M110" s="190"/>
      <c r="N110" s="79"/>
      <c r="O110" s="79"/>
      <c r="P110" s="190"/>
      <c r="Q110" s="14"/>
      <c r="R110" s="190"/>
      <c r="S110" s="91"/>
      <c r="T110" s="93"/>
      <c r="U110" s="93"/>
      <c r="V110" s="93"/>
      <c r="W110" s="93"/>
      <c r="X110" s="93"/>
      <c r="Y110" s="93"/>
      <c r="Z110" s="93"/>
      <c r="AA110" s="93"/>
      <c r="AB110" s="93"/>
      <c r="AC110" s="93"/>
      <c r="AD110" s="93"/>
      <c r="AE110" s="94"/>
      <c r="AF110" s="94"/>
      <c r="AG110" s="94"/>
      <c r="AH110" s="94"/>
    </row>
    <row r="111" spans="1:34" ht="15.75" customHeight="1" x14ac:dyDescent="0.25">
      <c r="A111" s="53">
        <v>7</v>
      </c>
      <c r="B111" s="498" t="s">
        <v>12</v>
      </c>
      <c r="C111" s="499"/>
      <c r="D111" s="499"/>
      <c r="E111" s="499"/>
      <c r="F111" s="499"/>
      <c r="G111" s="499"/>
      <c r="H111" s="499"/>
      <c r="I111" s="50"/>
      <c r="J111" s="47"/>
      <c r="K111" s="47"/>
      <c r="L111" s="47"/>
      <c r="M111" s="47"/>
      <c r="N111" s="47"/>
      <c r="O111" s="47"/>
      <c r="P111" s="47"/>
      <c r="Q111" s="47"/>
      <c r="R111" s="48"/>
      <c r="S111" s="91"/>
      <c r="T111" s="91"/>
      <c r="U111" s="91"/>
      <c r="V111" s="93"/>
      <c r="W111" s="93"/>
      <c r="X111" s="93"/>
      <c r="Y111" s="93"/>
      <c r="Z111" s="93"/>
      <c r="AA111" s="93"/>
      <c r="AB111" s="93"/>
      <c r="AC111" s="93"/>
      <c r="AD111" s="93"/>
    </row>
    <row r="112" spans="1:34" x14ac:dyDescent="0.25">
      <c r="A112" s="54" t="s">
        <v>144</v>
      </c>
      <c r="B112" s="55"/>
      <c r="C112" s="49"/>
      <c r="D112" s="49"/>
      <c r="E112" s="49"/>
      <c r="F112" s="49"/>
      <c r="G112" s="55"/>
      <c r="H112" s="55"/>
      <c r="I112" s="65"/>
      <c r="J112" s="55"/>
      <c r="K112" s="73"/>
      <c r="L112" s="80"/>
      <c r="M112" s="58"/>
      <c r="N112" s="55"/>
      <c r="O112" s="55"/>
      <c r="P112" s="55"/>
      <c r="Q112" s="64"/>
      <c r="R112" s="55"/>
      <c r="S112" s="91"/>
      <c r="T112" s="93"/>
      <c r="U112" s="93"/>
      <c r="V112" s="93"/>
      <c r="W112" s="93"/>
      <c r="X112" s="93"/>
      <c r="Y112" s="93"/>
      <c r="Z112" s="93"/>
      <c r="AA112" s="93"/>
      <c r="AB112" s="93"/>
      <c r="AC112" s="93"/>
      <c r="AD112" s="93"/>
    </row>
    <row r="113" spans="1:30" s="84" customFormat="1" x14ac:dyDescent="0.25">
      <c r="A113" s="68"/>
      <c r="B113" s="68"/>
      <c r="C113" s="132"/>
      <c r="D113" s="132"/>
      <c r="E113" s="132"/>
      <c r="F113" s="132"/>
      <c r="G113" s="68"/>
      <c r="H113" s="133"/>
      <c r="I113" s="134"/>
      <c r="J113" s="135"/>
      <c r="K113" s="135"/>
      <c r="L113" s="133"/>
      <c r="M113" s="68"/>
      <c r="N113" s="68"/>
      <c r="O113" s="68"/>
      <c r="P113" s="68"/>
      <c r="Q113" s="133"/>
      <c r="R113" s="68"/>
      <c r="S113" s="93"/>
      <c r="T113" s="93"/>
      <c r="U113" s="93"/>
      <c r="V113" s="93"/>
      <c r="W113" s="93"/>
      <c r="X113" s="93"/>
      <c r="Y113" s="93"/>
      <c r="Z113" s="93"/>
      <c r="AA113" s="93"/>
      <c r="AB113" s="93"/>
      <c r="AC113" s="93"/>
      <c r="AD113" s="93"/>
    </row>
    <row r="114" spans="1:30" s="84" customFormat="1" x14ac:dyDescent="0.25">
      <c r="A114" s="185"/>
      <c r="B114" s="185"/>
      <c r="C114" s="508"/>
      <c r="D114" s="508"/>
      <c r="E114" s="189"/>
      <c r="F114" s="125"/>
      <c r="G114" s="185"/>
      <c r="H114" s="126"/>
      <c r="I114" s="127"/>
      <c r="J114" s="128"/>
      <c r="K114" s="128"/>
      <c r="L114" s="126"/>
      <c r="M114" s="185"/>
      <c r="N114" s="185"/>
      <c r="O114" s="185"/>
      <c r="P114" s="185"/>
      <c r="Q114" s="126"/>
      <c r="R114" s="185"/>
    </row>
    <row r="115" spans="1:30" s="84" customFormat="1" ht="18.75" x14ac:dyDescent="0.25">
      <c r="A115" s="185"/>
      <c r="B115" s="185"/>
      <c r="C115" s="125"/>
      <c r="D115" s="125"/>
      <c r="E115" s="125"/>
      <c r="F115" s="114" t="s">
        <v>419</v>
      </c>
      <c r="G115" s="118"/>
      <c r="H115" s="119"/>
      <c r="I115" s="120">
        <v>200000000</v>
      </c>
      <c r="J115" s="128"/>
      <c r="K115" s="128"/>
      <c r="L115" s="126"/>
      <c r="M115" s="185"/>
      <c r="N115" s="185"/>
      <c r="O115" s="185"/>
      <c r="P115" s="185"/>
      <c r="Q115" s="126"/>
      <c r="R115" s="185"/>
    </row>
    <row r="116" spans="1:30" x14ac:dyDescent="0.25">
      <c r="A116" s="81"/>
      <c r="B116" s="509" t="s">
        <v>74</v>
      </c>
      <c r="C116" s="188" t="s">
        <v>4</v>
      </c>
      <c r="D116" s="137"/>
      <c r="E116" s="137"/>
      <c r="F116" s="110"/>
      <c r="G116" s="111"/>
      <c r="H116" s="112"/>
      <c r="I116" s="113"/>
      <c r="J116" s="138"/>
      <c r="K116" s="138"/>
      <c r="L116" s="5"/>
      <c r="M116" s="81"/>
      <c r="N116" s="81"/>
      <c r="O116" s="81"/>
      <c r="P116" s="81"/>
      <c r="Q116" s="5"/>
      <c r="R116" s="81"/>
    </row>
    <row r="117" spans="1:30" ht="18.75" x14ac:dyDescent="0.25">
      <c r="A117" s="81"/>
      <c r="B117" s="510"/>
      <c r="C117" s="188" t="s">
        <v>2</v>
      </c>
      <c r="D117" s="137"/>
      <c r="E117" s="137"/>
      <c r="F117" s="114" t="s">
        <v>420</v>
      </c>
      <c r="G117" s="115"/>
      <c r="H117" s="116"/>
      <c r="I117" s="117">
        <f>+I104+I96+I44+I36+I18+I10</f>
        <v>14182331.921875</v>
      </c>
      <c r="J117" s="138"/>
      <c r="K117" s="138"/>
      <c r="L117" s="5"/>
      <c r="M117" s="81"/>
      <c r="N117" s="81"/>
      <c r="O117" s="81"/>
      <c r="P117" s="81"/>
      <c r="Q117" s="5"/>
      <c r="R117" s="81"/>
    </row>
    <row r="118" spans="1:30" ht="37.5" x14ac:dyDescent="0.25">
      <c r="A118" s="81"/>
      <c r="B118" s="511"/>
      <c r="C118" s="67" t="s">
        <v>3</v>
      </c>
      <c r="D118" s="137"/>
      <c r="E118" s="137"/>
      <c r="F118" s="114" t="s">
        <v>418</v>
      </c>
      <c r="G118" s="118"/>
      <c r="H118" s="119"/>
      <c r="I118" s="120">
        <f>15375000+5349667</f>
        <v>20724667</v>
      </c>
      <c r="J118" s="138"/>
      <c r="K118" s="138"/>
      <c r="L118" s="5"/>
      <c r="M118" s="81"/>
      <c r="N118" s="81"/>
      <c r="O118" s="81"/>
      <c r="P118" s="81"/>
      <c r="Q118" s="5"/>
      <c r="R118" s="81"/>
    </row>
    <row r="119" spans="1:30" ht="18.75" x14ac:dyDescent="0.25">
      <c r="A119" s="81"/>
      <c r="B119" s="81"/>
      <c r="C119" s="137"/>
      <c r="D119" s="137"/>
      <c r="E119" s="137"/>
      <c r="F119" s="176"/>
      <c r="G119" s="177"/>
      <c r="H119" s="178"/>
      <c r="I119" s="179"/>
      <c r="L119" s="5"/>
      <c r="M119" s="81"/>
      <c r="N119" s="81"/>
      <c r="O119" s="81"/>
      <c r="P119" s="81"/>
      <c r="Q119" s="5"/>
      <c r="R119" s="81"/>
    </row>
    <row r="120" spans="1:30" ht="18.75" x14ac:dyDescent="0.25">
      <c r="A120" s="81"/>
      <c r="B120" s="509" t="s">
        <v>15</v>
      </c>
      <c r="C120" s="188" t="s">
        <v>1</v>
      </c>
      <c r="D120" s="137"/>
      <c r="E120" s="137"/>
      <c r="F120" s="114" t="s">
        <v>488</v>
      </c>
      <c r="G120" s="118"/>
      <c r="H120" s="119"/>
      <c r="I120" s="141">
        <f>'[6]PEP US$'!$N$75+'[6]PEP US$'!$Q$75</f>
        <v>483234.375</v>
      </c>
      <c r="J120" s="138"/>
      <c r="L120" s="5"/>
      <c r="M120" s="81"/>
      <c r="N120" s="81"/>
      <c r="O120" s="81"/>
      <c r="P120" s="81"/>
      <c r="Q120" s="5"/>
      <c r="R120" s="81"/>
    </row>
    <row r="121" spans="1:30" x14ac:dyDescent="0.25">
      <c r="A121" s="81"/>
      <c r="B121" s="510"/>
      <c r="C121" s="188" t="s">
        <v>58</v>
      </c>
      <c r="D121" s="137"/>
      <c r="E121" s="137"/>
      <c r="K121" s="138"/>
      <c r="L121" s="5"/>
      <c r="M121" s="81"/>
      <c r="N121" s="81"/>
      <c r="O121" s="81"/>
      <c r="P121" s="81"/>
      <c r="Q121" s="5"/>
      <c r="R121" s="81"/>
    </row>
    <row r="122" spans="1:30" x14ac:dyDescent="0.25">
      <c r="A122" s="81"/>
      <c r="B122" s="510"/>
      <c r="C122" s="188" t="s">
        <v>38</v>
      </c>
      <c r="D122" s="137"/>
      <c r="E122" s="137"/>
      <c r="K122" s="138"/>
      <c r="L122" s="5"/>
      <c r="M122" s="81"/>
      <c r="N122" s="81"/>
      <c r="O122" s="81"/>
      <c r="P122" s="81"/>
      <c r="Q122" s="5"/>
      <c r="R122" s="81"/>
    </row>
    <row r="123" spans="1:30" x14ac:dyDescent="0.25">
      <c r="A123" s="81"/>
      <c r="B123" s="510"/>
      <c r="C123" s="188" t="s">
        <v>6</v>
      </c>
      <c r="D123" s="137"/>
      <c r="E123" s="137"/>
      <c r="F123" s="137"/>
      <c r="G123" s="81"/>
      <c r="H123" s="5"/>
      <c r="J123" s="138"/>
      <c r="K123" s="138"/>
      <c r="L123" s="5"/>
      <c r="M123" s="81"/>
      <c r="N123" s="81"/>
      <c r="O123" s="81"/>
      <c r="P123" s="81"/>
      <c r="Q123" s="5"/>
      <c r="R123" s="81"/>
    </row>
    <row r="124" spans="1:30" ht="56.25" x14ac:dyDescent="0.25">
      <c r="A124" s="81"/>
      <c r="B124" s="510"/>
      <c r="C124" s="188" t="s">
        <v>67</v>
      </c>
      <c r="D124" s="137"/>
      <c r="E124" s="137"/>
      <c r="F124" s="121" t="s">
        <v>489</v>
      </c>
      <c r="G124" s="122"/>
      <c r="H124" s="123"/>
      <c r="I124" s="124">
        <f>I118+I117+I120</f>
        <v>35390233.296875</v>
      </c>
      <c r="J124" s="194" t="s">
        <v>486</v>
      </c>
      <c r="K124" s="138"/>
      <c r="L124" s="5"/>
      <c r="M124" s="81"/>
      <c r="N124" s="81"/>
      <c r="O124" s="81"/>
      <c r="P124" s="81"/>
      <c r="Q124" s="5"/>
      <c r="R124" s="81"/>
    </row>
    <row r="125" spans="1:30" ht="28.5" customHeight="1" x14ac:dyDescent="0.25">
      <c r="A125" s="81"/>
      <c r="B125" s="510"/>
      <c r="C125" s="188" t="s">
        <v>53</v>
      </c>
      <c r="D125" s="137"/>
      <c r="E125" s="137"/>
      <c r="F125" s="201" t="s">
        <v>487</v>
      </c>
      <c r="G125" s="202"/>
      <c r="H125" s="203"/>
      <c r="I125" s="204">
        <f>'[6]PEP US$'!$N$87+'[6]PEP US$'!$Q$87</f>
        <v>38923775.839303747</v>
      </c>
      <c r="J125" s="194" t="s">
        <v>486</v>
      </c>
      <c r="K125" s="138"/>
      <c r="L125" s="5"/>
      <c r="M125" s="81"/>
      <c r="N125" s="81"/>
      <c r="O125" s="81"/>
      <c r="P125" s="81"/>
      <c r="Q125" s="5"/>
      <c r="R125" s="81"/>
    </row>
    <row r="126" spans="1:30" x14ac:dyDescent="0.25">
      <c r="A126" s="81"/>
      <c r="B126" s="510"/>
      <c r="C126" s="188" t="s">
        <v>17</v>
      </c>
      <c r="D126" s="137"/>
      <c r="E126" s="137"/>
      <c r="F126" s="137" t="s">
        <v>421</v>
      </c>
      <c r="G126" s="81"/>
      <c r="H126" s="5"/>
      <c r="I126" s="180">
        <f>I124-I125</f>
        <v>-3533542.5424287468</v>
      </c>
      <c r="J126" s="194" t="s">
        <v>486</v>
      </c>
      <c r="K126" s="138"/>
      <c r="L126" s="5"/>
      <c r="M126" s="81"/>
      <c r="N126" s="81"/>
      <c r="O126" s="81"/>
      <c r="P126" s="81"/>
      <c r="Q126" s="5"/>
      <c r="R126" s="81"/>
    </row>
    <row r="127" spans="1:30" x14ac:dyDescent="0.25">
      <c r="A127" s="81"/>
      <c r="B127" s="511"/>
      <c r="C127" s="188" t="s">
        <v>75</v>
      </c>
      <c r="D127" s="137"/>
      <c r="E127" s="137"/>
      <c r="F127" s="137"/>
      <c r="G127" s="81"/>
      <c r="H127" s="5"/>
      <c r="I127" s="139"/>
      <c r="J127" s="138"/>
      <c r="K127" s="138"/>
      <c r="L127" s="5"/>
      <c r="M127" s="81"/>
      <c r="N127" s="81"/>
      <c r="O127" s="81"/>
      <c r="P127" s="81"/>
      <c r="Q127" s="5"/>
      <c r="R127" s="81"/>
    </row>
    <row r="128" spans="1:30" x14ac:dyDescent="0.25">
      <c r="A128" s="81"/>
      <c r="B128" s="81"/>
      <c r="C128" s="137"/>
      <c r="D128" s="137"/>
      <c r="E128" s="137"/>
      <c r="F128" s="137"/>
      <c r="G128" s="81"/>
      <c r="H128" s="5"/>
      <c r="I128" s="139"/>
      <c r="J128" s="138"/>
      <c r="K128" s="138"/>
      <c r="L128" s="5"/>
      <c r="M128" s="81"/>
      <c r="N128" s="81"/>
      <c r="O128" s="81"/>
      <c r="P128" s="81"/>
      <c r="Q128" s="5"/>
      <c r="R128" s="81"/>
    </row>
    <row r="129" spans="1:18" ht="37.5" x14ac:dyDescent="0.25">
      <c r="A129" s="81"/>
      <c r="B129" s="502" t="s">
        <v>57</v>
      </c>
      <c r="C129" s="503" t="s">
        <v>54</v>
      </c>
      <c r="D129" s="188" t="s">
        <v>41</v>
      </c>
      <c r="E129" s="82"/>
      <c r="F129" s="146" t="s">
        <v>485</v>
      </c>
      <c r="G129" s="147"/>
      <c r="H129" s="147"/>
      <c r="I129" s="148">
        <f>I104+I96+I44+I36+I18+I10</f>
        <v>14182331.921875</v>
      </c>
      <c r="J129" s="138"/>
      <c r="K129" s="138"/>
      <c r="L129" s="5"/>
      <c r="M129" s="81"/>
      <c r="N129" s="81"/>
      <c r="O129" s="81"/>
      <c r="P129" s="81"/>
      <c r="Q129" s="5"/>
      <c r="R129" s="81"/>
    </row>
    <row r="130" spans="1:18" x14ac:dyDescent="0.25">
      <c r="A130" s="81"/>
      <c r="B130" s="502"/>
      <c r="C130" s="503"/>
      <c r="D130" s="188" t="s">
        <v>76</v>
      </c>
      <c r="E130" s="82"/>
      <c r="F130" s="137"/>
      <c r="G130" s="81"/>
      <c r="H130" s="5"/>
      <c r="I130" s="139"/>
      <c r="J130" s="138"/>
      <c r="K130" s="138"/>
      <c r="L130" s="5"/>
      <c r="M130" s="81"/>
      <c r="N130" s="81"/>
      <c r="O130" s="81"/>
      <c r="P130" s="81"/>
      <c r="Q130" s="5"/>
      <c r="R130" s="81"/>
    </row>
    <row r="131" spans="1:18" ht="31.5" x14ac:dyDescent="0.25">
      <c r="A131" s="81"/>
      <c r="B131" s="502"/>
      <c r="C131" s="503"/>
      <c r="D131" s="188" t="s">
        <v>77</v>
      </c>
      <c r="E131" s="82"/>
      <c r="J131" s="138"/>
      <c r="K131" s="138"/>
      <c r="L131" s="5"/>
      <c r="M131" s="81"/>
      <c r="N131" s="81"/>
      <c r="O131" s="81"/>
      <c r="P131" s="81"/>
      <c r="Q131" s="5"/>
      <c r="R131" s="81"/>
    </row>
    <row r="132" spans="1:18" x14ac:dyDescent="0.25">
      <c r="A132" s="81"/>
      <c r="B132" s="502"/>
      <c r="C132" s="503"/>
      <c r="D132" s="188" t="s">
        <v>31</v>
      </c>
      <c r="E132" s="82"/>
      <c r="F132" s="137"/>
      <c r="G132" s="81"/>
      <c r="H132" s="5"/>
      <c r="I132" s="139"/>
      <c r="J132" s="138"/>
      <c r="K132" s="138"/>
      <c r="L132" s="5"/>
      <c r="M132" s="81"/>
      <c r="N132" s="81"/>
      <c r="O132" s="81"/>
      <c r="P132" s="81"/>
      <c r="Q132" s="5"/>
      <c r="R132" s="81"/>
    </row>
    <row r="133" spans="1:18" x14ac:dyDescent="0.25">
      <c r="A133" s="81"/>
      <c r="B133" s="502"/>
      <c r="C133" s="503"/>
      <c r="D133" s="188" t="s">
        <v>34</v>
      </c>
      <c r="E133" s="82"/>
      <c r="J133" s="138"/>
      <c r="K133" s="138"/>
      <c r="L133" s="5"/>
      <c r="M133" s="81"/>
      <c r="N133" s="81"/>
      <c r="O133" s="81"/>
      <c r="P133" s="81"/>
      <c r="Q133" s="5"/>
      <c r="R133" s="81"/>
    </row>
    <row r="134" spans="1:18" ht="31.5" x14ac:dyDescent="0.25">
      <c r="A134" s="81"/>
      <c r="B134" s="502"/>
      <c r="C134" s="503"/>
      <c r="D134" s="188" t="s">
        <v>42</v>
      </c>
      <c r="E134" s="82"/>
      <c r="F134" s="137"/>
      <c r="G134" s="81"/>
      <c r="H134" s="5"/>
      <c r="I134" s="139"/>
      <c r="J134" s="138"/>
      <c r="K134" s="138"/>
      <c r="L134" s="5"/>
      <c r="M134" s="81"/>
      <c r="N134" s="81"/>
      <c r="O134" s="81"/>
      <c r="P134" s="81"/>
      <c r="Q134" s="5"/>
      <c r="R134" s="81"/>
    </row>
    <row r="135" spans="1:18" ht="31.5" x14ac:dyDescent="0.25">
      <c r="A135" s="81"/>
      <c r="B135" s="502"/>
      <c r="C135" s="503"/>
      <c r="D135" s="188" t="s">
        <v>78</v>
      </c>
      <c r="E135" s="82"/>
      <c r="F135" s="137"/>
      <c r="G135" s="81"/>
      <c r="H135" s="5"/>
      <c r="I135" s="139"/>
      <c r="J135" s="138"/>
      <c r="K135" s="138"/>
      <c r="L135" s="5"/>
      <c r="M135" s="81"/>
      <c r="N135" s="81"/>
      <c r="O135" s="81"/>
      <c r="P135" s="81"/>
      <c r="Q135" s="5"/>
      <c r="R135" s="81"/>
    </row>
    <row r="136" spans="1:18" x14ac:dyDescent="0.25">
      <c r="A136" s="81"/>
      <c r="B136" s="502"/>
      <c r="C136" s="504" t="s">
        <v>56</v>
      </c>
      <c r="D136" s="188" t="s">
        <v>35</v>
      </c>
      <c r="E136" s="82"/>
      <c r="F136" s="137"/>
      <c r="G136" s="81"/>
      <c r="H136" s="5"/>
      <c r="I136" s="139"/>
      <c r="J136" s="138"/>
      <c r="K136" s="138"/>
      <c r="L136" s="5"/>
      <c r="M136" s="81"/>
      <c r="N136" s="81"/>
      <c r="O136" s="81"/>
      <c r="P136" s="81"/>
      <c r="Q136" s="5"/>
      <c r="R136" s="81"/>
    </row>
    <row r="137" spans="1:18" x14ac:dyDescent="0.25">
      <c r="A137" s="81"/>
      <c r="B137" s="502"/>
      <c r="C137" s="504"/>
      <c r="D137" s="188" t="s">
        <v>36</v>
      </c>
      <c r="E137" s="82"/>
      <c r="F137" s="137"/>
      <c r="G137" s="81"/>
      <c r="H137" s="5"/>
      <c r="I137" s="139"/>
      <c r="J137" s="138"/>
      <c r="K137" s="138"/>
      <c r="L137" s="5"/>
      <c r="M137" s="81"/>
      <c r="N137" s="81"/>
      <c r="O137" s="81"/>
      <c r="P137" s="81"/>
      <c r="Q137" s="5"/>
      <c r="R137" s="81"/>
    </row>
    <row r="138" spans="1:18" x14ac:dyDescent="0.25">
      <c r="A138" s="81"/>
      <c r="B138" s="502"/>
      <c r="C138" s="504"/>
      <c r="D138" s="188" t="s">
        <v>37</v>
      </c>
      <c r="E138" s="82"/>
      <c r="F138" s="137"/>
      <c r="G138" s="81"/>
      <c r="H138" s="5"/>
      <c r="I138" s="139"/>
      <c r="J138" s="138"/>
      <c r="K138" s="138"/>
      <c r="L138" s="5"/>
      <c r="M138" s="81"/>
      <c r="N138" s="81"/>
      <c r="O138" s="81"/>
      <c r="P138" s="81"/>
      <c r="Q138" s="5"/>
      <c r="R138" s="81"/>
    </row>
    <row r="139" spans="1:18" x14ac:dyDescent="0.25">
      <c r="A139" s="81"/>
      <c r="B139" s="502"/>
      <c r="C139" s="504"/>
      <c r="D139" s="188" t="s">
        <v>31</v>
      </c>
      <c r="E139" s="82"/>
      <c r="F139" s="137"/>
      <c r="G139" s="81"/>
      <c r="H139" s="5"/>
      <c r="I139" s="139"/>
      <c r="J139" s="138"/>
      <c r="K139" s="138"/>
      <c r="L139" s="5"/>
      <c r="M139" s="81"/>
      <c r="N139" s="81"/>
      <c r="O139" s="81"/>
      <c r="P139" s="81"/>
      <c r="Q139" s="5"/>
      <c r="R139" s="81"/>
    </row>
    <row r="140" spans="1:18" x14ac:dyDescent="0.25">
      <c r="A140" s="81"/>
      <c r="B140" s="502"/>
      <c r="C140" s="504"/>
      <c r="D140" s="188" t="s">
        <v>34</v>
      </c>
      <c r="E140" s="82"/>
      <c r="F140" s="137"/>
      <c r="G140" s="81"/>
      <c r="H140" s="5"/>
      <c r="I140" s="139"/>
      <c r="J140" s="138"/>
      <c r="K140" s="138"/>
      <c r="L140" s="5"/>
      <c r="M140" s="81"/>
      <c r="N140" s="81"/>
      <c r="O140" s="81"/>
      <c r="P140" s="81"/>
      <c r="Q140" s="5"/>
      <c r="R140" s="81"/>
    </row>
    <row r="141" spans="1:18" ht="31.5" x14ac:dyDescent="0.25">
      <c r="A141" s="81"/>
      <c r="B141" s="502"/>
      <c r="C141" s="504"/>
      <c r="D141" s="188" t="s">
        <v>43</v>
      </c>
      <c r="E141" s="82"/>
      <c r="F141" s="137"/>
      <c r="G141" s="81"/>
      <c r="H141" s="5"/>
      <c r="I141" s="139"/>
      <c r="J141" s="138"/>
      <c r="K141" s="138"/>
      <c r="L141" s="5"/>
      <c r="M141" s="81"/>
      <c r="N141" s="81"/>
      <c r="O141" s="81"/>
      <c r="P141" s="81"/>
      <c r="Q141" s="5"/>
      <c r="R141" s="81"/>
    </row>
    <row r="142" spans="1:18" ht="31.5" x14ac:dyDescent="0.25">
      <c r="A142" s="81"/>
      <c r="B142" s="502"/>
      <c r="C142" s="504"/>
      <c r="D142" s="188" t="s">
        <v>79</v>
      </c>
      <c r="E142" s="82"/>
      <c r="F142" s="137" t="s">
        <v>417</v>
      </c>
      <c r="G142" s="81"/>
      <c r="H142" s="5"/>
      <c r="I142" s="139">
        <v>64706736.4375</v>
      </c>
      <c r="J142" s="138"/>
      <c r="K142" s="138"/>
      <c r="L142" s="5"/>
      <c r="M142" s="81"/>
      <c r="N142" s="81"/>
      <c r="O142" s="81"/>
      <c r="P142" s="81"/>
      <c r="Q142" s="5"/>
      <c r="R142" s="81"/>
    </row>
    <row r="143" spans="1:18" ht="31.5" x14ac:dyDescent="0.25">
      <c r="A143" s="81"/>
      <c r="B143" s="502"/>
      <c r="C143" s="504"/>
      <c r="D143" s="188" t="s">
        <v>55</v>
      </c>
      <c r="E143" s="82"/>
      <c r="F143" s="137"/>
      <c r="G143" s="81"/>
      <c r="H143" s="5"/>
      <c r="I143" s="139"/>
      <c r="J143" s="138"/>
      <c r="K143" s="138"/>
      <c r="L143" s="5"/>
      <c r="M143" s="81"/>
      <c r="N143" s="81"/>
      <c r="O143" s="81"/>
      <c r="P143" s="81"/>
      <c r="Q143" s="5"/>
      <c r="R143" s="81"/>
    </row>
    <row r="144" spans="1:18" ht="31.5" x14ac:dyDescent="0.25">
      <c r="A144" s="81"/>
      <c r="B144" s="502"/>
      <c r="C144" s="504"/>
      <c r="D144" s="188" t="s">
        <v>5</v>
      </c>
      <c r="E144" s="82"/>
      <c r="F144" s="137"/>
      <c r="G144" s="81"/>
      <c r="H144" s="5"/>
      <c r="I144" s="139"/>
      <c r="J144" s="138"/>
      <c r="K144" s="138"/>
      <c r="L144" s="5"/>
      <c r="M144" s="81"/>
      <c r="N144" s="81"/>
      <c r="O144" s="81"/>
      <c r="P144" s="81"/>
      <c r="Q144" s="5"/>
      <c r="R144" s="81"/>
    </row>
    <row r="145" spans="1:18" ht="31.5" x14ac:dyDescent="0.25">
      <c r="A145" s="81"/>
      <c r="B145" s="502"/>
      <c r="C145" s="504"/>
      <c r="D145" s="188" t="s">
        <v>13</v>
      </c>
      <c r="E145" s="82"/>
      <c r="F145" s="137"/>
      <c r="G145" s="81"/>
      <c r="H145" s="5"/>
      <c r="I145" s="139"/>
      <c r="J145" s="138"/>
      <c r="K145" s="138"/>
      <c r="L145" s="5"/>
      <c r="M145" s="81"/>
      <c r="N145" s="81"/>
      <c r="O145" s="81"/>
      <c r="P145" s="81"/>
      <c r="Q145" s="5"/>
      <c r="R145" s="81"/>
    </row>
    <row r="146" spans="1:18" x14ac:dyDescent="0.25">
      <c r="A146" s="81"/>
      <c r="B146" s="502"/>
      <c r="C146" s="505" t="s">
        <v>80</v>
      </c>
      <c r="D146" s="188" t="s">
        <v>81</v>
      </c>
      <c r="E146" s="82"/>
      <c r="F146" s="137"/>
      <c r="G146" s="81"/>
      <c r="H146" s="5"/>
      <c r="I146" s="139"/>
      <c r="J146" s="138"/>
      <c r="K146" s="138"/>
      <c r="L146" s="5"/>
      <c r="M146" s="81"/>
      <c r="N146" s="81"/>
      <c r="O146" s="81"/>
      <c r="P146" s="81"/>
      <c r="Q146" s="5"/>
      <c r="R146" s="81"/>
    </row>
    <row r="147" spans="1:18" x14ac:dyDescent="0.25">
      <c r="A147" s="81"/>
      <c r="B147" s="502"/>
      <c r="C147" s="506"/>
      <c r="D147" s="188" t="s">
        <v>31</v>
      </c>
      <c r="E147" s="82"/>
      <c r="F147" s="137"/>
      <c r="G147" s="81"/>
      <c r="H147" s="5"/>
      <c r="I147" s="139"/>
      <c r="J147" s="138"/>
      <c r="K147" s="138"/>
      <c r="L147" s="5"/>
      <c r="M147" s="81"/>
      <c r="N147" s="81"/>
      <c r="O147" s="81"/>
      <c r="P147" s="81"/>
      <c r="Q147" s="5"/>
      <c r="R147" s="81"/>
    </row>
    <row r="148" spans="1:18" x14ac:dyDescent="0.25">
      <c r="A148" s="81"/>
      <c r="B148" s="502"/>
      <c r="C148" s="507"/>
      <c r="D148" s="188" t="s">
        <v>34</v>
      </c>
      <c r="E148" s="82"/>
      <c r="F148" s="137"/>
      <c r="G148" s="81"/>
      <c r="H148" s="5"/>
      <c r="I148" s="139"/>
      <c r="J148" s="138"/>
      <c r="K148" s="138"/>
      <c r="L148" s="5"/>
      <c r="M148" s="81"/>
      <c r="N148" s="81"/>
      <c r="O148" s="81"/>
      <c r="P148" s="81"/>
      <c r="Q148" s="5"/>
      <c r="R148" s="81"/>
    </row>
  </sheetData>
  <mergeCells count="32">
    <mergeCell ref="B129:B148"/>
    <mergeCell ref="C129:C135"/>
    <mergeCell ref="C136:C145"/>
    <mergeCell ref="C146:C148"/>
    <mergeCell ref="B96:H96"/>
    <mergeCell ref="B104:H104"/>
    <mergeCell ref="B111:H111"/>
    <mergeCell ref="C114:D114"/>
    <mergeCell ref="B116:B118"/>
    <mergeCell ref="B120:B127"/>
    <mergeCell ref="B44:H44"/>
    <mergeCell ref="H8:H9"/>
    <mergeCell ref="I8:K8"/>
    <mergeCell ref="L8:L9"/>
    <mergeCell ref="M8:M9"/>
    <mergeCell ref="B10:H10"/>
    <mergeCell ref="B18:H18"/>
    <mergeCell ref="B36:H36"/>
    <mergeCell ref="W1:X1"/>
    <mergeCell ref="B2:D2"/>
    <mergeCell ref="B4:D4"/>
    <mergeCell ref="A8:A9"/>
    <mergeCell ref="B8:B9"/>
    <mergeCell ref="C8:C9"/>
    <mergeCell ref="D8:D9"/>
    <mergeCell ref="E8:E9"/>
    <mergeCell ref="F8:F9"/>
    <mergeCell ref="G8:G9"/>
    <mergeCell ref="Q8:Q9"/>
    <mergeCell ref="R8:R9"/>
    <mergeCell ref="N8:O8"/>
    <mergeCell ref="P8:P9"/>
  </mergeCells>
  <dataValidations count="11">
    <dataValidation type="list" allowBlank="1" showInputMessage="1" showErrorMessage="1" sqref="R76 R78 R72:R74" xr:uid="{00000000-0002-0000-0600-000000000000}">
      <formula1>$C$116:$C$123</formula1>
    </dataValidation>
    <dataValidation type="list" allowBlank="1" showInputMessage="1" showErrorMessage="1" sqref="R70 R75" xr:uid="{00000000-0002-0000-0600-000001000000}">
      <formula1>$C$109:$C$116</formula1>
    </dataValidation>
    <dataValidation type="list" allowBlank="1" showInputMessage="1" showErrorMessage="1" sqref="F70 F78 F72:F76" xr:uid="{00000000-0002-0000-0600-000002000000}">
      <formula1>$D$125:$D$131</formula1>
    </dataValidation>
    <dataValidation type="list" allowBlank="1" showInputMessage="1" showErrorMessage="1" sqref="M70 M78 M72:M76" xr:uid="{00000000-0002-0000-0600-000003000000}">
      <formula1>$C$112:$C$114</formula1>
    </dataValidation>
    <dataValidation type="list" allowBlank="1" showInputMessage="1" showErrorMessage="1" sqref="F19:F34 F11:F16 F37:F42" xr:uid="{00000000-0002-0000-0600-000004000000}">
      <formula1>$D$136:$D$145</formula1>
    </dataValidation>
    <dataValidation type="list" allowBlank="1" showInputMessage="1" showErrorMessage="1" sqref="R112 R77 R71 R63:R69 R45:R50 R97:R102 R105:R110 R11:R16 R80:R86 R53:R56 R58:R61 R37:R42 R19:R34 R88:R93 R95" xr:uid="{00000000-0002-0000-0600-000005000000}">
      <formula1>$C$120:$C$127</formula1>
    </dataValidation>
    <dataValidation type="list" allowBlank="1" showInputMessage="1" showErrorMessage="1" sqref="M105:M110 M14:M15 M12 M19:M31 M77 M34 M97:M102 M45:M69 M71 M79:M94 M37:M42" xr:uid="{00000000-0002-0000-0600-000006000000}">
      <formula1>$C$116:$C$118</formula1>
    </dataValidation>
    <dataValidation type="list" allowBlank="1" showInputMessage="1" showErrorMessage="1" sqref="F105:F110 F77 F45:F69 F71 F79:F94" xr:uid="{00000000-0002-0000-0600-000007000000}">
      <formula1>$D$129:$D$135</formula1>
    </dataValidation>
    <dataValidation type="list" allowBlank="1" showInputMessage="1" showErrorMessage="1" sqref="F97:F102" xr:uid="{00000000-0002-0000-0600-000008000000}">
      <formula1>$D$146:$D$148</formula1>
    </dataValidation>
    <dataValidation type="list" allowBlank="1" showInputMessage="1" showErrorMessage="1" sqref="R87 R94 R51:R52 R57 R62 R79" xr:uid="{00000000-0002-0000-0600-000009000000}">
      <formula1>$C$113:$C$120</formula1>
    </dataValidation>
    <dataValidation type="list" allowBlank="1" showInputMessage="1" showErrorMessage="1" sqref="M32:M33 M13 M11 M16" xr:uid="{00000000-0002-0000-0600-00000A000000}">
      <formula1>$C$115:$C$117</formula1>
    </dataValidation>
  </dataValidations>
  <pageMargins left="0.70866141732283472" right="0.70866141732283472" top="0.74803149606299213" bottom="0.74803149606299213" header="0.31496062992125984" footer="0.31496062992125984"/>
  <pageSetup paperSize="9" scale="38" orientation="landscape" verticalDpi="90" r:id="rId1"/>
  <headerFooter>
    <oddFoote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120"/>
  <sheetViews>
    <sheetView tabSelected="1" topLeftCell="A80" zoomScale="50" zoomScaleNormal="50" workbookViewId="0">
      <selection activeCell="D2" sqref="D2:D3"/>
    </sheetView>
  </sheetViews>
  <sheetFormatPr defaultRowHeight="15" x14ac:dyDescent="0.25"/>
  <cols>
    <col min="1" max="1" width="8.28515625" customWidth="1"/>
    <col min="2" max="2" width="19.28515625" customWidth="1"/>
    <col min="3" max="3" width="44" customWidth="1"/>
    <col min="4" max="4" width="73.140625" customWidth="1"/>
    <col min="5" max="5" width="53.7109375" customWidth="1"/>
    <col min="6" max="6" width="35.7109375" customWidth="1"/>
    <col min="7" max="7" width="0" hidden="1" customWidth="1"/>
    <col min="8" max="8" width="3.42578125" hidden="1" customWidth="1"/>
    <col min="9" max="9" width="34.42578125" bestFit="1" customWidth="1"/>
    <col min="10" max="10" width="37.85546875" bestFit="1" customWidth="1"/>
    <col min="11" max="11" width="25.7109375" customWidth="1"/>
    <col min="12" max="12" width="25.42578125" customWidth="1"/>
    <col min="13" max="13" width="21.42578125" customWidth="1"/>
    <col min="14" max="14" width="22.28515625" customWidth="1"/>
    <col min="15" max="15" width="26.28515625" customWidth="1"/>
    <col min="16" max="16" width="23.42578125" customWidth="1"/>
    <col min="17" max="17" width="0" hidden="1" customWidth="1"/>
    <col min="18" max="18" width="18.85546875" customWidth="1"/>
    <col min="19" max="19" width="24.85546875" customWidth="1"/>
  </cols>
  <sheetData>
    <row r="1" spans="1:19" ht="69.75" x14ac:dyDescent="0.25">
      <c r="A1" s="236"/>
      <c r="B1" s="237"/>
      <c r="C1" s="278"/>
      <c r="D1" s="400" t="s">
        <v>668</v>
      </c>
      <c r="E1" s="278"/>
      <c r="F1" s="278"/>
      <c r="G1" s="236"/>
      <c r="H1" s="280"/>
      <c r="I1" s="281"/>
      <c r="J1" s="282"/>
      <c r="K1" s="282"/>
      <c r="L1" s="280"/>
      <c r="M1" s="236"/>
      <c r="N1" s="236"/>
      <c r="O1" s="236"/>
      <c r="P1" s="199"/>
      <c r="Q1" s="93"/>
      <c r="R1" s="93"/>
      <c r="S1" s="199"/>
    </row>
    <row r="2" spans="1:19" ht="23.25" x14ac:dyDescent="0.25">
      <c r="A2" s="452" t="s">
        <v>135</v>
      </c>
      <c r="B2" s="462" t="s">
        <v>24</v>
      </c>
      <c r="C2" s="517" t="s">
        <v>25</v>
      </c>
      <c r="D2" s="517" t="s">
        <v>45</v>
      </c>
      <c r="E2" s="518" t="s">
        <v>200</v>
      </c>
      <c r="F2" s="517" t="s">
        <v>529</v>
      </c>
      <c r="G2" s="462" t="s">
        <v>44</v>
      </c>
      <c r="H2" s="462" t="s">
        <v>46</v>
      </c>
      <c r="I2" s="516" t="s">
        <v>26</v>
      </c>
      <c r="J2" s="516"/>
      <c r="K2" s="516"/>
      <c r="L2" s="462" t="s">
        <v>52</v>
      </c>
      <c r="M2" s="462" t="s">
        <v>49</v>
      </c>
      <c r="N2" s="462" t="s">
        <v>27</v>
      </c>
      <c r="O2" s="462"/>
      <c r="P2" s="462" t="s">
        <v>18</v>
      </c>
      <c r="Q2" s="462" t="s">
        <v>50</v>
      </c>
      <c r="R2" s="462" t="s">
        <v>50</v>
      </c>
      <c r="S2" s="462" t="s">
        <v>15</v>
      </c>
    </row>
    <row r="3" spans="1:19" ht="93" x14ac:dyDescent="0.25">
      <c r="A3" s="452"/>
      <c r="B3" s="462"/>
      <c r="C3" s="517"/>
      <c r="D3" s="517"/>
      <c r="E3" s="519"/>
      <c r="F3" s="517"/>
      <c r="G3" s="462"/>
      <c r="H3" s="462"/>
      <c r="I3" s="268" t="s">
        <v>537</v>
      </c>
      <c r="J3" s="407" t="s">
        <v>48</v>
      </c>
      <c r="K3" s="407" t="s">
        <v>47</v>
      </c>
      <c r="L3" s="462"/>
      <c r="M3" s="462"/>
      <c r="N3" s="403" t="s">
        <v>28</v>
      </c>
      <c r="O3" s="403" t="s">
        <v>7</v>
      </c>
      <c r="P3" s="462"/>
      <c r="Q3" s="462"/>
      <c r="R3" s="462"/>
      <c r="S3" s="462"/>
    </row>
    <row r="4" spans="1:19" ht="23.25" x14ac:dyDescent="0.25">
      <c r="A4" s="238">
        <v>1</v>
      </c>
      <c r="B4" s="514" t="s">
        <v>0</v>
      </c>
      <c r="C4" s="515"/>
      <c r="D4" s="515"/>
      <c r="E4" s="515"/>
      <c r="F4" s="515"/>
      <c r="G4" s="515"/>
      <c r="H4" s="515"/>
      <c r="I4" s="239">
        <f>SUM(I5:I11)</f>
        <v>92965623.4375</v>
      </c>
      <c r="J4" s="408"/>
      <c r="K4" s="408"/>
      <c r="L4" s="408"/>
      <c r="M4" s="408"/>
      <c r="N4" s="408"/>
      <c r="O4" s="408"/>
      <c r="P4" s="409"/>
      <c r="Q4" s="409"/>
      <c r="R4" s="409"/>
      <c r="S4" s="410"/>
    </row>
    <row r="5" spans="1:19" ht="69.75" x14ac:dyDescent="0.25">
      <c r="A5" s="241" t="s">
        <v>136</v>
      </c>
      <c r="B5" s="374" t="s">
        <v>556</v>
      </c>
      <c r="C5" s="372" t="s">
        <v>518</v>
      </c>
      <c r="D5" s="372" t="s">
        <v>201</v>
      </c>
      <c r="E5" s="372" t="s">
        <v>613</v>
      </c>
      <c r="F5" s="372" t="s">
        <v>35</v>
      </c>
      <c r="G5" s="372">
        <v>1</v>
      </c>
      <c r="H5" s="372"/>
      <c r="I5" s="337">
        <v>0</v>
      </c>
      <c r="J5" s="349">
        <v>0</v>
      </c>
      <c r="K5" s="349">
        <v>0</v>
      </c>
      <c r="L5" s="374">
        <v>1</v>
      </c>
      <c r="M5" s="374" t="s">
        <v>3</v>
      </c>
      <c r="N5" s="411">
        <v>44348</v>
      </c>
      <c r="O5" s="411">
        <v>44501</v>
      </c>
      <c r="P5" s="195" t="s">
        <v>557</v>
      </c>
      <c r="Q5" s="195"/>
      <c r="R5" s="195"/>
      <c r="S5" s="195" t="s">
        <v>1</v>
      </c>
    </row>
    <row r="6" spans="1:19" ht="93" x14ac:dyDescent="0.25">
      <c r="A6" s="241" t="s">
        <v>137</v>
      </c>
      <c r="B6" s="374" t="s">
        <v>556</v>
      </c>
      <c r="C6" s="372" t="s">
        <v>199</v>
      </c>
      <c r="D6" s="372" t="s">
        <v>154</v>
      </c>
      <c r="E6" s="372" t="s">
        <v>614</v>
      </c>
      <c r="F6" s="372" t="s">
        <v>36</v>
      </c>
      <c r="G6" s="372">
        <v>1</v>
      </c>
      <c r="H6" s="350"/>
      <c r="I6" s="337">
        <v>0</v>
      </c>
      <c r="J6" s="349">
        <v>0</v>
      </c>
      <c r="K6" s="349">
        <v>0</v>
      </c>
      <c r="L6" s="374">
        <v>1</v>
      </c>
      <c r="M6" s="374" t="s">
        <v>2</v>
      </c>
      <c r="N6" s="351" t="s">
        <v>510</v>
      </c>
      <c r="O6" s="351" t="s">
        <v>530</v>
      </c>
      <c r="P6" s="195" t="s">
        <v>557</v>
      </c>
      <c r="Q6" s="195"/>
      <c r="R6" s="195"/>
      <c r="S6" s="195" t="s">
        <v>1</v>
      </c>
    </row>
    <row r="7" spans="1:19" ht="93" x14ac:dyDescent="0.25">
      <c r="A7" s="241" t="s">
        <v>138</v>
      </c>
      <c r="B7" s="374" t="s">
        <v>556</v>
      </c>
      <c r="C7" s="372" t="s">
        <v>483</v>
      </c>
      <c r="D7" s="372" t="s">
        <v>157</v>
      </c>
      <c r="E7" s="372" t="s">
        <v>615</v>
      </c>
      <c r="F7" s="372" t="s">
        <v>36</v>
      </c>
      <c r="G7" s="372">
        <v>1</v>
      </c>
      <c r="H7" s="352"/>
      <c r="I7" s="337">
        <f>'P.A. TOTAL '!J13</f>
        <v>11806248.4375</v>
      </c>
      <c r="J7" s="349">
        <v>1</v>
      </c>
      <c r="K7" s="349">
        <v>0</v>
      </c>
      <c r="L7" s="374">
        <v>1</v>
      </c>
      <c r="M7" s="374" t="s">
        <v>2</v>
      </c>
      <c r="N7" s="351" t="s">
        <v>237</v>
      </c>
      <c r="O7" s="351" t="s">
        <v>327</v>
      </c>
      <c r="P7" s="195" t="s">
        <v>557</v>
      </c>
      <c r="Q7" s="195"/>
      <c r="R7" s="195"/>
      <c r="S7" s="195" t="s">
        <v>1</v>
      </c>
    </row>
    <row r="8" spans="1:19" ht="93" x14ac:dyDescent="0.25">
      <c r="A8" s="241" t="s">
        <v>139</v>
      </c>
      <c r="B8" s="374" t="s">
        <v>556</v>
      </c>
      <c r="C8" s="372" t="s">
        <v>598</v>
      </c>
      <c r="D8" s="405" t="s">
        <v>275</v>
      </c>
      <c r="E8" s="372" t="s">
        <v>616</v>
      </c>
      <c r="F8" s="372" t="s">
        <v>36</v>
      </c>
      <c r="G8" s="372">
        <v>1</v>
      </c>
      <c r="H8" s="352"/>
      <c r="I8" s="412">
        <f>'P.A. TOTAL '!J14</f>
        <v>156250</v>
      </c>
      <c r="J8" s="373">
        <v>1</v>
      </c>
      <c r="K8" s="373">
        <f t="shared" ref="K8" si="0">100%-J8</f>
        <v>0</v>
      </c>
      <c r="L8" s="374">
        <v>2</v>
      </c>
      <c r="M8" s="374" t="s">
        <v>2</v>
      </c>
      <c r="N8" s="351" t="s">
        <v>446</v>
      </c>
      <c r="O8" s="351" t="s">
        <v>511</v>
      </c>
      <c r="P8" s="195"/>
      <c r="Q8" s="195"/>
      <c r="R8" s="195"/>
      <c r="S8" s="195" t="s">
        <v>1</v>
      </c>
    </row>
    <row r="9" spans="1:19" ht="69.75" x14ac:dyDescent="0.25">
      <c r="A9" s="241" t="s">
        <v>197</v>
      </c>
      <c r="B9" s="374" t="s">
        <v>556</v>
      </c>
      <c r="C9" s="372" t="s">
        <v>484</v>
      </c>
      <c r="D9" s="372" t="s">
        <v>181</v>
      </c>
      <c r="E9" s="372" t="s">
        <v>617</v>
      </c>
      <c r="F9" s="372" t="s">
        <v>35</v>
      </c>
      <c r="G9" s="372">
        <v>1</v>
      </c>
      <c r="H9" s="372"/>
      <c r="I9" s="337">
        <f>'P.A. TOTAL '!J15</f>
        <v>23340625</v>
      </c>
      <c r="J9" s="373">
        <f>100%-K9</f>
        <v>0.99598339804525371</v>
      </c>
      <c r="K9" s="373">
        <f>'[1]PEP US$'!$P$12/I9</f>
        <v>4.0166019547462845E-3</v>
      </c>
      <c r="L9" s="374">
        <v>1</v>
      </c>
      <c r="M9" s="374" t="s">
        <v>3</v>
      </c>
      <c r="N9" s="351" t="s">
        <v>234</v>
      </c>
      <c r="O9" s="351" t="s">
        <v>446</v>
      </c>
      <c r="P9" s="195" t="s">
        <v>557</v>
      </c>
      <c r="Q9" s="197"/>
      <c r="R9" s="197"/>
      <c r="S9" s="195" t="s">
        <v>1</v>
      </c>
    </row>
    <row r="10" spans="1:19" ht="116.25" x14ac:dyDescent="0.25">
      <c r="A10" s="241" t="s">
        <v>274</v>
      </c>
      <c r="B10" s="374" t="s">
        <v>556</v>
      </c>
      <c r="C10" s="372" t="s">
        <v>571</v>
      </c>
      <c r="D10" s="405" t="s">
        <v>572</v>
      </c>
      <c r="E10" s="372" t="s">
        <v>614</v>
      </c>
      <c r="F10" s="372" t="s">
        <v>34</v>
      </c>
      <c r="G10" s="372">
        <v>1</v>
      </c>
      <c r="H10" s="352"/>
      <c r="I10" s="337">
        <f>'P.A. TOTAL '!J16</f>
        <v>57562500</v>
      </c>
      <c r="J10" s="373">
        <f>100%-K10</f>
        <v>0</v>
      </c>
      <c r="K10" s="373">
        <v>1</v>
      </c>
      <c r="L10" s="374">
        <v>1</v>
      </c>
      <c r="M10" s="374" t="s">
        <v>4</v>
      </c>
      <c r="N10" s="351"/>
      <c r="O10" s="351"/>
      <c r="P10" s="195" t="s">
        <v>557</v>
      </c>
      <c r="Q10" s="195"/>
      <c r="R10" s="195"/>
      <c r="S10" s="195" t="s">
        <v>58</v>
      </c>
    </row>
    <row r="11" spans="1:19" ht="69.75" x14ac:dyDescent="0.25">
      <c r="A11" s="241" t="s">
        <v>660</v>
      </c>
      <c r="B11" s="374" t="s">
        <v>556</v>
      </c>
      <c r="C11" s="372" t="s">
        <v>598</v>
      </c>
      <c r="D11" s="372" t="s">
        <v>600</v>
      </c>
      <c r="E11" s="372" t="s">
        <v>618</v>
      </c>
      <c r="F11" s="372" t="s">
        <v>36</v>
      </c>
      <c r="G11" s="372"/>
      <c r="H11" s="372"/>
      <c r="I11" s="244">
        <f>'P.A. TOTAL '!J17</f>
        <v>100000</v>
      </c>
      <c r="J11" s="373">
        <v>1</v>
      </c>
      <c r="K11" s="373">
        <v>0</v>
      </c>
      <c r="L11" s="374">
        <v>2</v>
      </c>
      <c r="M11" s="374" t="s">
        <v>2</v>
      </c>
      <c r="N11" s="411">
        <v>43678</v>
      </c>
      <c r="O11" s="411">
        <v>43800</v>
      </c>
      <c r="P11" s="195"/>
      <c r="Q11" s="197"/>
      <c r="R11" s="197"/>
      <c r="S11" s="195" t="s">
        <v>1</v>
      </c>
    </row>
    <row r="12" spans="1:19" ht="23.25" x14ac:dyDescent="0.25">
      <c r="A12" s="237"/>
      <c r="B12" s="279"/>
      <c r="C12" s="279"/>
      <c r="D12" s="279"/>
      <c r="E12" s="279"/>
      <c r="F12" s="279"/>
      <c r="G12" s="279"/>
      <c r="H12" s="279"/>
      <c r="I12" s="284"/>
      <c r="J12" s="285"/>
      <c r="K12" s="285"/>
      <c r="L12" s="283"/>
      <c r="M12" s="237"/>
      <c r="N12" s="237"/>
      <c r="O12" s="237"/>
      <c r="P12" s="402"/>
      <c r="Q12" s="133"/>
      <c r="R12" s="133"/>
      <c r="S12" s="402"/>
    </row>
    <row r="13" spans="1:19" ht="23.25" x14ac:dyDescent="0.25">
      <c r="A13" s="238">
        <v>2</v>
      </c>
      <c r="B13" s="512" t="s">
        <v>8</v>
      </c>
      <c r="C13" s="513"/>
      <c r="D13" s="513"/>
      <c r="E13" s="513"/>
      <c r="F13" s="513"/>
      <c r="G13" s="513"/>
      <c r="H13" s="513"/>
      <c r="I13" s="239">
        <f>SUM(I14:I30)</f>
        <v>10612151.545</v>
      </c>
      <c r="J13" s="408"/>
      <c r="K13" s="408"/>
      <c r="L13" s="408"/>
      <c r="M13" s="408"/>
      <c r="N13" s="408"/>
      <c r="O13" s="408"/>
      <c r="P13" s="409"/>
      <c r="Q13" s="409"/>
      <c r="R13" s="409"/>
      <c r="S13" s="410"/>
    </row>
    <row r="14" spans="1:19" ht="69.75" x14ac:dyDescent="0.25">
      <c r="A14" s="241" t="s">
        <v>140</v>
      </c>
      <c r="B14" s="374" t="s">
        <v>556</v>
      </c>
      <c r="C14" s="372" t="s">
        <v>260</v>
      </c>
      <c r="D14" s="372" t="s">
        <v>260</v>
      </c>
      <c r="E14" s="372" t="s">
        <v>616</v>
      </c>
      <c r="F14" s="372" t="s">
        <v>34</v>
      </c>
      <c r="G14" s="372">
        <v>1</v>
      </c>
      <c r="H14" s="372"/>
      <c r="I14" s="412">
        <f>'P.A. TOTAL '!J20</f>
        <v>250000</v>
      </c>
      <c r="J14" s="373">
        <v>1</v>
      </c>
      <c r="K14" s="373">
        <v>0</v>
      </c>
      <c r="L14" s="374">
        <v>2</v>
      </c>
      <c r="M14" s="374" t="s">
        <v>4</v>
      </c>
      <c r="N14" s="411">
        <v>43891</v>
      </c>
      <c r="O14" s="411">
        <v>43952</v>
      </c>
      <c r="P14" s="195" t="s">
        <v>70</v>
      </c>
      <c r="Q14" s="197"/>
      <c r="R14" s="197"/>
      <c r="S14" s="195" t="s">
        <v>1</v>
      </c>
    </row>
    <row r="15" spans="1:19" ht="69.75" x14ac:dyDescent="0.25">
      <c r="A15" s="241" t="s">
        <v>147</v>
      </c>
      <c r="B15" s="374" t="s">
        <v>556</v>
      </c>
      <c r="C15" s="405" t="s">
        <v>361</v>
      </c>
      <c r="D15" s="405" t="s">
        <v>266</v>
      </c>
      <c r="E15" s="372" t="s">
        <v>616</v>
      </c>
      <c r="F15" s="372" t="s">
        <v>34</v>
      </c>
      <c r="G15" s="372">
        <v>1</v>
      </c>
      <c r="H15" s="372"/>
      <c r="I15" s="412">
        <f>'P.A. TOTAL '!J21</f>
        <v>62500</v>
      </c>
      <c r="J15" s="373">
        <v>1</v>
      </c>
      <c r="K15" s="373">
        <v>0</v>
      </c>
      <c r="L15" s="374">
        <v>2</v>
      </c>
      <c r="M15" s="374" t="s">
        <v>4</v>
      </c>
      <c r="N15" s="411">
        <v>43891</v>
      </c>
      <c r="O15" s="411">
        <v>43952</v>
      </c>
      <c r="P15" s="195" t="s">
        <v>70</v>
      </c>
      <c r="Q15" s="197"/>
      <c r="R15" s="197"/>
      <c r="S15" s="195" t="s">
        <v>1</v>
      </c>
    </row>
    <row r="16" spans="1:19" ht="93" x14ac:dyDescent="0.25">
      <c r="A16" s="241" t="s">
        <v>194</v>
      </c>
      <c r="B16" s="374" t="s">
        <v>556</v>
      </c>
      <c r="C16" s="405" t="s">
        <v>527</v>
      </c>
      <c r="D16" s="405" t="s">
        <v>528</v>
      </c>
      <c r="E16" s="372" t="s">
        <v>616</v>
      </c>
      <c r="F16" s="372" t="s">
        <v>34</v>
      </c>
      <c r="G16" s="372">
        <v>1</v>
      </c>
      <c r="H16" s="372"/>
      <c r="I16" s="412">
        <f>'P.A. TOTAL '!J22</f>
        <v>93750</v>
      </c>
      <c r="J16" s="373">
        <v>1</v>
      </c>
      <c r="K16" s="373">
        <v>0</v>
      </c>
      <c r="L16" s="374">
        <v>2</v>
      </c>
      <c r="M16" s="374" t="s">
        <v>4</v>
      </c>
      <c r="N16" s="411">
        <v>43891</v>
      </c>
      <c r="O16" s="411">
        <v>43952</v>
      </c>
      <c r="P16" s="195" t="s">
        <v>70</v>
      </c>
      <c r="Q16" s="197"/>
      <c r="R16" s="197"/>
      <c r="S16" s="195" t="s">
        <v>1</v>
      </c>
    </row>
    <row r="17" spans="1:19" ht="93" x14ac:dyDescent="0.25">
      <c r="A17" s="241" t="s">
        <v>195</v>
      </c>
      <c r="B17" s="374" t="s">
        <v>556</v>
      </c>
      <c r="C17" s="405" t="s">
        <v>363</v>
      </c>
      <c r="D17" s="405" t="s">
        <v>267</v>
      </c>
      <c r="E17" s="372" t="s">
        <v>616</v>
      </c>
      <c r="F17" s="372" t="s">
        <v>34</v>
      </c>
      <c r="G17" s="372">
        <v>1</v>
      </c>
      <c r="H17" s="372"/>
      <c r="I17" s="412">
        <f>'P.A. TOTAL '!J23</f>
        <v>125000</v>
      </c>
      <c r="J17" s="373">
        <v>1</v>
      </c>
      <c r="K17" s="373">
        <v>0</v>
      </c>
      <c r="L17" s="374">
        <v>2</v>
      </c>
      <c r="M17" s="374" t="s">
        <v>4</v>
      </c>
      <c r="N17" s="411">
        <v>43891</v>
      </c>
      <c r="O17" s="411">
        <v>43952</v>
      </c>
      <c r="P17" s="195" t="s">
        <v>70</v>
      </c>
      <c r="Q17" s="197"/>
      <c r="R17" s="197"/>
      <c r="S17" s="195" t="s">
        <v>1</v>
      </c>
    </row>
    <row r="18" spans="1:19" ht="116.25" x14ac:dyDescent="0.25">
      <c r="A18" s="241" t="s">
        <v>196</v>
      </c>
      <c r="B18" s="374" t="s">
        <v>556</v>
      </c>
      <c r="C18" s="405" t="s">
        <v>366</v>
      </c>
      <c r="D18" s="405" t="s">
        <v>273</v>
      </c>
      <c r="E18" s="372" t="s">
        <v>616</v>
      </c>
      <c r="F18" s="372" t="s">
        <v>34</v>
      </c>
      <c r="G18" s="372">
        <v>1</v>
      </c>
      <c r="H18" s="354"/>
      <c r="I18" s="412">
        <f>'P.A. TOTAL '!J24</f>
        <v>37500</v>
      </c>
      <c r="J18" s="373">
        <v>1</v>
      </c>
      <c r="K18" s="373">
        <v>0</v>
      </c>
      <c r="L18" s="374">
        <v>2</v>
      </c>
      <c r="M18" s="374" t="s">
        <v>4</v>
      </c>
      <c r="N18" s="411">
        <v>43891</v>
      </c>
      <c r="O18" s="411">
        <v>43952</v>
      </c>
      <c r="P18" s="195" t="s">
        <v>70</v>
      </c>
      <c r="Q18" s="197"/>
      <c r="R18" s="197"/>
      <c r="S18" s="195" t="s">
        <v>1</v>
      </c>
    </row>
    <row r="19" spans="1:19" ht="69.75" x14ac:dyDescent="0.25">
      <c r="A19" s="241" t="s">
        <v>258</v>
      </c>
      <c r="B19" s="374" t="s">
        <v>556</v>
      </c>
      <c r="C19" s="372" t="s">
        <v>364</v>
      </c>
      <c r="D19" s="372" t="s">
        <v>281</v>
      </c>
      <c r="E19" s="372" t="s">
        <v>619</v>
      </c>
      <c r="F19" s="372" t="s">
        <v>34</v>
      </c>
      <c r="G19" s="372">
        <v>1</v>
      </c>
      <c r="H19" s="372"/>
      <c r="I19" s="244">
        <v>0</v>
      </c>
      <c r="J19" s="373">
        <v>0</v>
      </c>
      <c r="K19" s="373">
        <v>0</v>
      </c>
      <c r="L19" s="374">
        <v>2</v>
      </c>
      <c r="M19" s="374" t="s">
        <v>4</v>
      </c>
      <c r="N19" s="411">
        <v>44440</v>
      </c>
      <c r="O19" s="411">
        <v>44501</v>
      </c>
      <c r="P19" s="195" t="s">
        <v>70</v>
      </c>
      <c r="Q19" s="197"/>
      <c r="R19" s="197"/>
      <c r="S19" s="195" t="s">
        <v>1</v>
      </c>
    </row>
    <row r="20" spans="1:19" ht="279" x14ac:dyDescent="0.25">
      <c r="A20" s="241" t="s">
        <v>259</v>
      </c>
      <c r="B20" s="374" t="s">
        <v>556</v>
      </c>
      <c r="C20" s="246" t="s">
        <v>294</v>
      </c>
      <c r="D20" s="246" t="s">
        <v>397</v>
      </c>
      <c r="E20" s="372" t="s">
        <v>620</v>
      </c>
      <c r="F20" s="372" t="s">
        <v>34</v>
      </c>
      <c r="G20" s="372">
        <v>1</v>
      </c>
      <c r="H20" s="372"/>
      <c r="I20" s="399">
        <f>'P.A. TOTAL '!J26</f>
        <v>416666.67</v>
      </c>
      <c r="J20" s="373">
        <v>1</v>
      </c>
      <c r="K20" s="373">
        <v>0</v>
      </c>
      <c r="L20" s="374">
        <v>2</v>
      </c>
      <c r="M20" s="374" t="s">
        <v>4</v>
      </c>
      <c r="N20" s="411">
        <v>43891</v>
      </c>
      <c r="O20" s="411">
        <v>43952</v>
      </c>
      <c r="P20" s="195" t="s">
        <v>590</v>
      </c>
      <c r="Q20" s="197"/>
      <c r="R20" s="197"/>
      <c r="S20" s="195" t="s">
        <v>1</v>
      </c>
    </row>
    <row r="21" spans="1:19" ht="93" x14ac:dyDescent="0.25">
      <c r="A21" s="241" t="s">
        <v>261</v>
      </c>
      <c r="B21" s="374" t="s">
        <v>556</v>
      </c>
      <c r="C21" s="405" t="s">
        <v>301</v>
      </c>
      <c r="D21" s="405" t="s">
        <v>301</v>
      </c>
      <c r="E21" s="372" t="s">
        <v>621</v>
      </c>
      <c r="F21" s="372" t="s">
        <v>34</v>
      </c>
      <c r="G21" s="372">
        <v>1</v>
      </c>
      <c r="H21" s="372"/>
      <c r="I21" s="244">
        <f>'P.A. TOTAL '!J27</f>
        <v>937500</v>
      </c>
      <c r="J21" s="373">
        <v>1</v>
      </c>
      <c r="K21" s="373">
        <v>0</v>
      </c>
      <c r="L21" s="374">
        <v>2</v>
      </c>
      <c r="M21" s="374" t="s">
        <v>4</v>
      </c>
      <c r="N21" s="411">
        <v>43678</v>
      </c>
      <c r="O21" s="411">
        <v>43739</v>
      </c>
      <c r="P21" s="195" t="s">
        <v>538</v>
      </c>
      <c r="Q21" s="197"/>
      <c r="R21" s="197"/>
      <c r="S21" s="195" t="s">
        <v>1</v>
      </c>
    </row>
    <row r="22" spans="1:19" ht="69.75" x14ac:dyDescent="0.25">
      <c r="A22" s="241" t="s">
        <v>262</v>
      </c>
      <c r="B22" s="374" t="s">
        <v>556</v>
      </c>
      <c r="C22" s="246" t="s">
        <v>304</v>
      </c>
      <c r="D22" s="246" t="s">
        <v>305</v>
      </c>
      <c r="E22" s="372" t="s">
        <v>622</v>
      </c>
      <c r="F22" s="372" t="s">
        <v>34</v>
      </c>
      <c r="G22" s="372">
        <v>1</v>
      </c>
      <c r="H22" s="372"/>
      <c r="I22" s="244">
        <f>'P.A. TOTAL '!J28</f>
        <v>559375</v>
      </c>
      <c r="J22" s="373">
        <v>1</v>
      </c>
      <c r="K22" s="373">
        <v>0</v>
      </c>
      <c r="L22" s="374">
        <v>2</v>
      </c>
      <c r="M22" s="374" t="s">
        <v>4</v>
      </c>
      <c r="N22" s="411">
        <v>43831</v>
      </c>
      <c r="O22" s="411">
        <v>43891</v>
      </c>
      <c r="P22" s="195" t="s">
        <v>590</v>
      </c>
      <c r="Q22" s="197"/>
      <c r="R22" s="197"/>
      <c r="S22" s="195" t="s">
        <v>1</v>
      </c>
    </row>
    <row r="23" spans="1:19" ht="93" x14ac:dyDescent="0.25">
      <c r="A23" s="241" t="s">
        <v>263</v>
      </c>
      <c r="B23" s="374" t="s">
        <v>556</v>
      </c>
      <c r="C23" s="372" t="s">
        <v>310</v>
      </c>
      <c r="D23" s="405" t="s">
        <v>591</v>
      </c>
      <c r="E23" s="372" t="s">
        <v>623</v>
      </c>
      <c r="F23" s="372" t="s">
        <v>34</v>
      </c>
      <c r="G23" s="372">
        <v>1</v>
      </c>
      <c r="H23" s="372"/>
      <c r="I23" s="244">
        <f>'P.A. TOTAL '!J29</f>
        <v>312500</v>
      </c>
      <c r="J23" s="373">
        <v>1</v>
      </c>
      <c r="K23" s="373">
        <v>0</v>
      </c>
      <c r="L23" s="374">
        <v>2</v>
      </c>
      <c r="M23" s="374" t="s">
        <v>4</v>
      </c>
      <c r="N23" s="411">
        <v>43831</v>
      </c>
      <c r="O23" s="411">
        <v>43891</v>
      </c>
      <c r="P23" s="195" t="s">
        <v>538</v>
      </c>
      <c r="Q23" s="197"/>
      <c r="R23" s="197"/>
      <c r="S23" s="195" t="s">
        <v>1</v>
      </c>
    </row>
    <row r="24" spans="1:19" ht="69.75" x14ac:dyDescent="0.25">
      <c r="A24" s="241" t="s">
        <v>264</v>
      </c>
      <c r="B24" s="374" t="s">
        <v>556</v>
      </c>
      <c r="C24" s="372" t="s">
        <v>310</v>
      </c>
      <c r="D24" s="405" t="s">
        <v>312</v>
      </c>
      <c r="E24" s="372" t="s">
        <v>623</v>
      </c>
      <c r="F24" s="372" t="s">
        <v>34</v>
      </c>
      <c r="G24" s="372">
        <v>1</v>
      </c>
      <c r="H24" s="372"/>
      <c r="I24" s="244">
        <f>'P.A. TOTAL '!J30</f>
        <v>7813</v>
      </c>
      <c r="J24" s="373">
        <v>1</v>
      </c>
      <c r="K24" s="373">
        <v>0</v>
      </c>
      <c r="L24" s="374">
        <v>2</v>
      </c>
      <c r="M24" s="374" t="s">
        <v>4</v>
      </c>
      <c r="N24" s="411">
        <v>43831</v>
      </c>
      <c r="O24" s="411">
        <v>43891</v>
      </c>
      <c r="P24" s="195" t="s">
        <v>538</v>
      </c>
      <c r="Q24" s="197"/>
      <c r="R24" s="197"/>
      <c r="S24" s="195" t="s">
        <v>1</v>
      </c>
    </row>
    <row r="25" spans="1:19" ht="69.75" x14ac:dyDescent="0.25">
      <c r="A25" s="241" t="s">
        <v>265</v>
      </c>
      <c r="B25" s="374" t="s">
        <v>556</v>
      </c>
      <c r="C25" s="372" t="s">
        <v>310</v>
      </c>
      <c r="D25" s="405" t="s">
        <v>313</v>
      </c>
      <c r="E25" s="372" t="s">
        <v>623</v>
      </c>
      <c r="F25" s="372" t="s">
        <v>34</v>
      </c>
      <c r="G25" s="372">
        <v>1</v>
      </c>
      <c r="H25" s="372"/>
      <c r="I25" s="244">
        <f>'P.A. TOTAL '!J31</f>
        <v>62500</v>
      </c>
      <c r="J25" s="373">
        <v>1</v>
      </c>
      <c r="K25" s="373">
        <v>0</v>
      </c>
      <c r="L25" s="374">
        <v>2</v>
      </c>
      <c r="M25" s="374" t="s">
        <v>4</v>
      </c>
      <c r="N25" s="411">
        <v>43831</v>
      </c>
      <c r="O25" s="411">
        <v>43891</v>
      </c>
      <c r="P25" s="195" t="s">
        <v>538</v>
      </c>
      <c r="Q25" s="197"/>
      <c r="R25" s="197"/>
      <c r="S25" s="195" t="s">
        <v>1</v>
      </c>
    </row>
    <row r="26" spans="1:19" ht="186" x14ac:dyDescent="0.25">
      <c r="A26" s="241" t="s">
        <v>278</v>
      </c>
      <c r="B26" s="374" t="s">
        <v>556</v>
      </c>
      <c r="C26" s="372" t="s">
        <v>319</v>
      </c>
      <c r="D26" s="372" t="s">
        <v>326</v>
      </c>
      <c r="E26" s="372" t="s">
        <v>624</v>
      </c>
      <c r="F26" s="372" t="s">
        <v>34</v>
      </c>
      <c r="G26" s="372">
        <v>1</v>
      </c>
      <c r="H26" s="372"/>
      <c r="I26" s="244">
        <f>'P.A. TOTAL '!J32</f>
        <v>1312500</v>
      </c>
      <c r="J26" s="373">
        <v>1</v>
      </c>
      <c r="K26" s="373">
        <v>0</v>
      </c>
      <c r="L26" s="374">
        <v>2</v>
      </c>
      <c r="M26" s="374" t="s">
        <v>4</v>
      </c>
      <c r="N26" s="411">
        <v>43891</v>
      </c>
      <c r="O26" s="411">
        <v>43952</v>
      </c>
      <c r="P26" s="195" t="s">
        <v>590</v>
      </c>
      <c r="Q26" s="197"/>
      <c r="R26" s="197"/>
      <c r="S26" s="195" t="s">
        <v>1</v>
      </c>
    </row>
    <row r="27" spans="1:19" ht="186" x14ac:dyDescent="0.25">
      <c r="A27" s="241" t="s">
        <v>279</v>
      </c>
      <c r="B27" s="374" t="s">
        <v>556</v>
      </c>
      <c r="C27" s="372" t="s">
        <v>325</v>
      </c>
      <c r="D27" s="372" t="s">
        <v>399</v>
      </c>
      <c r="E27" s="372" t="s">
        <v>618</v>
      </c>
      <c r="F27" s="372" t="s">
        <v>34</v>
      </c>
      <c r="G27" s="372">
        <v>1</v>
      </c>
      <c r="H27" s="372"/>
      <c r="I27" s="244">
        <f>'P.A. TOTAL '!J33</f>
        <v>2981250</v>
      </c>
      <c r="J27" s="373">
        <v>1</v>
      </c>
      <c r="K27" s="373">
        <v>0</v>
      </c>
      <c r="L27" s="374">
        <v>2</v>
      </c>
      <c r="M27" s="374" t="s">
        <v>4</v>
      </c>
      <c r="N27" s="411">
        <v>43709</v>
      </c>
      <c r="O27" s="411">
        <v>43770</v>
      </c>
      <c r="P27" s="195" t="s">
        <v>538</v>
      </c>
      <c r="Q27" s="197"/>
      <c r="R27" s="197"/>
      <c r="S27" s="195" t="s">
        <v>1</v>
      </c>
    </row>
    <row r="28" spans="1:19" ht="69.75" x14ac:dyDescent="0.25">
      <c r="A28" s="241" t="s">
        <v>280</v>
      </c>
      <c r="B28" s="374" t="s">
        <v>556</v>
      </c>
      <c r="C28" s="372" t="s">
        <v>325</v>
      </c>
      <c r="D28" s="372" t="s">
        <v>599</v>
      </c>
      <c r="E28" s="372" t="s">
        <v>618</v>
      </c>
      <c r="F28" s="372" t="s">
        <v>34</v>
      </c>
      <c r="G28" s="372"/>
      <c r="H28" s="372"/>
      <c r="I28" s="244">
        <f>'P.A. TOTAL '!J34</f>
        <v>2812500</v>
      </c>
      <c r="J28" s="373">
        <v>1</v>
      </c>
      <c r="K28" s="373">
        <v>0</v>
      </c>
      <c r="L28" s="374">
        <v>2</v>
      </c>
      <c r="M28" s="374" t="s">
        <v>4</v>
      </c>
      <c r="N28" s="411">
        <v>43678</v>
      </c>
      <c r="O28" s="411">
        <v>43739</v>
      </c>
      <c r="P28" s="195" t="s">
        <v>538</v>
      </c>
      <c r="Q28" s="197"/>
      <c r="R28" s="197"/>
      <c r="S28" s="195" t="s">
        <v>1</v>
      </c>
    </row>
    <row r="29" spans="1:19" ht="69.75" x14ac:dyDescent="0.25">
      <c r="A29" s="241" t="s">
        <v>422</v>
      </c>
      <c r="B29" s="374" t="s">
        <v>556</v>
      </c>
      <c r="C29" s="372" t="s">
        <v>573</v>
      </c>
      <c r="D29" s="372" t="s">
        <v>574</v>
      </c>
      <c r="E29" s="372" t="s">
        <v>625</v>
      </c>
      <c r="F29" s="372" t="s">
        <v>34</v>
      </c>
      <c r="G29" s="372"/>
      <c r="H29" s="372"/>
      <c r="I29" s="244">
        <f>'P.A. TOTAL '!J35</f>
        <v>640796.875</v>
      </c>
      <c r="J29" s="373">
        <v>1</v>
      </c>
      <c r="K29" s="373">
        <v>0</v>
      </c>
      <c r="L29" s="374">
        <v>1</v>
      </c>
      <c r="M29" s="374" t="s">
        <v>4</v>
      </c>
      <c r="N29" s="411">
        <v>43617</v>
      </c>
      <c r="O29" s="411">
        <v>43678</v>
      </c>
      <c r="P29" s="195" t="s">
        <v>539</v>
      </c>
      <c r="Q29" s="197"/>
      <c r="R29" s="197"/>
      <c r="S29" s="195" t="s">
        <v>1</v>
      </c>
    </row>
    <row r="30" spans="1:19" ht="93" x14ac:dyDescent="0.25">
      <c r="A30" s="241" t="s">
        <v>661</v>
      </c>
      <c r="B30" s="374" t="s">
        <v>556</v>
      </c>
      <c r="C30" s="372" t="s">
        <v>582</v>
      </c>
      <c r="D30" s="372" t="s">
        <v>583</v>
      </c>
      <c r="E30" s="372" t="s">
        <v>625</v>
      </c>
      <c r="F30" s="372" t="s">
        <v>34</v>
      </c>
      <c r="G30" s="372">
        <v>1</v>
      </c>
      <c r="H30" s="350"/>
      <c r="I30" s="337">
        <v>0</v>
      </c>
      <c r="J30" s="373">
        <v>1</v>
      </c>
      <c r="K30" s="373">
        <v>0</v>
      </c>
      <c r="L30" s="374">
        <v>1</v>
      </c>
      <c r="M30" s="374" t="s">
        <v>4</v>
      </c>
      <c r="N30" s="351" t="s">
        <v>510</v>
      </c>
      <c r="O30" s="411">
        <v>44256</v>
      </c>
      <c r="P30" s="195" t="s">
        <v>601</v>
      </c>
      <c r="Q30" s="195"/>
      <c r="R30" s="195"/>
      <c r="S30" s="195" t="s">
        <v>1</v>
      </c>
    </row>
    <row r="31" spans="1:19" ht="23.25" x14ac:dyDescent="0.25">
      <c r="A31" s="237"/>
      <c r="B31" s="279"/>
      <c r="C31" s="279"/>
      <c r="D31" s="279"/>
      <c r="E31" s="279"/>
      <c r="F31" s="279"/>
      <c r="G31" s="279"/>
      <c r="H31" s="279"/>
      <c r="I31" s="284"/>
      <c r="J31" s="285"/>
      <c r="K31" s="285"/>
      <c r="L31" s="283"/>
      <c r="M31" s="237"/>
      <c r="N31" s="237"/>
      <c r="O31" s="237"/>
      <c r="P31" s="402"/>
      <c r="Q31" s="133"/>
      <c r="R31" s="133"/>
      <c r="S31" s="402"/>
    </row>
    <row r="32" spans="1:19" ht="23.25" x14ac:dyDescent="0.25">
      <c r="A32" s="238">
        <v>3</v>
      </c>
      <c r="B32" s="512" t="s">
        <v>9</v>
      </c>
      <c r="C32" s="513"/>
      <c r="D32" s="513"/>
      <c r="E32" s="513"/>
      <c r="F32" s="513"/>
      <c r="G32" s="513"/>
      <c r="H32" s="513"/>
      <c r="I32" s="239">
        <f>SUM(I33:I45)</f>
        <v>12955208.336666666</v>
      </c>
      <c r="J32" s="408"/>
      <c r="K32" s="408"/>
      <c r="L32" s="408"/>
      <c r="M32" s="408"/>
      <c r="N32" s="408"/>
      <c r="O32" s="408"/>
      <c r="P32" s="409"/>
      <c r="Q32" s="409"/>
      <c r="R32" s="409"/>
      <c r="S32" s="410"/>
    </row>
    <row r="33" spans="1:19" ht="93" x14ac:dyDescent="0.25">
      <c r="A33" s="241" t="s">
        <v>132</v>
      </c>
      <c r="B33" s="374" t="s">
        <v>556</v>
      </c>
      <c r="C33" s="405" t="s">
        <v>365</v>
      </c>
      <c r="D33" s="405" t="s">
        <v>272</v>
      </c>
      <c r="E33" s="372" t="s">
        <v>612</v>
      </c>
      <c r="F33" s="372" t="s">
        <v>36</v>
      </c>
      <c r="G33" s="372">
        <v>1</v>
      </c>
      <c r="H33" s="354"/>
      <c r="I33" s="412">
        <f>'P.A. TOTAL '!J39</f>
        <v>481250</v>
      </c>
      <c r="J33" s="373">
        <v>1</v>
      </c>
      <c r="K33" s="373">
        <v>0</v>
      </c>
      <c r="L33" s="374">
        <v>2</v>
      </c>
      <c r="M33" s="374" t="s">
        <v>2</v>
      </c>
      <c r="N33" s="411">
        <v>43709</v>
      </c>
      <c r="O33" s="411">
        <v>43831</v>
      </c>
      <c r="P33" s="195"/>
      <c r="Q33" s="197"/>
      <c r="R33" s="197"/>
      <c r="S33" s="195" t="s">
        <v>1</v>
      </c>
    </row>
    <row r="34" spans="1:19" ht="69.75" x14ac:dyDescent="0.25">
      <c r="A34" s="241" t="s">
        <v>141</v>
      </c>
      <c r="B34" s="374" t="s">
        <v>556</v>
      </c>
      <c r="C34" s="405" t="s">
        <v>540</v>
      </c>
      <c r="D34" s="405" t="s">
        <v>541</v>
      </c>
      <c r="E34" s="372" t="s">
        <v>626</v>
      </c>
      <c r="F34" s="372" t="s">
        <v>36</v>
      </c>
      <c r="G34" s="372">
        <v>1</v>
      </c>
      <c r="H34" s="354"/>
      <c r="I34" s="258">
        <f>'P.A. TOTAL '!J40</f>
        <v>1357291.666666667</v>
      </c>
      <c r="J34" s="373">
        <v>1</v>
      </c>
      <c r="K34" s="373">
        <v>0</v>
      </c>
      <c r="L34" s="374">
        <v>2</v>
      </c>
      <c r="M34" s="374" t="s">
        <v>2</v>
      </c>
      <c r="N34" s="411">
        <v>43739</v>
      </c>
      <c r="O34" s="411">
        <v>43862</v>
      </c>
      <c r="P34" s="195"/>
      <c r="Q34" s="197"/>
      <c r="R34" s="197"/>
      <c r="S34" s="195" t="s">
        <v>1</v>
      </c>
    </row>
    <row r="35" spans="1:19" ht="69.75" x14ac:dyDescent="0.25">
      <c r="A35" s="241" t="s">
        <v>268</v>
      </c>
      <c r="B35" s="374" t="s">
        <v>556</v>
      </c>
      <c r="C35" s="246" t="s">
        <v>367</v>
      </c>
      <c r="D35" s="246" t="s">
        <v>368</v>
      </c>
      <c r="E35" s="372" t="s">
        <v>627</v>
      </c>
      <c r="F35" s="372" t="s">
        <v>34</v>
      </c>
      <c r="G35" s="372">
        <v>1</v>
      </c>
      <c r="H35" s="354"/>
      <c r="I35" s="399">
        <f>'P.A. TOTAL '!J41</f>
        <v>16666.669999999998</v>
      </c>
      <c r="J35" s="373">
        <v>1</v>
      </c>
      <c r="K35" s="373">
        <v>0</v>
      </c>
      <c r="L35" s="374">
        <v>2</v>
      </c>
      <c r="M35" s="374" t="s">
        <v>4</v>
      </c>
      <c r="N35" s="411">
        <v>43831</v>
      </c>
      <c r="O35" s="411">
        <v>43891</v>
      </c>
      <c r="P35" s="195" t="s">
        <v>70</v>
      </c>
      <c r="Q35" s="197"/>
      <c r="R35" s="197"/>
      <c r="S35" s="195" t="s">
        <v>1</v>
      </c>
    </row>
    <row r="36" spans="1:19" ht="93" x14ac:dyDescent="0.25">
      <c r="A36" s="241" t="s">
        <v>269</v>
      </c>
      <c r="B36" s="374" t="s">
        <v>556</v>
      </c>
      <c r="C36" s="405" t="s">
        <v>370</v>
      </c>
      <c r="D36" s="405" t="s">
        <v>369</v>
      </c>
      <c r="E36" s="372" t="s">
        <v>628</v>
      </c>
      <c r="F36" s="372" t="s">
        <v>34</v>
      </c>
      <c r="G36" s="372">
        <v>1</v>
      </c>
      <c r="H36" s="354"/>
      <c r="I36" s="244">
        <v>0</v>
      </c>
      <c r="J36" s="373">
        <v>1</v>
      </c>
      <c r="K36" s="373">
        <v>0</v>
      </c>
      <c r="L36" s="374">
        <v>2</v>
      </c>
      <c r="M36" s="374" t="s">
        <v>4</v>
      </c>
      <c r="N36" s="411">
        <v>44197</v>
      </c>
      <c r="O36" s="411">
        <v>44256</v>
      </c>
      <c r="P36" s="195" t="s">
        <v>70</v>
      </c>
      <c r="Q36" s="197"/>
      <c r="R36" s="197"/>
      <c r="S36" s="195" t="s">
        <v>1</v>
      </c>
    </row>
    <row r="37" spans="1:19" ht="69.75" x14ac:dyDescent="0.25">
      <c r="A37" s="241" t="s">
        <v>270</v>
      </c>
      <c r="B37" s="374" t="s">
        <v>556</v>
      </c>
      <c r="C37" s="405" t="s">
        <v>372</v>
      </c>
      <c r="D37" s="405" t="s">
        <v>314</v>
      </c>
      <c r="E37" s="372" t="s">
        <v>623</v>
      </c>
      <c r="F37" s="372" t="s">
        <v>36</v>
      </c>
      <c r="G37" s="372">
        <v>1</v>
      </c>
      <c r="H37" s="354"/>
      <c r="I37" s="244">
        <f>'P.A. TOTAL '!J43</f>
        <v>250000</v>
      </c>
      <c r="J37" s="373">
        <v>1</v>
      </c>
      <c r="K37" s="373">
        <v>0</v>
      </c>
      <c r="L37" s="374">
        <v>2</v>
      </c>
      <c r="M37" s="374" t="s">
        <v>2</v>
      </c>
      <c r="N37" s="411">
        <v>43647</v>
      </c>
      <c r="O37" s="411">
        <v>43800</v>
      </c>
      <c r="P37" s="195"/>
      <c r="Q37" s="197"/>
      <c r="R37" s="197"/>
      <c r="S37" s="195" t="s">
        <v>1</v>
      </c>
    </row>
    <row r="38" spans="1:19" ht="116.25" x14ac:dyDescent="0.25">
      <c r="A38" s="241" t="s">
        <v>271</v>
      </c>
      <c r="B38" s="374" t="s">
        <v>556</v>
      </c>
      <c r="C38" s="246" t="s">
        <v>371</v>
      </c>
      <c r="D38" s="246" t="s">
        <v>323</v>
      </c>
      <c r="E38" s="372" t="s">
        <v>629</v>
      </c>
      <c r="F38" s="372" t="s">
        <v>34</v>
      </c>
      <c r="G38" s="372">
        <v>1</v>
      </c>
      <c r="H38" s="354"/>
      <c r="I38" s="413">
        <f>'P.A. TOTAL '!J44</f>
        <v>93750</v>
      </c>
      <c r="J38" s="414">
        <v>1</v>
      </c>
      <c r="K38" s="414">
        <v>0</v>
      </c>
      <c r="L38" s="415">
        <v>2</v>
      </c>
      <c r="M38" s="415" t="s">
        <v>4</v>
      </c>
      <c r="N38" s="416">
        <v>43800</v>
      </c>
      <c r="O38" s="416">
        <v>43862</v>
      </c>
      <c r="P38" s="195" t="s">
        <v>70</v>
      </c>
      <c r="Q38" s="197"/>
      <c r="R38" s="197"/>
      <c r="S38" s="195" t="s">
        <v>1</v>
      </c>
    </row>
    <row r="39" spans="1:19" ht="69.75" x14ac:dyDescent="0.25">
      <c r="A39" s="241" t="s">
        <v>424</v>
      </c>
      <c r="B39" s="374" t="s">
        <v>556</v>
      </c>
      <c r="C39" s="372" t="s">
        <v>555</v>
      </c>
      <c r="D39" s="372" t="s">
        <v>160</v>
      </c>
      <c r="E39" s="372" t="s">
        <v>630</v>
      </c>
      <c r="F39" s="372" t="s">
        <v>36</v>
      </c>
      <c r="G39" s="372">
        <v>1</v>
      </c>
      <c r="H39" s="372"/>
      <c r="I39" s="337">
        <f>'P.A. TOTAL '!J45</f>
        <v>4825000</v>
      </c>
      <c r="J39" s="373">
        <v>1</v>
      </c>
      <c r="K39" s="373">
        <v>0</v>
      </c>
      <c r="L39" s="374">
        <v>1</v>
      </c>
      <c r="M39" s="374" t="s">
        <v>2</v>
      </c>
      <c r="N39" s="411">
        <v>43647</v>
      </c>
      <c r="O39" s="411">
        <v>43800</v>
      </c>
      <c r="P39" s="195" t="s">
        <v>557</v>
      </c>
      <c r="Q39" s="197"/>
      <c r="R39" s="197"/>
      <c r="S39" s="195" t="s">
        <v>1</v>
      </c>
    </row>
    <row r="40" spans="1:19" ht="69.75" x14ac:dyDescent="0.25">
      <c r="A40" s="241" t="s">
        <v>548</v>
      </c>
      <c r="B40" s="374" t="s">
        <v>556</v>
      </c>
      <c r="C40" s="372" t="s">
        <v>602</v>
      </c>
      <c r="D40" s="372" t="s">
        <v>553</v>
      </c>
      <c r="E40" s="372" t="s">
        <v>631</v>
      </c>
      <c r="F40" s="372" t="s">
        <v>34</v>
      </c>
      <c r="G40" s="372">
        <v>1</v>
      </c>
      <c r="H40" s="372"/>
      <c r="I40" s="244">
        <f>'P.A. TOTAL '!J46</f>
        <v>50000</v>
      </c>
      <c r="J40" s="373">
        <v>1</v>
      </c>
      <c r="K40" s="373">
        <v>0</v>
      </c>
      <c r="L40" s="374">
        <v>1</v>
      </c>
      <c r="M40" s="374" t="s">
        <v>4</v>
      </c>
      <c r="N40" s="351" t="s">
        <v>514</v>
      </c>
      <c r="O40" s="351" t="s">
        <v>233</v>
      </c>
      <c r="P40" s="195" t="s">
        <v>70</v>
      </c>
      <c r="Q40" s="197"/>
      <c r="R40" s="197"/>
      <c r="S40" s="195" t="s">
        <v>1</v>
      </c>
    </row>
    <row r="41" spans="1:19" ht="279" x14ac:dyDescent="0.25">
      <c r="A41" s="241" t="s">
        <v>549</v>
      </c>
      <c r="B41" s="374" t="s">
        <v>556</v>
      </c>
      <c r="C41" s="372" t="s">
        <v>559</v>
      </c>
      <c r="D41" s="372" t="s">
        <v>560</v>
      </c>
      <c r="E41" s="372" t="s">
        <v>632</v>
      </c>
      <c r="F41" s="372" t="s">
        <v>36</v>
      </c>
      <c r="G41" s="372">
        <v>1</v>
      </c>
      <c r="H41" s="354"/>
      <c r="I41" s="244">
        <f>0</f>
        <v>0</v>
      </c>
      <c r="J41" s="373">
        <v>1</v>
      </c>
      <c r="K41" s="373">
        <v>0</v>
      </c>
      <c r="L41" s="374">
        <v>1</v>
      </c>
      <c r="M41" s="374" t="s">
        <v>2</v>
      </c>
      <c r="N41" s="411">
        <v>43831</v>
      </c>
      <c r="O41" s="411">
        <v>43983</v>
      </c>
      <c r="P41" s="195" t="s">
        <v>557</v>
      </c>
      <c r="Q41" s="197"/>
      <c r="R41" s="197"/>
      <c r="S41" s="195" t="s">
        <v>1</v>
      </c>
    </row>
    <row r="42" spans="1:19" ht="139.5" x14ac:dyDescent="0.25">
      <c r="A42" s="241" t="s">
        <v>550</v>
      </c>
      <c r="B42" s="374" t="s">
        <v>556</v>
      </c>
      <c r="C42" s="372" t="s">
        <v>648</v>
      </c>
      <c r="D42" s="372" t="s">
        <v>665</v>
      </c>
      <c r="E42" s="397" t="s">
        <v>633</v>
      </c>
      <c r="F42" s="372" t="s">
        <v>36</v>
      </c>
      <c r="G42" s="372">
        <v>1</v>
      </c>
      <c r="H42" s="372"/>
      <c r="I42" s="258">
        <f>'P.A. TOTAL '!J48</f>
        <v>2381250</v>
      </c>
      <c r="J42" s="373">
        <v>1</v>
      </c>
      <c r="K42" s="373">
        <v>0</v>
      </c>
      <c r="L42" s="374">
        <v>2</v>
      </c>
      <c r="M42" s="374" t="s">
        <v>3</v>
      </c>
      <c r="N42" s="411">
        <v>43647</v>
      </c>
      <c r="O42" s="411">
        <v>43800</v>
      </c>
      <c r="P42" s="195"/>
      <c r="Q42" s="197"/>
      <c r="R42" s="197"/>
      <c r="S42" s="195" t="s">
        <v>1</v>
      </c>
    </row>
    <row r="43" spans="1:19" ht="69.75" x14ac:dyDescent="0.25">
      <c r="A43" s="241" t="s">
        <v>551</v>
      </c>
      <c r="B43" s="374" t="s">
        <v>556</v>
      </c>
      <c r="C43" s="246" t="s">
        <v>603</v>
      </c>
      <c r="D43" s="246" t="s">
        <v>605</v>
      </c>
      <c r="E43" s="372" t="s">
        <v>622</v>
      </c>
      <c r="F43" s="372" t="s">
        <v>34</v>
      </c>
      <c r="G43" s="372">
        <v>1</v>
      </c>
      <c r="H43" s="372"/>
      <c r="I43" s="413">
        <f>'P.A. TOTAL '!J49</f>
        <v>2812500</v>
      </c>
      <c r="J43" s="414">
        <v>1</v>
      </c>
      <c r="K43" s="414">
        <v>0</v>
      </c>
      <c r="L43" s="415">
        <v>2</v>
      </c>
      <c r="M43" s="415" t="s">
        <v>4</v>
      </c>
      <c r="N43" s="416">
        <v>43709</v>
      </c>
      <c r="O43" s="416">
        <v>43770</v>
      </c>
      <c r="P43" s="195" t="s">
        <v>70</v>
      </c>
      <c r="Q43" s="197"/>
      <c r="R43" s="197"/>
      <c r="S43" s="195" t="s">
        <v>1</v>
      </c>
    </row>
    <row r="44" spans="1:19" ht="93" x14ac:dyDescent="0.25">
      <c r="A44" s="241" t="s">
        <v>554</v>
      </c>
      <c r="B44" s="374" t="s">
        <v>556</v>
      </c>
      <c r="C44" s="246" t="s">
        <v>604</v>
      </c>
      <c r="D44" s="246" t="s">
        <v>606</v>
      </c>
      <c r="E44" s="372" t="s">
        <v>622</v>
      </c>
      <c r="F44" s="372" t="s">
        <v>34</v>
      </c>
      <c r="G44" s="372">
        <v>1</v>
      </c>
      <c r="H44" s="372"/>
      <c r="I44" s="413">
        <f>'P.A. TOTAL '!J50</f>
        <v>187500</v>
      </c>
      <c r="J44" s="414">
        <v>1</v>
      </c>
      <c r="K44" s="414">
        <v>0</v>
      </c>
      <c r="L44" s="415">
        <v>2</v>
      </c>
      <c r="M44" s="415" t="s">
        <v>4</v>
      </c>
      <c r="N44" s="416">
        <v>43709</v>
      </c>
      <c r="O44" s="416">
        <v>43770</v>
      </c>
      <c r="P44" s="195" t="s">
        <v>70</v>
      </c>
      <c r="Q44" s="197"/>
      <c r="R44" s="197"/>
      <c r="S44" s="195" t="s">
        <v>1</v>
      </c>
    </row>
    <row r="45" spans="1:19" ht="69.75" x14ac:dyDescent="0.25">
      <c r="A45" s="241" t="s">
        <v>666</v>
      </c>
      <c r="B45" s="374" t="s">
        <v>556</v>
      </c>
      <c r="C45" s="372" t="s">
        <v>533</v>
      </c>
      <c r="D45" s="372" t="s">
        <v>581</v>
      </c>
      <c r="E45" s="372" t="s">
        <v>340</v>
      </c>
      <c r="F45" s="372" t="s">
        <v>34</v>
      </c>
      <c r="G45" s="372">
        <v>1</v>
      </c>
      <c r="H45" s="372"/>
      <c r="I45" s="244">
        <f>'P.A. TOTAL '!J51</f>
        <v>500000</v>
      </c>
      <c r="J45" s="373">
        <v>1</v>
      </c>
      <c r="K45" s="373">
        <v>0</v>
      </c>
      <c r="L45" s="374" t="s">
        <v>335</v>
      </c>
      <c r="M45" s="374" t="s">
        <v>4</v>
      </c>
      <c r="N45" s="351" t="s">
        <v>650</v>
      </c>
      <c r="O45" s="411">
        <v>43617</v>
      </c>
      <c r="P45" s="195"/>
      <c r="Q45" s="197"/>
      <c r="R45" s="197"/>
      <c r="S45" s="195" t="s">
        <v>1</v>
      </c>
    </row>
    <row r="46" spans="1:19" ht="23.25" x14ac:dyDescent="0.25">
      <c r="A46" s="237"/>
      <c r="B46" s="279"/>
      <c r="C46" s="279"/>
      <c r="D46" s="279"/>
      <c r="E46" s="279"/>
      <c r="F46" s="279"/>
      <c r="G46" s="279"/>
      <c r="H46" s="279"/>
      <c r="I46" s="284"/>
      <c r="J46" s="285"/>
      <c r="K46" s="285"/>
      <c r="L46" s="283"/>
      <c r="M46" s="237"/>
      <c r="N46" s="237"/>
      <c r="O46" s="237"/>
      <c r="P46" s="402"/>
      <c r="Q46" s="133"/>
      <c r="R46" s="133"/>
      <c r="S46" s="402"/>
    </row>
    <row r="47" spans="1:19" ht="23.25" x14ac:dyDescent="0.25">
      <c r="A47" s="238">
        <v>4</v>
      </c>
      <c r="B47" s="512" t="s">
        <v>607</v>
      </c>
      <c r="C47" s="513"/>
      <c r="D47" s="513"/>
      <c r="E47" s="513"/>
      <c r="F47" s="513"/>
      <c r="G47" s="513"/>
      <c r="H47" s="513"/>
      <c r="I47" s="239">
        <f>SUM(I48:I81)</f>
        <v>19242291.676666666</v>
      </c>
      <c r="J47" s="408"/>
      <c r="K47" s="408"/>
      <c r="L47" s="408"/>
      <c r="M47" s="408"/>
      <c r="N47" s="408"/>
      <c r="O47" s="408"/>
      <c r="P47" s="409"/>
      <c r="Q47" s="409"/>
      <c r="R47" s="409"/>
      <c r="S47" s="410"/>
    </row>
    <row r="48" spans="1:19" ht="93" x14ac:dyDescent="0.25">
      <c r="A48" s="241" t="s">
        <v>133</v>
      </c>
      <c r="B48" s="374" t="s">
        <v>556</v>
      </c>
      <c r="C48" s="372" t="s">
        <v>552</v>
      </c>
      <c r="D48" s="372" t="s">
        <v>158</v>
      </c>
      <c r="E48" s="372" t="s">
        <v>635</v>
      </c>
      <c r="F48" s="372" t="s">
        <v>41</v>
      </c>
      <c r="G48" s="372">
        <v>1</v>
      </c>
      <c r="H48" s="372"/>
      <c r="I48" s="337">
        <f>'P.A. TOTAL '!J54</f>
        <v>2167500</v>
      </c>
      <c r="J48" s="373">
        <v>1</v>
      </c>
      <c r="K48" s="373">
        <v>0</v>
      </c>
      <c r="L48" s="374">
        <v>1</v>
      </c>
      <c r="M48" s="374" t="s">
        <v>3</v>
      </c>
      <c r="N48" s="351" t="s">
        <v>232</v>
      </c>
      <c r="O48" s="351" t="s">
        <v>233</v>
      </c>
      <c r="P48" s="195" t="s">
        <v>557</v>
      </c>
      <c r="Q48" s="197"/>
      <c r="R48" s="197"/>
      <c r="S48" s="195" t="s">
        <v>1</v>
      </c>
    </row>
    <row r="49" spans="1:19" ht="69.75" x14ac:dyDescent="0.25">
      <c r="A49" s="241" t="s">
        <v>125</v>
      </c>
      <c r="B49" s="374" t="s">
        <v>556</v>
      </c>
      <c r="C49" s="372" t="s">
        <v>558</v>
      </c>
      <c r="D49" s="372" t="s">
        <v>164</v>
      </c>
      <c r="E49" s="372" t="s">
        <v>634</v>
      </c>
      <c r="F49" s="372" t="s">
        <v>41</v>
      </c>
      <c r="G49" s="372">
        <v>1</v>
      </c>
      <c r="H49" s="372"/>
      <c r="I49" s="337">
        <f>'P.A. TOTAL '!J55</f>
        <v>846875</v>
      </c>
      <c r="J49" s="373">
        <v>1</v>
      </c>
      <c r="K49" s="373">
        <v>0</v>
      </c>
      <c r="L49" s="374">
        <v>1</v>
      </c>
      <c r="M49" s="374" t="s">
        <v>2</v>
      </c>
      <c r="N49" s="411">
        <v>43831</v>
      </c>
      <c r="O49" s="411">
        <v>43983</v>
      </c>
      <c r="P49" s="195" t="s">
        <v>557</v>
      </c>
      <c r="Q49" s="197"/>
      <c r="R49" s="197"/>
      <c r="S49" s="195" t="s">
        <v>1</v>
      </c>
    </row>
    <row r="50" spans="1:19" ht="69.75" x14ac:dyDescent="0.25">
      <c r="A50" s="241" t="s">
        <v>128</v>
      </c>
      <c r="B50" s="374" t="s">
        <v>556</v>
      </c>
      <c r="C50" s="372" t="s">
        <v>558</v>
      </c>
      <c r="D50" s="372" t="s">
        <v>180</v>
      </c>
      <c r="E50" s="372" t="s">
        <v>636</v>
      </c>
      <c r="F50" s="372" t="s">
        <v>41</v>
      </c>
      <c r="G50" s="372">
        <v>1</v>
      </c>
      <c r="H50" s="372"/>
      <c r="I50" s="337">
        <f>'P.A. TOTAL '!J56</f>
        <v>214375</v>
      </c>
      <c r="J50" s="373">
        <v>1</v>
      </c>
      <c r="K50" s="373">
        <v>0</v>
      </c>
      <c r="L50" s="374">
        <v>1</v>
      </c>
      <c r="M50" s="374" t="s">
        <v>2</v>
      </c>
      <c r="N50" s="411">
        <v>43831</v>
      </c>
      <c r="O50" s="411">
        <v>43983</v>
      </c>
      <c r="P50" s="195" t="s">
        <v>557</v>
      </c>
      <c r="Q50" s="197"/>
      <c r="R50" s="197"/>
      <c r="S50" s="195" t="s">
        <v>1</v>
      </c>
    </row>
    <row r="51" spans="1:19" ht="162.75" x14ac:dyDescent="0.25">
      <c r="A51" s="241" t="s">
        <v>134</v>
      </c>
      <c r="B51" s="374" t="s">
        <v>556</v>
      </c>
      <c r="C51" s="405" t="s">
        <v>216</v>
      </c>
      <c r="D51" s="405" t="s">
        <v>593</v>
      </c>
      <c r="E51" s="405" t="s">
        <v>637</v>
      </c>
      <c r="F51" s="372" t="s">
        <v>41</v>
      </c>
      <c r="G51" s="372">
        <v>1</v>
      </c>
      <c r="H51" s="372"/>
      <c r="I51" s="412">
        <f>'P.A. TOTAL '!J57</f>
        <v>496875</v>
      </c>
      <c r="J51" s="373">
        <v>1</v>
      </c>
      <c r="K51" s="373">
        <v>0</v>
      </c>
      <c r="L51" s="374">
        <v>2</v>
      </c>
      <c r="M51" s="374" t="s">
        <v>2</v>
      </c>
      <c r="N51" s="411">
        <v>43831</v>
      </c>
      <c r="O51" s="411">
        <v>43983</v>
      </c>
      <c r="P51" s="195"/>
      <c r="Q51" s="197"/>
      <c r="R51" s="197"/>
      <c r="S51" s="195" t="s">
        <v>1</v>
      </c>
    </row>
    <row r="52" spans="1:19" ht="93" x14ac:dyDescent="0.25">
      <c r="A52" s="241" t="s">
        <v>127</v>
      </c>
      <c r="B52" s="374" t="s">
        <v>556</v>
      </c>
      <c r="C52" s="405" t="s">
        <v>543</v>
      </c>
      <c r="D52" s="405" t="s">
        <v>542</v>
      </c>
      <c r="E52" s="405" t="s">
        <v>637</v>
      </c>
      <c r="F52" s="372" t="s">
        <v>77</v>
      </c>
      <c r="G52" s="372">
        <v>1</v>
      </c>
      <c r="H52" s="372"/>
      <c r="I52" s="342">
        <f>'P.A. TOTAL '!J58</f>
        <v>15625</v>
      </c>
      <c r="J52" s="373">
        <v>1</v>
      </c>
      <c r="K52" s="373">
        <v>0</v>
      </c>
      <c r="L52" s="374">
        <v>2</v>
      </c>
      <c r="M52" s="374" t="s">
        <v>2</v>
      </c>
      <c r="N52" s="411">
        <v>43922</v>
      </c>
      <c r="O52" s="411">
        <v>44013</v>
      </c>
      <c r="P52" s="195"/>
      <c r="Q52" s="197"/>
      <c r="R52" s="197"/>
      <c r="S52" s="195" t="s">
        <v>1</v>
      </c>
    </row>
    <row r="53" spans="1:19" ht="93" x14ac:dyDescent="0.25">
      <c r="A53" s="241" t="s">
        <v>131</v>
      </c>
      <c r="B53" s="374" t="s">
        <v>556</v>
      </c>
      <c r="C53" s="405" t="s">
        <v>222</v>
      </c>
      <c r="D53" s="405" t="s">
        <v>531</v>
      </c>
      <c r="E53" s="405" t="s">
        <v>637</v>
      </c>
      <c r="F53" s="372" t="s">
        <v>77</v>
      </c>
      <c r="G53" s="372">
        <v>1</v>
      </c>
      <c r="H53" s="372"/>
      <c r="I53" s="412">
        <f>'P.A. TOTAL '!J59</f>
        <v>78125</v>
      </c>
      <c r="J53" s="373">
        <v>1</v>
      </c>
      <c r="K53" s="373">
        <v>0</v>
      </c>
      <c r="L53" s="374">
        <v>2</v>
      </c>
      <c r="M53" s="374" t="s">
        <v>2</v>
      </c>
      <c r="N53" s="411">
        <v>43831</v>
      </c>
      <c r="O53" s="411">
        <v>43922</v>
      </c>
      <c r="P53" s="195"/>
      <c r="Q53" s="197"/>
      <c r="R53" s="197"/>
      <c r="S53" s="195" t="s">
        <v>1</v>
      </c>
    </row>
    <row r="54" spans="1:19" ht="93" x14ac:dyDescent="0.25">
      <c r="A54" s="241" t="s">
        <v>129</v>
      </c>
      <c r="B54" s="374" t="s">
        <v>556</v>
      </c>
      <c r="C54" s="405" t="s">
        <v>223</v>
      </c>
      <c r="D54" s="405" t="s">
        <v>189</v>
      </c>
      <c r="E54" s="405" t="s">
        <v>637</v>
      </c>
      <c r="F54" s="372" t="s">
        <v>77</v>
      </c>
      <c r="G54" s="372">
        <v>1</v>
      </c>
      <c r="H54" s="372"/>
      <c r="I54" s="412">
        <f>'P.A. TOTAL '!J60</f>
        <v>37500</v>
      </c>
      <c r="J54" s="373">
        <v>1</v>
      </c>
      <c r="K54" s="373">
        <v>0</v>
      </c>
      <c r="L54" s="374">
        <v>2</v>
      </c>
      <c r="M54" s="374" t="s">
        <v>2</v>
      </c>
      <c r="N54" s="411">
        <v>43831</v>
      </c>
      <c r="O54" s="411">
        <v>43922</v>
      </c>
      <c r="P54" s="195"/>
      <c r="Q54" s="197"/>
      <c r="R54" s="197"/>
      <c r="S54" s="195" t="s">
        <v>1</v>
      </c>
    </row>
    <row r="55" spans="1:19" ht="93" x14ac:dyDescent="0.25">
      <c r="A55" s="241" t="s">
        <v>142</v>
      </c>
      <c r="B55" s="374" t="s">
        <v>556</v>
      </c>
      <c r="C55" s="405" t="s">
        <v>223</v>
      </c>
      <c r="D55" s="405" t="s">
        <v>608</v>
      </c>
      <c r="E55" s="405" t="s">
        <v>637</v>
      </c>
      <c r="F55" s="372" t="s">
        <v>77</v>
      </c>
      <c r="G55" s="372">
        <v>1</v>
      </c>
      <c r="H55" s="372"/>
      <c r="I55" s="412">
        <f>'P.A. TOTAL '!J61</f>
        <v>37500</v>
      </c>
      <c r="J55" s="373">
        <v>1</v>
      </c>
      <c r="K55" s="373">
        <v>0</v>
      </c>
      <c r="L55" s="374">
        <v>2</v>
      </c>
      <c r="M55" s="374" t="s">
        <v>2</v>
      </c>
      <c r="N55" s="411">
        <v>43831</v>
      </c>
      <c r="O55" s="411">
        <v>43922</v>
      </c>
      <c r="P55" s="195"/>
      <c r="Q55" s="197"/>
      <c r="R55" s="197"/>
      <c r="S55" s="195" t="s">
        <v>1</v>
      </c>
    </row>
    <row r="56" spans="1:19" ht="93" x14ac:dyDescent="0.25">
      <c r="A56" s="241" t="s">
        <v>148</v>
      </c>
      <c r="B56" s="374" t="s">
        <v>556</v>
      </c>
      <c r="C56" s="405" t="s">
        <v>384</v>
      </c>
      <c r="D56" s="405" t="s">
        <v>192</v>
      </c>
      <c r="E56" s="405" t="s">
        <v>637</v>
      </c>
      <c r="F56" s="372" t="s">
        <v>77</v>
      </c>
      <c r="G56" s="372">
        <v>1</v>
      </c>
      <c r="H56" s="372"/>
      <c r="I56" s="412">
        <f>'P.A. TOTAL '!J62</f>
        <v>62500</v>
      </c>
      <c r="J56" s="373">
        <v>1</v>
      </c>
      <c r="K56" s="373">
        <v>0</v>
      </c>
      <c r="L56" s="374">
        <v>2</v>
      </c>
      <c r="M56" s="374" t="s">
        <v>2</v>
      </c>
      <c r="N56" s="411">
        <v>43831</v>
      </c>
      <c r="O56" s="411">
        <v>43922</v>
      </c>
      <c r="P56" s="195"/>
      <c r="Q56" s="197"/>
      <c r="R56" s="197"/>
      <c r="S56" s="195" t="s">
        <v>1</v>
      </c>
    </row>
    <row r="57" spans="1:19" ht="116.25" x14ac:dyDescent="0.25">
      <c r="A57" s="241" t="s">
        <v>165</v>
      </c>
      <c r="B57" s="374" t="s">
        <v>556</v>
      </c>
      <c r="C57" s="405" t="s">
        <v>388</v>
      </c>
      <c r="D57" s="405" t="s">
        <v>285</v>
      </c>
      <c r="E57" s="372" t="s">
        <v>638</v>
      </c>
      <c r="F57" s="372" t="s">
        <v>41</v>
      </c>
      <c r="G57" s="372">
        <v>1</v>
      </c>
      <c r="H57" s="372"/>
      <c r="I57" s="258">
        <f>'P.A. TOTAL '!J63</f>
        <v>2714583.333333333</v>
      </c>
      <c r="J57" s="373">
        <v>1</v>
      </c>
      <c r="K57" s="373">
        <v>0</v>
      </c>
      <c r="L57" s="374">
        <v>2</v>
      </c>
      <c r="M57" s="374" t="s">
        <v>3</v>
      </c>
      <c r="N57" s="411">
        <v>43647</v>
      </c>
      <c r="O57" s="411">
        <v>43800</v>
      </c>
      <c r="P57" s="195"/>
      <c r="Q57" s="197"/>
      <c r="R57" s="197"/>
      <c r="S57" s="195" t="s">
        <v>1</v>
      </c>
    </row>
    <row r="58" spans="1:19" ht="186" x14ac:dyDescent="0.25">
      <c r="A58" s="241" t="s">
        <v>166</v>
      </c>
      <c r="B58" s="374" t="s">
        <v>556</v>
      </c>
      <c r="C58" s="405" t="s">
        <v>387</v>
      </c>
      <c r="D58" s="405" t="s">
        <v>289</v>
      </c>
      <c r="E58" s="372" t="s">
        <v>639</v>
      </c>
      <c r="F58" s="372" t="s">
        <v>41</v>
      </c>
      <c r="G58" s="372">
        <v>1</v>
      </c>
      <c r="H58" s="372"/>
      <c r="I58" s="244">
        <v>0</v>
      </c>
      <c r="J58" s="373">
        <v>1</v>
      </c>
      <c r="K58" s="373">
        <v>0</v>
      </c>
      <c r="L58" s="374">
        <v>2</v>
      </c>
      <c r="M58" s="374" t="s">
        <v>2</v>
      </c>
      <c r="N58" s="351" t="s">
        <v>515</v>
      </c>
      <c r="O58" s="351" t="s">
        <v>610</v>
      </c>
      <c r="P58" s="195"/>
      <c r="Q58" s="197"/>
      <c r="R58" s="197"/>
      <c r="S58" s="195" t="s">
        <v>1</v>
      </c>
    </row>
    <row r="59" spans="1:19" ht="139.5" x14ac:dyDescent="0.25">
      <c r="A59" s="241" t="s">
        <v>167</v>
      </c>
      <c r="B59" s="374" t="s">
        <v>556</v>
      </c>
      <c r="C59" s="405" t="s">
        <v>609</v>
      </c>
      <c r="D59" s="405" t="s">
        <v>609</v>
      </c>
      <c r="E59" s="372" t="s">
        <v>640</v>
      </c>
      <c r="F59" s="372" t="s">
        <v>77</v>
      </c>
      <c r="G59" s="372">
        <v>1</v>
      </c>
      <c r="H59" s="372"/>
      <c r="I59" s="244">
        <v>0</v>
      </c>
      <c r="J59" s="373">
        <v>1</v>
      </c>
      <c r="K59" s="373">
        <v>0</v>
      </c>
      <c r="L59" s="374">
        <v>2</v>
      </c>
      <c r="M59" s="374" t="s">
        <v>2</v>
      </c>
      <c r="N59" s="351" t="s">
        <v>512</v>
      </c>
      <c r="O59" s="351" t="s">
        <v>513</v>
      </c>
      <c r="P59" s="195"/>
      <c r="Q59" s="197"/>
      <c r="R59" s="197"/>
      <c r="S59" s="195" t="s">
        <v>1</v>
      </c>
    </row>
    <row r="60" spans="1:19" ht="93" x14ac:dyDescent="0.25">
      <c r="A60" s="241" t="s">
        <v>168</v>
      </c>
      <c r="B60" s="374" t="s">
        <v>556</v>
      </c>
      <c r="C60" s="405" t="s">
        <v>389</v>
      </c>
      <c r="D60" s="405" t="s">
        <v>291</v>
      </c>
      <c r="E60" s="372" t="s">
        <v>640</v>
      </c>
      <c r="F60" s="372" t="s">
        <v>77</v>
      </c>
      <c r="G60" s="372">
        <v>1</v>
      </c>
      <c r="H60" s="372"/>
      <c r="I60" s="244">
        <v>0</v>
      </c>
      <c r="J60" s="373">
        <v>1</v>
      </c>
      <c r="K60" s="373">
        <v>0</v>
      </c>
      <c r="L60" s="374">
        <v>2</v>
      </c>
      <c r="M60" s="374" t="s">
        <v>2</v>
      </c>
      <c r="N60" s="351" t="s">
        <v>512</v>
      </c>
      <c r="O60" s="351" t="s">
        <v>513</v>
      </c>
      <c r="P60" s="195"/>
      <c r="Q60" s="197"/>
      <c r="R60" s="197"/>
      <c r="S60" s="195" t="s">
        <v>1</v>
      </c>
    </row>
    <row r="61" spans="1:19" ht="116.25" x14ac:dyDescent="0.25">
      <c r="A61" s="241" t="s">
        <v>169</v>
      </c>
      <c r="B61" s="374" t="s">
        <v>556</v>
      </c>
      <c r="C61" s="405" t="s">
        <v>437</v>
      </c>
      <c r="D61" s="405" t="s">
        <v>536</v>
      </c>
      <c r="E61" s="372" t="s">
        <v>627</v>
      </c>
      <c r="F61" s="372" t="s">
        <v>77</v>
      </c>
      <c r="G61" s="372">
        <v>1</v>
      </c>
      <c r="H61" s="372"/>
      <c r="I61" s="399">
        <f>'P.A. TOTAL '!J67</f>
        <v>16666.669999999998</v>
      </c>
      <c r="J61" s="373">
        <v>1</v>
      </c>
      <c r="K61" s="373">
        <v>0</v>
      </c>
      <c r="L61" s="374">
        <v>2</v>
      </c>
      <c r="M61" s="374" t="s">
        <v>2</v>
      </c>
      <c r="N61" s="411">
        <v>43831</v>
      </c>
      <c r="O61" s="411">
        <v>43922</v>
      </c>
      <c r="P61" s="195"/>
      <c r="Q61" s="197"/>
      <c r="R61" s="197"/>
      <c r="S61" s="195" t="s">
        <v>1</v>
      </c>
    </row>
    <row r="62" spans="1:19" ht="93" x14ac:dyDescent="0.25">
      <c r="A62" s="241" t="s">
        <v>170</v>
      </c>
      <c r="B62" s="374" t="s">
        <v>556</v>
      </c>
      <c r="C62" s="246" t="s">
        <v>440</v>
      </c>
      <c r="D62" s="246" t="s">
        <v>440</v>
      </c>
      <c r="E62" s="372" t="s">
        <v>627</v>
      </c>
      <c r="F62" s="372" t="s">
        <v>77</v>
      </c>
      <c r="G62" s="372">
        <v>1</v>
      </c>
      <c r="H62" s="372"/>
      <c r="I62" s="399">
        <f>'P.A. TOTAL '!J68</f>
        <v>16666.669999999998</v>
      </c>
      <c r="J62" s="373">
        <v>1</v>
      </c>
      <c r="K62" s="373">
        <v>0</v>
      </c>
      <c r="L62" s="374">
        <v>2</v>
      </c>
      <c r="M62" s="374" t="s">
        <v>2</v>
      </c>
      <c r="N62" s="411">
        <v>43831</v>
      </c>
      <c r="O62" s="411">
        <v>43922</v>
      </c>
      <c r="P62" s="195"/>
      <c r="Q62" s="197"/>
      <c r="R62" s="197"/>
      <c r="S62" s="195" t="s">
        <v>1</v>
      </c>
    </row>
    <row r="63" spans="1:19" ht="93" x14ac:dyDescent="0.25">
      <c r="A63" s="241" t="s">
        <v>171</v>
      </c>
      <c r="B63" s="374" t="s">
        <v>556</v>
      </c>
      <c r="C63" s="246" t="s">
        <v>442</v>
      </c>
      <c r="D63" s="246" t="s">
        <v>442</v>
      </c>
      <c r="E63" s="372" t="s">
        <v>627</v>
      </c>
      <c r="F63" s="372" t="s">
        <v>77</v>
      </c>
      <c r="G63" s="372">
        <v>1</v>
      </c>
      <c r="H63" s="372"/>
      <c r="I63" s="399">
        <f>'P.A. TOTAL '!J69</f>
        <v>16666.669999999998</v>
      </c>
      <c r="J63" s="373">
        <v>1</v>
      </c>
      <c r="K63" s="373">
        <v>0</v>
      </c>
      <c r="L63" s="374">
        <v>2</v>
      </c>
      <c r="M63" s="374" t="s">
        <v>2</v>
      </c>
      <c r="N63" s="411">
        <v>43831</v>
      </c>
      <c r="O63" s="411">
        <v>43922</v>
      </c>
      <c r="P63" s="195"/>
      <c r="Q63" s="197"/>
      <c r="R63" s="197"/>
      <c r="S63" s="195" t="s">
        <v>1</v>
      </c>
    </row>
    <row r="64" spans="1:19" ht="93" x14ac:dyDescent="0.25">
      <c r="A64" s="241" t="s">
        <v>172</v>
      </c>
      <c r="B64" s="374" t="s">
        <v>556</v>
      </c>
      <c r="C64" s="246" t="s">
        <v>444</v>
      </c>
      <c r="D64" s="246" t="s">
        <v>445</v>
      </c>
      <c r="E64" s="372" t="s">
        <v>627</v>
      </c>
      <c r="F64" s="372" t="s">
        <v>77</v>
      </c>
      <c r="G64" s="372">
        <v>1</v>
      </c>
      <c r="H64" s="372"/>
      <c r="I64" s="399">
        <f t="shared" ref="I64" si="1">31250/6</f>
        <v>5208.333333333333</v>
      </c>
      <c r="J64" s="373">
        <v>1</v>
      </c>
      <c r="K64" s="373">
        <v>0</v>
      </c>
      <c r="L64" s="374">
        <v>2</v>
      </c>
      <c r="M64" s="374" t="s">
        <v>2</v>
      </c>
      <c r="N64" s="411">
        <v>43831</v>
      </c>
      <c r="O64" s="411">
        <v>43922</v>
      </c>
      <c r="P64" s="195"/>
      <c r="Q64" s="197"/>
      <c r="R64" s="197"/>
      <c r="S64" s="195" t="s">
        <v>1</v>
      </c>
    </row>
    <row r="65" spans="1:19" ht="93" x14ac:dyDescent="0.25">
      <c r="A65" s="241" t="s">
        <v>173</v>
      </c>
      <c r="B65" s="374" t="s">
        <v>556</v>
      </c>
      <c r="C65" s="405" t="s">
        <v>390</v>
      </c>
      <c r="D65" s="405" t="s">
        <v>296</v>
      </c>
      <c r="E65" s="372" t="s">
        <v>628</v>
      </c>
      <c r="F65" s="372" t="s">
        <v>77</v>
      </c>
      <c r="G65" s="372">
        <v>1</v>
      </c>
      <c r="H65" s="372"/>
      <c r="I65" s="244">
        <v>0</v>
      </c>
      <c r="J65" s="373">
        <v>1</v>
      </c>
      <c r="K65" s="373">
        <v>0</v>
      </c>
      <c r="L65" s="374">
        <v>2</v>
      </c>
      <c r="M65" s="374" t="s">
        <v>2</v>
      </c>
      <c r="N65" s="411">
        <v>44136</v>
      </c>
      <c r="O65" s="411">
        <v>44228</v>
      </c>
      <c r="P65" s="195"/>
      <c r="Q65" s="197"/>
      <c r="R65" s="197"/>
      <c r="S65" s="195" t="s">
        <v>1</v>
      </c>
    </row>
    <row r="66" spans="1:19" ht="116.25" x14ac:dyDescent="0.25">
      <c r="A66" s="241" t="s">
        <v>174</v>
      </c>
      <c r="B66" s="374" t="s">
        <v>556</v>
      </c>
      <c r="C66" s="405" t="s">
        <v>391</v>
      </c>
      <c r="D66" s="405" t="s">
        <v>298</v>
      </c>
      <c r="E66" s="372" t="s">
        <v>641</v>
      </c>
      <c r="F66" s="372" t="s">
        <v>41</v>
      </c>
      <c r="G66" s="372">
        <v>1</v>
      </c>
      <c r="H66" s="372"/>
      <c r="I66" s="244">
        <v>0</v>
      </c>
      <c r="J66" s="373">
        <v>1</v>
      </c>
      <c r="K66" s="373">
        <v>0</v>
      </c>
      <c r="L66" s="374">
        <v>2</v>
      </c>
      <c r="M66" s="374" t="s">
        <v>2</v>
      </c>
      <c r="N66" s="411">
        <v>44440</v>
      </c>
      <c r="O66" s="411">
        <v>44593</v>
      </c>
      <c r="P66" s="195"/>
      <c r="Q66" s="197"/>
      <c r="R66" s="197"/>
      <c r="S66" s="195" t="s">
        <v>1</v>
      </c>
    </row>
    <row r="67" spans="1:19" ht="93" x14ac:dyDescent="0.25">
      <c r="A67" s="241" t="s">
        <v>175</v>
      </c>
      <c r="B67" s="374" t="s">
        <v>556</v>
      </c>
      <c r="C67" s="405" t="s">
        <v>392</v>
      </c>
      <c r="D67" s="405" t="s">
        <v>300</v>
      </c>
      <c r="E67" s="372" t="s">
        <v>642</v>
      </c>
      <c r="F67" s="372" t="s">
        <v>77</v>
      </c>
      <c r="G67" s="372">
        <v>1</v>
      </c>
      <c r="H67" s="372"/>
      <c r="I67" s="244">
        <f>'P.A. TOTAL '!J73</f>
        <v>93750</v>
      </c>
      <c r="J67" s="373">
        <v>1</v>
      </c>
      <c r="K67" s="373">
        <v>0</v>
      </c>
      <c r="L67" s="374">
        <v>2</v>
      </c>
      <c r="M67" s="374" t="s">
        <v>3</v>
      </c>
      <c r="N67" s="411">
        <v>43647</v>
      </c>
      <c r="O67" s="411">
        <v>43739</v>
      </c>
      <c r="P67" s="195"/>
      <c r="Q67" s="197"/>
      <c r="R67" s="197"/>
      <c r="S67" s="195" t="s">
        <v>1</v>
      </c>
    </row>
    <row r="68" spans="1:19" ht="162.75" x14ac:dyDescent="0.25">
      <c r="A68" s="241" t="s">
        <v>176</v>
      </c>
      <c r="B68" s="374" t="s">
        <v>556</v>
      </c>
      <c r="C68" s="372" t="s">
        <v>395</v>
      </c>
      <c r="D68" s="372" t="s">
        <v>308</v>
      </c>
      <c r="E68" s="405" t="s">
        <v>637</v>
      </c>
      <c r="F68" s="372" t="s">
        <v>77</v>
      </c>
      <c r="G68" s="372">
        <v>1</v>
      </c>
      <c r="H68" s="372"/>
      <c r="I68" s="412">
        <f>'P.A. TOTAL '!J74</f>
        <v>153125</v>
      </c>
      <c r="J68" s="373">
        <v>1</v>
      </c>
      <c r="K68" s="373">
        <v>0</v>
      </c>
      <c r="L68" s="374">
        <v>2</v>
      </c>
      <c r="M68" s="374" t="s">
        <v>2</v>
      </c>
      <c r="N68" s="411">
        <v>43770</v>
      </c>
      <c r="O68" s="411">
        <v>43862</v>
      </c>
      <c r="P68" s="195"/>
      <c r="Q68" s="197"/>
      <c r="R68" s="197"/>
      <c r="S68" s="195" t="s">
        <v>1</v>
      </c>
    </row>
    <row r="69" spans="1:19" ht="116.25" x14ac:dyDescent="0.25">
      <c r="A69" s="241" t="s">
        <v>177</v>
      </c>
      <c r="B69" s="374" t="s">
        <v>556</v>
      </c>
      <c r="C69" s="387" t="s">
        <v>396</v>
      </c>
      <c r="D69" s="405" t="s">
        <v>322</v>
      </c>
      <c r="E69" s="372" t="s">
        <v>629</v>
      </c>
      <c r="F69" s="372" t="s">
        <v>77</v>
      </c>
      <c r="G69" s="372">
        <v>1</v>
      </c>
      <c r="H69" s="372"/>
      <c r="I69" s="413">
        <f>'P.A. TOTAL '!J75</f>
        <v>109375</v>
      </c>
      <c r="J69" s="414">
        <v>1</v>
      </c>
      <c r="K69" s="414">
        <v>0</v>
      </c>
      <c r="L69" s="415">
        <v>2</v>
      </c>
      <c r="M69" s="415" t="s">
        <v>2</v>
      </c>
      <c r="N69" s="416">
        <v>43678</v>
      </c>
      <c r="O69" s="416">
        <v>43770</v>
      </c>
      <c r="P69" s="195"/>
      <c r="Q69" s="197"/>
      <c r="R69" s="197"/>
      <c r="S69" s="195" t="s">
        <v>1</v>
      </c>
    </row>
    <row r="70" spans="1:19" ht="69.75" x14ac:dyDescent="0.25">
      <c r="A70" s="241" t="s">
        <v>178</v>
      </c>
      <c r="B70" s="374" t="s">
        <v>556</v>
      </c>
      <c r="C70" s="372" t="s">
        <v>532</v>
      </c>
      <c r="D70" s="372" t="s">
        <v>581</v>
      </c>
      <c r="E70" s="372" t="s">
        <v>340</v>
      </c>
      <c r="F70" s="372" t="s">
        <v>41</v>
      </c>
      <c r="G70" s="372">
        <v>1</v>
      </c>
      <c r="H70" s="372"/>
      <c r="I70" s="244">
        <f>'P.A. TOTAL '!J76</f>
        <v>4450000</v>
      </c>
      <c r="J70" s="373">
        <v>1</v>
      </c>
      <c r="K70" s="373">
        <v>0</v>
      </c>
      <c r="L70" s="374" t="s">
        <v>335</v>
      </c>
      <c r="M70" s="374" t="s">
        <v>3</v>
      </c>
      <c r="N70" s="351" t="s">
        <v>650</v>
      </c>
      <c r="O70" s="411">
        <v>43709</v>
      </c>
      <c r="P70" s="195"/>
      <c r="Q70" s="197"/>
      <c r="R70" s="197"/>
      <c r="S70" s="195" t="s">
        <v>1</v>
      </c>
    </row>
    <row r="71" spans="1:19" ht="69.75" x14ac:dyDescent="0.25">
      <c r="A71" s="241" t="s">
        <v>179</v>
      </c>
      <c r="B71" s="374" t="s">
        <v>556</v>
      </c>
      <c r="C71" s="372" t="s">
        <v>351</v>
      </c>
      <c r="D71" s="372" t="s">
        <v>344</v>
      </c>
      <c r="E71" s="372" t="s">
        <v>340</v>
      </c>
      <c r="F71" s="372" t="s">
        <v>41</v>
      </c>
      <c r="G71" s="372">
        <v>1</v>
      </c>
      <c r="H71" s="372"/>
      <c r="I71" s="413">
        <f>'P.A. TOTAL '!J77</f>
        <v>1812500</v>
      </c>
      <c r="J71" s="414">
        <v>1</v>
      </c>
      <c r="K71" s="414">
        <v>0</v>
      </c>
      <c r="L71" s="415" t="s">
        <v>335</v>
      </c>
      <c r="M71" s="415" t="s">
        <v>3</v>
      </c>
      <c r="N71" s="417" t="s">
        <v>234</v>
      </c>
      <c r="O71" s="417" t="s">
        <v>446</v>
      </c>
      <c r="P71" s="195" t="s">
        <v>557</v>
      </c>
      <c r="Q71" s="197"/>
      <c r="R71" s="197"/>
      <c r="S71" s="195" t="s">
        <v>1</v>
      </c>
    </row>
    <row r="72" spans="1:19" ht="69.75" x14ac:dyDescent="0.25">
      <c r="A72" s="241" t="s">
        <v>241</v>
      </c>
      <c r="B72" s="374" t="s">
        <v>556</v>
      </c>
      <c r="C72" s="372" t="s">
        <v>352</v>
      </c>
      <c r="D72" s="372" t="s">
        <v>345</v>
      </c>
      <c r="E72" s="372" t="s">
        <v>340</v>
      </c>
      <c r="F72" s="372" t="s">
        <v>41</v>
      </c>
      <c r="G72" s="372">
        <v>1</v>
      </c>
      <c r="H72" s="372"/>
      <c r="I72" s="244">
        <f>'P.A. TOTAL '!J78</f>
        <v>468750</v>
      </c>
      <c r="J72" s="373">
        <v>1</v>
      </c>
      <c r="K72" s="373">
        <v>0</v>
      </c>
      <c r="L72" s="374" t="s">
        <v>335</v>
      </c>
      <c r="M72" s="374" t="s">
        <v>2</v>
      </c>
      <c r="N72" s="351" t="s">
        <v>234</v>
      </c>
      <c r="O72" s="351" t="s">
        <v>446</v>
      </c>
      <c r="P72" s="195" t="s">
        <v>557</v>
      </c>
      <c r="Q72" s="197"/>
      <c r="R72" s="197"/>
      <c r="S72" s="195" t="s">
        <v>1</v>
      </c>
    </row>
    <row r="73" spans="1:19" ht="93" x14ac:dyDescent="0.25">
      <c r="A73" s="241" t="s">
        <v>432</v>
      </c>
      <c r="B73" s="374" t="s">
        <v>556</v>
      </c>
      <c r="C73" s="372" t="s">
        <v>519</v>
      </c>
      <c r="D73" s="372" t="s">
        <v>570</v>
      </c>
      <c r="E73" s="372" t="s">
        <v>631</v>
      </c>
      <c r="F73" s="372" t="s">
        <v>41</v>
      </c>
      <c r="G73" s="372">
        <v>1</v>
      </c>
      <c r="H73" s="372"/>
      <c r="I73" s="244">
        <f>'P.A. TOTAL '!J79</f>
        <v>1562500</v>
      </c>
      <c r="J73" s="373">
        <v>1</v>
      </c>
      <c r="K73" s="373">
        <v>0</v>
      </c>
      <c r="L73" s="374">
        <v>1</v>
      </c>
      <c r="M73" s="374" t="s">
        <v>3</v>
      </c>
      <c r="N73" s="351" t="s">
        <v>232</v>
      </c>
      <c r="O73" s="351" t="s">
        <v>233</v>
      </c>
      <c r="P73" s="195" t="s">
        <v>557</v>
      </c>
      <c r="Q73" s="197"/>
      <c r="R73" s="197"/>
      <c r="S73" s="195" t="s">
        <v>1</v>
      </c>
    </row>
    <row r="74" spans="1:19" ht="69.75" x14ac:dyDescent="0.25">
      <c r="A74" s="241" t="s">
        <v>404</v>
      </c>
      <c r="B74" s="374" t="s">
        <v>556</v>
      </c>
      <c r="C74" s="372" t="s">
        <v>377</v>
      </c>
      <c r="D74" s="372" t="s">
        <v>520</v>
      </c>
      <c r="E74" s="372" t="s">
        <v>631</v>
      </c>
      <c r="F74" s="372" t="s">
        <v>41</v>
      </c>
      <c r="G74" s="372">
        <v>1</v>
      </c>
      <c r="H74" s="372"/>
      <c r="I74" s="244">
        <v>0</v>
      </c>
      <c r="J74" s="373">
        <v>1</v>
      </c>
      <c r="K74" s="373">
        <v>0</v>
      </c>
      <c r="L74" s="374">
        <v>1</v>
      </c>
      <c r="M74" s="374" t="s">
        <v>3</v>
      </c>
      <c r="N74" s="351" t="s">
        <v>328</v>
      </c>
      <c r="O74" s="351" t="s">
        <v>534</v>
      </c>
      <c r="P74" s="195" t="s">
        <v>557</v>
      </c>
      <c r="Q74" s="197"/>
      <c r="R74" s="197"/>
      <c r="S74" s="195" t="s">
        <v>1</v>
      </c>
    </row>
    <row r="75" spans="1:19" ht="69.75" x14ac:dyDescent="0.25">
      <c r="A75" s="241" t="s">
        <v>434</v>
      </c>
      <c r="B75" s="374" t="s">
        <v>556</v>
      </c>
      <c r="C75" s="372" t="s">
        <v>377</v>
      </c>
      <c r="D75" s="372" t="s">
        <v>355</v>
      </c>
      <c r="E75" s="372" t="s">
        <v>631</v>
      </c>
      <c r="F75" s="372" t="s">
        <v>41</v>
      </c>
      <c r="G75" s="372">
        <v>1</v>
      </c>
      <c r="H75" s="372"/>
      <c r="I75" s="244">
        <f>'P.A. TOTAL '!J81</f>
        <v>1250000</v>
      </c>
      <c r="J75" s="373">
        <v>1</v>
      </c>
      <c r="K75" s="373">
        <v>0</v>
      </c>
      <c r="L75" s="374">
        <v>1</v>
      </c>
      <c r="M75" s="374" t="s">
        <v>3</v>
      </c>
      <c r="N75" s="351" t="s">
        <v>329</v>
      </c>
      <c r="O75" s="351" t="s">
        <v>234</v>
      </c>
      <c r="P75" s="195" t="s">
        <v>557</v>
      </c>
      <c r="Q75" s="197"/>
      <c r="R75" s="197"/>
      <c r="S75" s="195" t="s">
        <v>1</v>
      </c>
    </row>
    <row r="76" spans="1:19" ht="69.75" x14ac:dyDescent="0.25">
      <c r="A76" s="241" t="s">
        <v>436</v>
      </c>
      <c r="B76" s="374" t="s">
        <v>556</v>
      </c>
      <c r="C76" s="372" t="s">
        <v>357</v>
      </c>
      <c r="D76" s="372" t="s">
        <v>516</v>
      </c>
      <c r="E76" s="372" t="s">
        <v>631</v>
      </c>
      <c r="F76" s="372" t="s">
        <v>78</v>
      </c>
      <c r="G76" s="372">
        <v>1</v>
      </c>
      <c r="H76" s="372"/>
      <c r="I76" s="244">
        <f>'P.A. TOTAL '!J82</f>
        <v>687500</v>
      </c>
      <c r="J76" s="373">
        <v>1</v>
      </c>
      <c r="K76" s="373">
        <v>0</v>
      </c>
      <c r="L76" s="374">
        <v>1</v>
      </c>
      <c r="M76" s="374" t="s">
        <v>3</v>
      </c>
      <c r="N76" s="351" t="s">
        <v>232</v>
      </c>
      <c r="O76" s="351" t="s">
        <v>233</v>
      </c>
      <c r="P76" s="195" t="s">
        <v>557</v>
      </c>
      <c r="Q76" s="197"/>
      <c r="R76" s="197"/>
      <c r="S76" s="195" t="s">
        <v>1</v>
      </c>
    </row>
    <row r="77" spans="1:19" ht="116.25" x14ac:dyDescent="0.25">
      <c r="A77" s="241" t="s">
        <v>439</v>
      </c>
      <c r="B77" s="374" t="s">
        <v>556</v>
      </c>
      <c r="C77" s="372" t="s">
        <v>498</v>
      </c>
      <c r="D77" s="372" t="s">
        <v>500</v>
      </c>
      <c r="E77" s="372" t="s">
        <v>340</v>
      </c>
      <c r="F77" s="372" t="s">
        <v>41</v>
      </c>
      <c r="G77" s="372">
        <v>1</v>
      </c>
      <c r="H77" s="372"/>
      <c r="I77" s="244">
        <f>'P.A. TOTAL '!J83</f>
        <v>1200000</v>
      </c>
      <c r="J77" s="373">
        <v>1</v>
      </c>
      <c r="K77" s="373">
        <v>0</v>
      </c>
      <c r="L77" s="374" t="s">
        <v>335</v>
      </c>
      <c r="M77" s="374" t="s">
        <v>3</v>
      </c>
      <c r="N77" s="351" t="s">
        <v>514</v>
      </c>
      <c r="O77" s="351" t="s">
        <v>327</v>
      </c>
      <c r="P77" s="195" t="s">
        <v>557</v>
      </c>
      <c r="Q77" s="197"/>
      <c r="R77" s="197"/>
      <c r="S77" s="195" t="s">
        <v>1</v>
      </c>
    </row>
    <row r="78" spans="1:19" ht="93" x14ac:dyDescent="0.25">
      <c r="A78" s="241" t="s">
        <v>441</v>
      </c>
      <c r="B78" s="374" t="s">
        <v>556</v>
      </c>
      <c r="C78" s="372" t="s">
        <v>376</v>
      </c>
      <c r="D78" s="372" t="s">
        <v>360</v>
      </c>
      <c r="E78" s="372" t="s">
        <v>340</v>
      </c>
      <c r="F78" s="372" t="s">
        <v>41</v>
      </c>
      <c r="G78" s="372">
        <v>1</v>
      </c>
      <c r="H78" s="372"/>
      <c r="I78" s="244">
        <v>0</v>
      </c>
      <c r="J78" s="373">
        <v>1</v>
      </c>
      <c r="K78" s="373">
        <v>0</v>
      </c>
      <c r="L78" s="374" t="s">
        <v>335</v>
      </c>
      <c r="M78" s="374" t="s">
        <v>2</v>
      </c>
      <c r="N78" s="411">
        <v>44562</v>
      </c>
      <c r="O78" s="411">
        <v>44713</v>
      </c>
      <c r="P78" s="195" t="s">
        <v>557</v>
      </c>
      <c r="Q78" s="197"/>
      <c r="R78" s="197"/>
      <c r="S78" s="195" t="s">
        <v>1</v>
      </c>
    </row>
    <row r="79" spans="1:19" ht="186" x14ac:dyDescent="0.25">
      <c r="A79" s="241" t="s">
        <v>443</v>
      </c>
      <c r="B79" s="374" t="s">
        <v>556</v>
      </c>
      <c r="C79" s="246" t="s">
        <v>517</v>
      </c>
      <c r="D79" s="246" t="s">
        <v>451</v>
      </c>
      <c r="E79" s="246" t="s">
        <v>643</v>
      </c>
      <c r="F79" s="372" t="s">
        <v>41</v>
      </c>
      <c r="G79" s="372"/>
      <c r="H79" s="354"/>
      <c r="I79" s="244">
        <f>'P.A. TOTAL '!J85</f>
        <v>468750</v>
      </c>
      <c r="J79" s="373">
        <v>1</v>
      </c>
      <c r="K79" s="373">
        <v>0</v>
      </c>
      <c r="L79" s="374">
        <v>2</v>
      </c>
      <c r="M79" s="374" t="s">
        <v>2</v>
      </c>
      <c r="N79" s="411">
        <v>43831</v>
      </c>
      <c r="O79" s="411">
        <v>43983</v>
      </c>
      <c r="P79" s="195" t="s">
        <v>557</v>
      </c>
      <c r="Q79" s="197"/>
      <c r="R79" s="197"/>
      <c r="S79" s="195" t="s">
        <v>1</v>
      </c>
    </row>
    <row r="80" spans="1:19" ht="93" x14ac:dyDescent="0.25">
      <c r="A80" s="241" t="s">
        <v>242</v>
      </c>
      <c r="B80" s="374" t="s">
        <v>556</v>
      </c>
      <c r="C80" s="246" t="s">
        <v>318</v>
      </c>
      <c r="D80" s="246" t="s">
        <v>318</v>
      </c>
      <c r="E80" s="372" t="s">
        <v>644</v>
      </c>
      <c r="F80" s="372" t="s">
        <v>77</v>
      </c>
      <c r="G80" s="372">
        <v>1</v>
      </c>
      <c r="H80" s="372"/>
      <c r="I80" s="244">
        <f>'P.A. TOTAL '!J86</f>
        <v>25000</v>
      </c>
      <c r="J80" s="373">
        <v>1</v>
      </c>
      <c r="K80" s="373">
        <v>0</v>
      </c>
      <c r="L80" s="374">
        <v>2</v>
      </c>
      <c r="M80" s="374" t="s">
        <v>2</v>
      </c>
      <c r="N80" s="411">
        <v>43709</v>
      </c>
      <c r="O80" s="411">
        <v>43800</v>
      </c>
      <c r="P80" s="195"/>
      <c r="Q80" s="197"/>
      <c r="R80" s="197"/>
      <c r="S80" s="195" t="s">
        <v>1</v>
      </c>
    </row>
    <row r="81" spans="1:19" ht="93" x14ac:dyDescent="0.25">
      <c r="A81" s="241" t="s">
        <v>243</v>
      </c>
      <c r="B81" s="374" t="s">
        <v>556</v>
      </c>
      <c r="C81" s="372" t="s">
        <v>569</v>
      </c>
      <c r="D81" s="372" t="s">
        <v>568</v>
      </c>
      <c r="E81" s="372" t="s">
        <v>630</v>
      </c>
      <c r="F81" s="372" t="s">
        <v>41</v>
      </c>
      <c r="G81" s="372">
        <v>1</v>
      </c>
      <c r="H81" s="372"/>
      <c r="I81" s="244">
        <f>'P.A. TOTAL '!J87</f>
        <v>234375</v>
      </c>
      <c r="J81" s="373">
        <v>1</v>
      </c>
      <c r="K81" s="373">
        <v>0</v>
      </c>
      <c r="L81" s="374">
        <v>1</v>
      </c>
      <c r="M81" s="374" t="s">
        <v>2</v>
      </c>
      <c r="N81" s="351" t="s">
        <v>514</v>
      </c>
      <c r="O81" s="351" t="s">
        <v>327</v>
      </c>
      <c r="P81" s="195" t="s">
        <v>557</v>
      </c>
      <c r="Q81" s="197"/>
      <c r="R81" s="197"/>
      <c r="S81" s="195" t="s">
        <v>1</v>
      </c>
    </row>
    <row r="82" spans="1:19" ht="23.25" x14ac:dyDescent="0.25">
      <c r="A82" s="237"/>
      <c r="B82" s="279"/>
      <c r="C82" s="279"/>
      <c r="D82" s="279"/>
      <c r="E82" s="279"/>
      <c r="F82" s="279"/>
      <c r="G82" s="279"/>
      <c r="H82" s="279"/>
      <c r="I82" s="284"/>
      <c r="J82" s="285"/>
      <c r="K82" s="285"/>
      <c r="L82" s="283"/>
      <c r="M82" s="237"/>
      <c r="N82" s="237"/>
      <c r="O82" s="237"/>
      <c r="P82" s="402"/>
      <c r="Q82" s="133"/>
      <c r="R82" s="133"/>
      <c r="S82" s="195"/>
    </row>
    <row r="83" spans="1:19" ht="23.25" x14ac:dyDescent="0.25">
      <c r="A83" s="238">
        <v>5</v>
      </c>
      <c r="B83" s="512" t="s">
        <v>51</v>
      </c>
      <c r="C83" s="513"/>
      <c r="D83" s="513"/>
      <c r="E83" s="513"/>
      <c r="F83" s="513"/>
      <c r="G83" s="513"/>
      <c r="H83" s="513"/>
      <c r="I83" s="239">
        <f>SUM(I84:I92)</f>
        <v>1068125</v>
      </c>
      <c r="J83" s="408"/>
      <c r="K83" s="408"/>
      <c r="L83" s="408"/>
      <c r="M83" s="408"/>
      <c r="N83" s="408"/>
      <c r="O83" s="408"/>
      <c r="P83" s="409"/>
      <c r="Q83" s="409"/>
      <c r="R83" s="409"/>
      <c r="S83" s="410"/>
    </row>
    <row r="84" spans="1:19" ht="93" x14ac:dyDescent="0.25">
      <c r="A84" s="241" t="s">
        <v>130</v>
      </c>
      <c r="B84" s="374" t="s">
        <v>556</v>
      </c>
      <c r="C84" s="372" t="s">
        <v>579</v>
      </c>
      <c r="D84" s="372" t="s">
        <v>580</v>
      </c>
      <c r="E84" s="372" t="s">
        <v>340</v>
      </c>
      <c r="F84" s="372" t="s">
        <v>81</v>
      </c>
      <c r="G84" s="372">
        <v>1</v>
      </c>
      <c r="H84" s="372"/>
      <c r="I84" s="244">
        <f>'P.A. TOTAL '!J90</f>
        <v>134104</v>
      </c>
      <c r="J84" s="373">
        <v>1</v>
      </c>
      <c r="K84" s="373">
        <v>0</v>
      </c>
      <c r="L84" s="374" t="s">
        <v>340</v>
      </c>
      <c r="M84" s="374" t="s">
        <v>2</v>
      </c>
      <c r="N84" s="411">
        <v>43831</v>
      </c>
      <c r="O84" s="411">
        <v>43891</v>
      </c>
      <c r="P84" s="195" t="s">
        <v>557</v>
      </c>
      <c r="Q84" s="197"/>
      <c r="R84" s="197"/>
      <c r="S84" s="195" t="s">
        <v>1</v>
      </c>
    </row>
    <row r="85" spans="1:19" ht="69.75" x14ac:dyDescent="0.25">
      <c r="A85" s="241" t="s">
        <v>341</v>
      </c>
      <c r="B85" s="374" t="s">
        <v>556</v>
      </c>
      <c r="C85" s="372" t="s">
        <v>575</v>
      </c>
      <c r="D85" s="372" t="s">
        <v>576</v>
      </c>
      <c r="E85" s="372" t="s">
        <v>340</v>
      </c>
      <c r="F85" s="372" t="s">
        <v>31</v>
      </c>
      <c r="G85" s="372">
        <v>1</v>
      </c>
      <c r="H85" s="372"/>
      <c r="I85" s="244">
        <f>'P.A. TOTAL '!J91</f>
        <v>135604</v>
      </c>
      <c r="J85" s="373">
        <v>1</v>
      </c>
      <c r="K85" s="373">
        <v>0</v>
      </c>
      <c r="L85" s="374" t="s">
        <v>340</v>
      </c>
      <c r="M85" s="374" t="s">
        <v>3</v>
      </c>
      <c r="N85" s="411">
        <v>43525</v>
      </c>
      <c r="O85" s="411">
        <v>43556</v>
      </c>
      <c r="P85" s="195" t="s">
        <v>577</v>
      </c>
      <c r="Q85" s="197"/>
      <c r="R85" s="197"/>
      <c r="S85" s="195" t="s">
        <v>1</v>
      </c>
    </row>
    <row r="86" spans="1:19" ht="93" x14ac:dyDescent="0.25">
      <c r="A86" s="241" t="s">
        <v>347</v>
      </c>
      <c r="B86" s="374" t="s">
        <v>556</v>
      </c>
      <c r="C86" s="372" t="s">
        <v>585</v>
      </c>
      <c r="D86" s="372" t="s">
        <v>584</v>
      </c>
      <c r="E86" s="372" t="s">
        <v>340</v>
      </c>
      <c r="F86" s="372" t="s">
        <v>81</v>
      </c>
      <c r="G86" s="372">
        <v>1</v>
      </c>
      <c r="H86" s="372"/>
      <c r="I86" s="244">
        <f>'P.A. TOTAL '!J92</f>
        <v>140104</v>
      </c>
      <c r="J86" s="373">
        <v>1</v>
      </c>
      <c r="K86" s="373">
        <v>0</v>
      </c>
      <c r="L86" s="374" t="s">
        <v>340</v>
      </c>
      <c r="M86" s="374" t="s">
        <v>3</v>
      </c>
      <c r="N86" s="411">
        <v>43556</v>
      </c>
      <c r="O86" s="411">
        <v>43617</v>
      </c>
      <c r="P86" s="195" t="s">
        <v>557</v>
      </c>
      <c r="Q86" s="197"/>
      <c r="R86" s="197"/>
      <c r="S86" s="195" t="s">
        <v>1</v>
      </c>
    </row>
    <row r="87" spans="1:19" ht="69.75" x14ac:dyDescent="0.25">
      <c r="A87" s="241" t="s">
        <v>348</v>
      </c>
      <c r="B87" s="374" t="s">
        <v>556</v>
      </c>
      <c r="C87" s="372" t="s">
        <v>428</v>
      </c>
      <c r="D87" s="372" t="s">
        <v>406</v>
      </c>
      <c r="E87" s="372" t="s">
        <v>340</v>
      </c>
      <c r="F87" s="372" t="s">
        <v>31</v>
      </c>
      <c r="G87" s="372"/>
      <c r="H87" s="372"/>
      <c r="I87" s="244">
        <f>'P.A. TOTAL '!J93</f>
        <v>162604</v>
      </c>
      <c r="J87" s="373">
        <v>1</v>
      </c>
      <c r="K87" s="373">
        <v>0</v>
      </c>
      <c r="L87" s="374" t="s">
        <v>340</v>
      </c>
      <c r="M87" s="374" t="s">
        <v>3</v>
      </c>
      <c r="N87" s="411">
        <v>43525</v>
      </c>
      <c r="O87" s="411">
        <v>43556</v>
      </c>
      <c r="P87" s="195" t="s">
        <v>557</v>
      </c>
      <c r="Q87" s="197"/>
      <c r="R87" s="197"/>
      <c r="S87" s="195" t="s">
        <v>1</v>
      </c>
    </row>
    <row r="88" spans="1:19" ht="93" x14ac:dyDescent="0.25">
      <c r="A88" s="241" t="s">
        <v>407</v>
      </c>
      <c r="B88" s="374" t="s">
        <v>556</v>
      </c>
      <c r="C88" s="372" t="s">
        <v>349</v>
      </c>
      <c r="D88" s="372" t="s">
        <v>349</v>
      </c>
      <c r="E88" s="372" t="s">
        <v>340</v>
      </c>
      <c r="F88" s="372" t="s">
        <v>81</v>
      </c>
      <c r="G88" s="372">
        <v>1</v>
      </c>
      <c r="H88" s="372"/>
      <c r="I88" s="244">
        <f>'P.A. TOTAL '!J94</f>
        <v>134104</v>
      </c>
      <c r="J88" s="373">
        <v>1</v>
      </c>
      <c r="K88" s="373">
        <v>0</v>
      </c>
      <c r="L88" s="374" t="s">
        <v>340</v>
      </c>
      <c r="M88" s="374" t="s">
        <v>2</v>
      </c>
      <c r="N88" s="411">
        <v>44256</v>
      </c>
      <c r="O88" s="411">
        <v>44317</v>
      </c>
      <c r="P88" s="195" t="s">
        <v>557</v>
      </c>
      <c r="Q88" s="197"/>
      <c r="R88" s="197"/>
      <c r="S88" s="195" t="s">
        <v>1</v>
      </c>
    </row>
    <row r="89" spans="1:19" ht="69.75" x14ac:dyDescent="0.25">
      <c r="A89" s="241" t="s">
        <v>447</v>
      </c>
      <c r="B89" s="374" t="s">
        <v>556</v>
      </c>
      <c r="C89" s="372" t="s">
        <v>350</v>
      </c>
      <c r="D89" s="372" t="s">
        <v>350</v>
      </c>
      <c r="E89" s="372" t="s">
        <v>340</v>
      </c>
      <c r="F89" s="372" t="s">
        <v>81</v>
      </c>
      <c r="G89" s="372">
        <v>1</v>
      </c>
      <c r="H89" s="372"/>
      <c r="I89" s="244">
        <f>'P.A. TOTAL '!J95</f>
        <v>134105</v>
      </c>
      <c r="J89" s="373">
        <v>1</v>
      </c>
      <c r="K89" s="373">
        <v>0</v>
      </c>
      <c r="L89" s="374" t="s">
        <v>340</v>
      </c>
      <c r="M89" s="374" t="s">
        <v>2</v>
      </c>
      <c r="N89" s="411">
        <v>45139</v>
      </c>
      <c r="O89" s="411">
        <v>45200</v>
      </c>
      <c r="P89" s="195" t="s">
        <v>557</v>
      </c>
      <c r="Q89" s="197"/>
      <c r="R89" s="197"/>
      <c r="S89" s="195" t="s">
        <v>1</v>
      </c>
    </row>
    <row r="90" spans="1:19" ht="93" x14ac:dyDescent="0.25">
      <c r="A90" s="241" t="s">
        <v>521</v>
      </c>
      <c r="B90" s="374" t="s">
        <v>556</v>
      </c>
      <c r="C90" s="372" t="s">
        <v>522</v>
      </c>
      <c r="D90" s="372" t="s">
        <v>523</v>
      </c>
      <c r="E90" s="372" t="s">
        <v>635</v>
      </c>
      <c r="F90" s="372" t="s">
        <v>81</v>
      </c>
      <c r="G90" s="372">
        <v>1</v>
      </c>
      <c r="H90" s="372"/>
      <c r="I90" s="244">
        <f>'P.A. TOTAL '!J96</f>
        <v>20000</v>
      </c>
      <c r="J90" s="373">
        <v>1</v>
      </c>
      <c r="K90" s="373">
        <v>0</v>
      </c>
      <c r="L90" s="374">
        <v>1</v>
      </c>
      <c r="M90" s="374" t="s">
        <v>2</v>
      </c>
      <c r="N90" s="411">
        <v>43556</v>
      </c>
      <c r="O90" s="411">
        <v>43617</v>
      </c>
      <c r="P90" s="195" t="s">
        <v>557</v>
      </c>
      <c r="Q90" s="197"/>
      <c r="R90" s="197"/>
      <c r="S90" s="195" t="s">
        <v>1</v>
      </c>
    </row>
    <row r="91" spans="1:19" ht="93" x14ac:dyDescent="0.25">
      <c r="A91" s="241" t="s">
        <v>524</v>
      </c>
      <c r="B91" s="374" t="s">
        <v>556</v>
      </c>
      <c r="C91" s="372" t="s">
        <v>525</v>
      </c>
      <c r="D91" s="372" t="s">
        <v>526</v>
      </c>
      <c r="E91" s="372" t="s">
        <v>636</v>
      </c>
      <c r="F91" s="372" t="s">
        <v>81</v>
      </c>
      <c r="G91" s="372">
        <v>1</v>
      </c>
      <c r="H91" s="372"/>
      <c r="I91" s="244">
        <f>'P.A. TOTAL '!J97</f>
        <v>20000</v>
      </c>
      <c r="J91" s="373">
        <v>1</v>
      </c>
      <c r="K91" s="373">
        <v>0</v>
      </c>
      <c r="L91" s="374">
        <v>1</v>
      </c>
      <c r="M91" s="374" t="s">
        <v>2</v>
      </c>
      <c r="N91" s="411">
        <v>43586</v>
      </c>
      <c r="O91" s="411">
        <v>43647</v>
      </c>
      <c r="P91" s="195" t="s">
        <v>557</v>
      </c>
      <c r="Q91" s="197"/>
      <c r="R91" s="197"/>
      <c r="S91" s="195" t="s">
        <v>1</v>
      </c>
    </row>
    <row r="92" spans="1:19" ht="93" x14ac:dyDescent="0.25">
      <c r="A92" s="241" t="s">
        <v>662</v>
      </c>
      <c r="B92" s="374" t="s">
        <v>556</v>
      </c>
      <c r="C92" s="372" t="s">
        <v>578</v>
      </c>
      <c r="D92" s="372" t="s">
        <v>567</v>
      </c>
      <c r="E92" s="372" t="s">
        <v>630</v>
      </c>
      <c r="F92" s="372" t="s">
        <v>81</v>
      </c>
      <c r="G92" s="372">
        <v>1</v>
      </c>
      <c r="H92" s="372"/>
      <c r="I92" s="244">
        <f>'P.A. TOTAL '!J98</f>
        <v>187500</v>
      </c>
      <c r="J92" s="373">
        <v>1</v>
      </c>
      <c r="K92" s="373">
        <v>0</v>
      </c>
      <c r="L92" s="374">
        <v>1</v>
      </c>
      <c r="M92" s="374" t="s">
        <v>2</v>
      </c>
      <c r="N92" s="351" t="s">
        <v>514</v>
      </c>
      <c r="O92" s="351" t="s">
        <v>233</v>
      </c>
      <c r="P92" s="195" t="s">
        <v>557</v>
      </c>
      <c r="Q92" s="197"/>
      <c r="R92" s="197"/>
      <c r="S92" s="195" t="s">
        <v>1</v>
      </c>
    </row>
    <row r="93" spans="1:19" ht="23.25" x14ac:dyDescent="0.25">
      <c r="A93" s="307"/>
      <c r="B93" s="418"/>
      <c r="C93" s="419"/>
      <c r="D93" s="419"/>
      <c r="E93" s="419"/>
      <c r="F93" s="419"/>
      <c r="G93" s="419"/>
      <c r="H93" s="419"/>
      <c r="I93" s="310"/>
      <c r="J93" s="420"/>
      <c r="K93" s="420"/>
      <c r="L93" s="421"/>
      <c r="M93" s="422"/>
      <c r="N93" s="423"/>
      <c r="O93" s="423"/>
      <c r="P93" s="424"/>
      <c r="Q93" s="425"/>
      <c r="R93" s="425"/>
      <c r="S93" s="426"/>
    </row>
    <row r="94" spans="1:19" ht="23.25" x14ac:dyDescent="0.25">
      <c r="A94" s="238">
        <v>6</v>
      </c>
      <c r="B94" s="512" t="s">
        <v>11</v>
      </c>
      <c r="C94" s="513"/>
      <c r="D94" s="513"/>
      <c r="E94" s="513"/>
      <c r="F94" s="513"/>
      <c r="G94" s="513"/>
      <c r="H94" s="513"/>
      <c r="I94" s="239">
        <f>SUM(I95:I100)</f>
        <v>106250</v>
      </c>
      <c r="J94" s="408"/>
      <c r="K94" s="408"/>
      <c r="L94" s="408"/>
      <c r="M94" s="408"/>
      <c r="N94" s="408"/>
      <c r="O94" s="408"/>
      <c r="P94" s="409"/>
      <c r="Q94" s="409"/>
      <c r="R94" s="409"/>
      <c r="S94" s="410"/>
    </row>
    <row r="95" spans="1:19" ht="93" x14ac:dyDescent="0.25">
      <c r="A95" s="241" t="s">
        <v>143</v>
      </c>
      <c r="B95" s="374" t="s">
        <v>556</v>
      </c>
      <c r="C95" s="372" t="s">
        <v>226</v>
      </c>
      <c r="D95" s="372" t="s">
        <v>182</v>
      </c>
      <c r="E95" s="372" t="s">
        <v>645</v>
      </c>
      <c r="F95" s="372" t="s">
        <v>77</v>
      </c>
      <c r="G95" s="372">
        <v>1</v>
      </c>
      <c r="H95" s="372"/>
      <c r="I95" s="244">
        <f>'P.A. TOTAL '!J101</f>
        <v>15625</v>
      </c>
      <c r="J95" s="373">
        <v>1</v>
      </c>
      <c r="K95" s="373">
        <v>0</v>
      </c>
      <c r="L95" s="374">
        <v>2</v>
      </c>
      <c r="M95" s="374" t="s">
        <v>2</v>
      </c>
      <c r="N95" s="411">
        <v>43831</v>
      </c>
      <c r="O95" s="411">
        <v>43922</v>
      </c>
      <c r="P95" s="195"/>
      <c r="Q95" s="197"/>
      <c r="R95" s="197"/>
      <c r="S95" s="195" t="s">
        <v>1</v>
      </c>
    </row>
    <row r="96" spans="1:19" ht="69.75" x14ac:dyDescent="0.25">
      <c r="A96" s="241" t="s">
        <v>193</v>
      </c>
      <c r="B96" s="374" t="s">
        <v>556</v>
      </c>
      <c r="C96" s="405" t="s">
        <v>292</v>
      </c>
      <c r="D96" s="405" t="s">
        <v>292</v>
      </c>
      <c r="E96" s="372" t="s">
        <v>646</v>
      </c>
      <c r="F96" s="372" t="s">
        <v>41</v>
      </c>
      <c r="G96" s="372">
        <v>1</v>
      </c>
      <c r="H96" s="354"/>
      <c r="I96" s="244">
        <v>0</v>
      </c>
      <c r="J96" s="373">
        <v>1</v>
      </c>
      <c r="K96" s="373">
        <v>0</v>
      </c>
      <c r="L96" s="374">
        <v>2</v>
      </c>
      <c r="M96" s="374" t="s">
        <v>2</v>
      </c>
      <c r="N96" s="351" t="s">
        <v>512</v>
      </c>
      <c r="O96" s="351" t="s">
        <v>611</v>
      </c>
      <c r="P96" s="195"/>
      <c r="Q96" s="197"/>
      <c r="R96" s="197"/>
      <c r="S96" s="195" t="s">
        <v>1</v>
      </c>
    </row>
    <row r="97" spans="1:19" ht="186" x14ac:dyDescent="0.25">
      <c r="A97" s="241" t="s">
        <v>198</v>
      </c>
      <c r="B97" s="374" t="s">
        <v>556</v>
      </c>
      <c r="C97" s="246" t="s">
        <v>307</v>
      </c>
      <c r="D97" s="246" t="s">
        <v>307</v>
      </c>
      <c r="E97" s="405" t="s">
        <v>637</v>
      </c>
      <c r="F97" s="372" t="s">
        <v>77</v>
      </c>
      <c r="G97" s="372">
        <v>1</v>
      </c>
      <c r="H97" s="372"/>
      <c r="I97" s="412">
        <f>'P.A. TOTAL '!J103</f>
        <v>40625</v>
      </c>
      <c r="J97" s="373">
        <v>1</v>
      </c>
      <c r="K97" s="373">
        <v>0</v>
      </c>
      <c r="L97" s="374">
        <v>2</v>
      </c>
      <c r="M97" s="374" t="s">
        <v>2</v>
      </c>
      <c r="N97" s="411">
        <v>43831</v>
      </c>
      <c r="O97" s="411">
        <v>43922</v>
      </c>
      <c r="P97" s="195"/>
      <c r="Q97" s="197"/>
      <c r="R97" s="197"/>
      <c r="S97" s="195" t="s">
        <v>1</v>
      </c>
    </row>
    <row r="98" spans="1:19" ht="93" x14ac:dyDescent="0.25">
      <c r="A98" s="241" t="s">
        <v>256</v>
      </c>
      <c r="B98" s="374" t="s">
        <v>556</v>
      </c>
      <c r="C98" s="372" t="s">
        <v>316</v>
      </c>
      <c r="D98" s="372" t="s">
        <v>317</v>
      </c>
      <c r="E98" s="372" t="s">
        <v>644</v>
      </c>
      <c r="F98" s="372" t="s">
        <v>77</v>
      </c>
      <c r="G98" s="372">
        <v>1</v>
      </c>
      <c r="H98" s="372"/>
      <c r="I98" s="244">
        <f>'[8]INFORMATIVO 02 04 19'!B67</f>
        <v>0</v>
      </c>
      <c r="J98" s="373">
        <v>1</v>
      </c>
      <c r="K98" s="373">
        <v>0</v>
      </c>
      <c r="L98" s="374">
        <v>2</v>
      </c>
      <c r="M98" s="374" t="s">
        <v>2</v>
      </c>
      <c r="N98" s="411">
        <v>43891</v>
      </c>
      <c r="O98" s="411">
        <v>43983</v>
      </c>
      <c r="P98" s="195"/>
      <c r="Q98" s="197"/>
      <c r="R98" s="197"/>
      <c r="S98" s="195" t="s">
        <v>1</v>
      </c>
    </row>
    <row r="99" spans="1:19" ht="116.25" x14ac:dyDescent="0.25">
      <c r="A99" s="241" t="s">
        <v>257</v>
      </c>
      <c r="B99" s="374" t="s">
        <v>556</v>
      </c>
      <c r="C99" s="372" t="s">
        <v>225</v>
      </c>
      <c r="D99" s="372" t="s">
        <v>321</v>
      </c>
      <c r="E99" s="372" t="s">
        <v>629</v>
      </c>
      <c r="F99" s="372" t="s">
        <v>77</v>
      </c>
      <c r="G99" s="372">
        <v>1</v>
      </c>
      <c r="H99" s="372"/>
      <c r="I99" s="244">
        <v>0</v>
      </c>
      <c r="J99" s="373">
        <v>1</v>
      </c>
      <c r="K99" s="373">
        <v>0</v>
      </c>
      <c r="L99" s="374">
        <v>2</v>
      </c>
      <c r="M99" s="374" t="s">
        <v>2</v>
      </c>
      <c r="N99" s="411">
        <v>43891</v>
      </c>
      <c r="O99" s="411">
        <v>43983</v>
      </c>
      <c r="P99" s="195"/>
      <c r="Q99" s="197"/>
      <c r="R99" s="197"/>
      <c r="S99" s="195" t="s">
        <v>1</v>
      </c>
    </row>
    <row r="100" spans="1:19" ht="69.75" x14ac:dyDescent="0.25">
      <c r="A100" s="241" t="s">
        <v>663</v>
      </c>
      <c r="B100" s="374" t="s">
        <v>556</v>
      </c>
      <c r="C100" s="372" t="s">
        <v>533</v>
      </c>
      <c r="D100" s="372" t="s">
        <v>581</v>
      </c>
      <c r="E100" s="372" t="s">
        <v>340</v>
      </c>
      <c r="F100" s="372" t="s">
        <v>34</v>
      </c>
      <c r="G100" s="372">
        <v>1</v>
      </c>
      <c r="H100" s="372"/>
      <c r="I100" s="244">
        <f>'P.A. TOTAL '!J106</f>
        <v>50000</v>
      </c>
      <c r="J100" s="373">
        <v>1</v>
      </c>
      <c r="K100" s="373">
        <v>0</v>
      </c>
      <c r="L100" s="374" t="s">
        <v>335</v>
      </c>
      <c r="M100" s="374" t="s">
        <v>4</v>
      </c>
      <c r="N100" s="351" t="s">
        <v>650</v>
      </c>
      <c r="O100" s="411">
        <v>43586</v>
      </c>
      <c r="P100" s="195"/>
      <c r="Q100" s="197"/>
      <c r="R100" s="197"/>
      <c r="S100" s="195" t="s">
        <v>1</v>
      </c>
    </row>
    <row r="101" spans="1:19" ht="23.25" x14ac:dyDescent="0.25">
      <c r="A101" s="248"/>
      <c r="B101" s="427"/>
      <c r="C101" s="427"/>
      <c r="D101" s="427"/>
      <c r="E101" s="427"/>
      <c r="F101" s="427"/>
      <c r="G101" s="427"/>
      <c r="H101" s="427"/>
      <c r="I101" s="251"/>
      <c r="J101" s="428"/>
      <c r="K101" s="429"/>
      <c r="L101" s="430"/>
      <c r="M101" s="430"/>
      <c r="N101" s="431"/>
      <c r="O101" s="431"/>
      <c r="P101" s="432"/>
      <c r="Q101" s="433"/>
      <c r="R101" s="433"/>
      <c r="S101" s="432"/>
    </row>
    <row r="102" spans="1:19" ht="23.25" x14ac:dyDescent="0.25">
      <c r="A102" s="238">
        <v>7</v>
      </c>
      <c r="B102" s="512" t="s">
        <v>561</v>
      </c>
      <c r="C102" s="513"/>
      <c r="D102" s="513"/>
      <c r="E102" s="513"/>
      <c r="F102" s="513"/>
      <c r="G102" s="513"/>
      <c r="H102" s="513"/>
      <c r="I102" s="239">
        <f>SUM(I103:I104)</f>
        <v>1923281.25</v>
      </c>
      <c r="J102" s="408"/>
      <c r="K102" s="408"/>
      <c r="L102" s="408"/>
      <c r="M102" s="408"/>
      <c r="N102" s="408"/>
      <c r="O102" s="408"/>
      <c r="P102" s="409"/>
      <c r="Q102" s="409"/>
      <c r="R102" s="409"/>
      <c r="S102" s="410"/>
    </row>
    <row r="103" spans="1:19" ht="69.75" x14ac:dyDescent="0.25">
      <c r="A103" s="241" t="s">
        <v>144</v>
      </c>
      <c r="B103" s="374" t="s">
        <v>556</v>
      </c>
      <c r="C103" s="372" t="s">
        <v>563</v>
      </c>
      <c r="D103" s="372" t="s">
        <v>564</v>
      </c>
      <c r="E103" s="372" t="s">
        <v>340</v>
      </c>
      <c r="F103" s="372" t="s">
        <v>34</v>
      </c>
      <c r="G103" s="372"/>
      <c r="H103" s="372"/>
      <c r="I103" s="244">
        <f>'P.A. TOTAL '!J109</f>
        <v>1923281.25</v>
      </c>
      <c r="J103" s="373">
        <v>0</v>
      </c>
      <c r="K103" s="373">
        <v>1</v>
      </c>
      <c r="L103" s="374" t="s">
        <v>340</v>
      </c>
      <c r="M103" s="374" t="s">
        <v>4</v>
      </c>
      <c r="N103" s="411">
        <v>43435</v>
      </c>
      <c r="O103" s="411">
        <v>43466</v>
      </c>
      <c r="P103" s="195" t="s">
        <v>557</v>
      </c>
      <c r="Q103" s="197"/>
      <c r="R103" s="197"/>
      <c r="S103" s="195" t="s">
        <v>75</v>
      </c>
    </row>
    <row r="104" spans="1:19" ht="69.75" x14ac:dyDescent="0.25">
      <c r="A104" s="241" t="s">
        <v>562</v>
      </c>
      <c r="B104" s="374" t="s">
        <v>556</v>
      </c>
      <c r="C104" s="372" t="s">
        <v>565</v>
      </c>
      <c r="D104" s="372" t="s">
        <v>566</v>
      </c>
      <c r="E104" s="372" t="s">
        <v>647</v>
      </c>
      <c r="F104" s="372" t="s">
        <v>34</v>
      </c>
      <c r="G104" s="372"/>
      <c r="H104" s="372"/>
      <c r="I104" s="244">
        <v>0</v>
      </c>
      <c r="J104" s="373">
        <v>0</v>
      </c>
      <c r="K104" s="373">
        <v>1</v>
      </c>
      <c r="L104" s="374">
        <v>1</v>
      </c>
      <c r="M104" s="374" t="s">
        <v>4</v>
      </c>
      <c r="N104" s="411">
        <v>43586</v>
      </c>
      <c r="O104" s="411">
        <v>43983</v>
      </c>
      <c r="P104" s="195" t="s">
        <v>557</v>
      </c>
      <c r="Q104" s="197"/>
      <c r="R104" s="197"/>
      <c r="S104" s="195" t="s">
        <v>1</v>
      </c>
    </row>
    <row r="105" spans="1:19" ht="23.25" x14ac:dyDescent="0.25">
      <c r="A105" s="241"/>
      <c r="B105" s="374"/>
      <c r="C105" s="372"/>
      <c r="D105" s="372"/>
      <c r="E105" s="372"/>
      <c r="F105" s="372"/>
      <c r="G105" s="374"/>
      <c r="H105" s="374"/>
      <c r="I105" s="244"/>
      <c r="J105" s="374"/>
      <c r="K105" s="434"/>
      <c r="L105" s="435"/>
      <c r="M105" s="373"/>
      <c r="N105" s="374"/>
      <c r="O105" s="374"/>
      <c r="P105" s="195"/>
      <c r="Q105" s="197"/>
      <c r="R105" s="197"/>
      <c r="S105" s="195"/>
    </row>
    <row r="106" spans="1:19" ht="23.25" x14ac:dyDescent="0.25">
      <c r="A106" s="237"/>
      <c r="B106" s="237"/>
      <c r="C106" s="279"/>
      <c r="D106" s="279"/>
      <c r="E106" s="279"/>
      <c r="F106" s="279"/>
      <c r="G106" s="237"/>
      <c r="H106" s="283"/>
      <c r="I106" s="284"/>
      <c r="J106" s="285"/>
      <c r="K106" s="285"/>
      <c r="L106" s="283"/>
      <c r="M106" s="237"/>
      <c r="N106" s="237"/>
      <c r="O106" s="237"/>
      <c r="P106" s="402"/>
      <c r="Q106" s="133"/>
      <c r="R106" s="133"/>
      <c r="S106" s="402"/>
    </row>
    <row r="107" spans="1:19" ht="23.25" x14ac:dyDescent="0.25">
      <c r="A107" s="237"/>
      <c r="B107" s="237"/>
      <c r="C107" s="476"/>
      <c r="D107" s="476"/>
      <c r="E107" s="406"/>
      <c r="F107" s="279"/>
      <c r="G107" s="237"/>
      <c r="H107" s="283"/>
      <c r="I107" s="284"/>
      <c r="J107" s="285"/>
      <c r="K107" s="285"/>
      <c r="L107" s="283"/>
      <c r="M107" s="237"/>
      <c r="N107" s="237"/>
      <c r="O107" s="237"/>
      <c r="P107" s="402"/>
      <c r="Q107" s="133"/>
      <c r="R107" s="133"/>
      <c r="S107" s="402"/>
    </row>
    <row r="108" spans="1:19" ht="46.5" x14ac:dyDescent="0.25">
      <c r="A108" s="237"/>
      <c r="B108" s="237"/>
      <c r="C108" s="279"/>
      <c r="D108" s="279"/>
      <c r="E108" s="279"/>
      <c r="F108" s="246" t="s">
        <v>419</v>
      </c>
      <c r="G108" s="241"/>
      <c r="H108" s="257"/>
      <c r="I108" s="258">
        <v>15381531</v>
      </c>
      <c r="J108" s="285"/>
      <c r="K108" s="285"/>
      <c r="L108" s="283"/>
      <c r="M108" s="237"/>
      <c r="N108" s="237"/>
      <c r="O108" s="237"/>
      <c r="P108" s="402"/>
      <c r="Q108" s="133"/>
      <c r="R108" s="133"/>
      <c r="S108" s="402"/>
    </row>
    <row r="109" spans="1:19" ht="23.25" x14ac:dyDescent="0.25">
      <c r="A109" s="248"/>
      <c r="B109" s="467" t="s">
        <v>74</v>
      </c>
      <c r="C109" s="404" t="s">
        <v>4</v>
      </c>
      <c r="D109" s="290"/>
      <c r="E109" s="290"/>
      <c r="F109" s="246"/>
      <c r="G109" s="241"/>
      <c r="H109" s="257"/>
      <c r="I109" s="258"/>
      <c r="J109" s="291"/>
      <c r="K109" s="291"/>
      <c r="L109" s="292"/>
      <c r="M109" s="248"/>
      <c r="N109" s="248"/>
      <c r="O109" s="248"/>
      <c r="P109" s="74"/>
      <c r="Q109" s="9"/>
      <c r="R109" s="9"/>
      <c r="S109" s="74"/>
    </row>
    <row r="110" spans="1:19" ht="46.5" x14ac:dyDescent="0.25">
      <c r="A110" s="248"/>
      <c r="B110" s="468"/>
      <c r="C110" s="404" t="s">
        <v>2</v>
      </c>
      <c r="D110" s="290"/>
      <c r="E110" s="290"/>
      <c r="F110" s="246" t="s">
        <v>420</v>
      </c>
      <c r="G110" s="260"/>
      <c r="H110" s="261"/>
      <c r="I110" s="258">
        <f>I102+I94+I83+I47+I32+I13+I4</f>
        <v>138872931.24583334</v>
      </c>
      <c r="J110" s="323">
        <f>I108-I110</f>
        <v>-123491400.24583334</v>
      </c>
      <c r="K110" s="291"/>
      <c r="L110" s="292"/>
      <c r="M110" s="248"/>
      <c r="N110" s="248"/>
      <c r="O110" s="248"/>
      <c r="P110" s="74"/>
      <c r="Q110" s="9"/>
      <c r="R110" s="9"/>
      <c r="S110" s="74"/>
    </row>
    <row r="111" spans="1:19" ht="23.25" x14ac:dyDescent="0.25">
      <c r="A111" s="248"/>
      <c r="B111" s="469"/>
      <c r="C111" s="246" t="s">
        <v>3</v>
      </c>
      <c r="D111" s="290"/>
      <c r="E111" s="290"/>
      <c r="F111" s="246"/>
      <c r="G111" s="241"/>
      <c r="H111" s="257"/>
      <c r="I111" s="258"/>
      <c r="J111" s="291"/>
      <c r="K111" s="291"/>
      <c r="L111" s="292"/>
      <c r="M111" s="248"/>
      <c r="N111" s="248"/>
      <c r="O111" s="248"/>
      <c r="P111" s="74"/>
      <c r="Q111" s="9"/>
      <c r="R111" s="9"/>
      <c r="S111" s="74"/>
    </row>
    <row r="112" spans="1:19" ht="23.25" x14ac:dyDescent="0.25">
      <c r="A112" s="248"/>
      <c r="B112" s="248"/>
      <c r="C112" s="290"/>
      <c r="D112" s="290"/>
      <c r="E112" s="290"/>
      <c r="F112" s="293"/>
      <c r="G112" s="294"/>
      <c r="H112" s="295"/>
      <c r="I112" s="296"/>
      <c r="J112" s="297"/>
      <c r="K112" s="297"/>
      <c r="L112" s="292"/>
      <c r="M112" s="248"/>
      <c r="N112" s="248"/>
      <c r="O112" s="248"/>
      <c r="P112" s="74"/>
      <c r="Q112" s="9"/>
      <c r="R112" s="9"/>
      <c r="S112" s="74"/>
    </row>
    <row r="113" spans="1:19" ht="23.25" x14ac:dyDescent="0.25">
      <c r="A113" s="248"/>
      <c r="B113" s="467" t="s">
        <v>15</v>
      </c>
      <c r="C113" s="404" t="s">
        <v>1</v>
      </c>
      <c r="D113" s="290"/>
      <c r="E113" s="290"/>
      <c r="F113" s="246"/>
      <c r="G113" s="241"/>
      <c r="H113" s="257"/>
      <c r="I113" s="262"/>
      <c r="J113" s="291"/>
      <c r="K113" s="297"/>
      <c r="L113" s="292"/>
      <c r="M113" s="248"/>
      <c r="N113" s="248"/>
      <c r="O113" s="248"/>
      <c r="P113" s="74"/>
      <c r="Q113" s="9"/>
      <c r="R113" s="9"/>
      <c r="S113" s="74"/>
    </row>
    <row r="114" spans="1:19" ht="23.25" x14ac:dyDescent="0.25">
      <c r="A114" s="248"/>
      <c r="B114" s="468"/>
      <c r="C114" s="404" t="s">
        <v>58</v>
      </c>
      <c r="D114" s="290"/>
      <c r="E114" s="290"/>
      <c r="F114" s="246"/>
      <c r="G114" s="241"/>
      <c r="H114" s="257"/>
      <c r="I114" s="262"/>
      <c r="J114" s="297"/>
      <c r="K114" s="291"/>
      <c r="L114" s="292"/>
      <c r="M114" s="248"/>
      <c r="N114" s="248"/>
      <c r="O114" s="248"/>
      <c r="P114" s="74"/>
      <c r="Q114" s="9"/>
      <c r="R114" s="9"/>
      <c r="S114" s="74"/>
    </row>
    <row r="115" spans="1:19" ht="23.25" x14ac:dyDescent="0.25">
      <c r="A115" s="248"/>
      <c r="B115" s="468"/>
      <c r="C115" s="404" t="s">
        <v>38</v>
      </c>
      <c r="D115" s="290"/>
      <c r="E115" s="290"/>
      <c r="F115" s="293"/>
      <c r="G115" s="294"/>
      <c r="H115" s="295"/>
      <c r="I115" s="296"/>
      <c r="J115" s="297"/>
      <c r="K115" s="291"/>
      <c r="L115" s="292"/>
      <c r="M115" s="248"/>
      <c r="N115" s="248"/>
      <c r="O115" s="248"/>
      <c r="P115" s="74"/>
      <c r="Q115" s="9"/>
      <c r="R115" s="9"/>
      <c r="S115" s="74"/>
    </row>
    <row r="116" spans="1:19" ht="23.25" x14ac:dyDescent="0.25">
      <c r="A116" s="248"/>
      <c r="B116" s="468"/>
      <c r="C116" s="404" t="s">
        <v>6</v>
      </c>
      <c r="D116" s="290"/>
      <c r="E116" s="290"/>
      <c r="F116" s="290"/>
      <c r="G116" s="248"/>
      <c r="H116" s="292"/>
      <c r="I116" s="296"/>
      <c r="J116" s="291"/>
      <c r="K116" s="291"/>
      <c r="L116" s="292"/>
      <c r="M116" s="248"/>
      <c r="N116" s="248"/>
      <c r="O116" s="248"/>
      <c r="P116" s="74"/>
      <c r="Q116" s="9"/>
      <c r="R116" s="9"/>
      <c r="S116" s="74"/>
    </row>
    <row r="117" spans="1:19" ht="46.5" x14ac:dyDescent="0.25">
      <c r="A117" s="248"/>
      <c r="B117" s="468"/>
      <c r="C117" s="404" t="s">
        <v>67</v>
      </c>
      <c r="D117" s="290"/>
      <c r="E117" s="290"/>
      <c r="F117" s="290"/>
      <c r="G117" s="248"/>
      <c r="H117" s="292"/>
      <c r="I117" s="298"/>
      <c r="J117" s="291"/>
      <c r="K117" s="291"/>
      <c r="L117" s="292"/>
      <c r="M117" s="248"/>
      <c r="N117" s="248"/>
      <c r="O117" s="248"/>
      <c r="P117" s="74"/>
      <c r="Q117" s="9"/>
      <c r="R117" s="9"/>
      <c r="S117" s="74"/>
    </row>
    <row r="118" spans="1:19" ht="23.25" x14ac:dyDescent="0.25">
      <c r="A118" s="248"/>
      <c r="B118" s="468"/>
      <c r="C118" s="404" t="s">
        <v>53</v>
      </c>
      <c r="D118" s="290"/>
      <c r="E118" s="290"/>
      <c r="F118" s="290"/>
      <c r="G118" s="248"/>
      <c r="H118" s="292"/>
      <c r="I118" s="298"/>
      <c r="J118" s="291"/>
      <c r="K118" s="291"/>
      <c r="L118" s="292"/>
      <c r="M118" s="248"/>
      <c r="N118" s="248"/>
      <c r="O118" s="248"/>
      <c r="P118" s="74"/>
      <c r="Q118" s="9"/>
      <c r="R118" s="9"/>
      <c r="S118" s="74"/>
    </row>
    <row r="119" spans="1:19" ht="23.25" x14ac:dyDescent="0.25">
      <c r="A119" s="248"/>
      <c r="B119" s="468"/>
      <c r="C119" s="404" t="s">
        <v>17</v>
      </c>
      <c r="D119" s="290"/>
      <c r="E119" s="290"/>
      <c r="F119" s="290"/>
      <c r="G119" s="248"/>
      <c r="H119" s="292"/>
      <c r="I119" s="299"/>
      <c r="J119" s="295"/>
      <c r="K119" s="291"/>
      <c r="L119" s="292"/>
      <c r="M119" s="248"/>
      <c r="N119" s="248"/>
      <c r="O119" s="248"/>
      <c r="P119" s="74"/>
      <c r="Q119" s="9"/>
      <c r="R119" s="9"/>
      <c r="S119" s="74"/>
    </row>
    <row r="120" spans="1:19" ht="23.25" x14ac:dyDescent="0.25">
      <c r="A120" s="248"/>
      <c r="B120" s="469"/>
      <c r="C120" s="404" t="s">
        <v>75</v>
      </c>
      <c r="D120" s="290"/>
      <c r="E120" s="290"/>
      <c r="F120" s="290"/>
      <c r="G120" s="248"/>
      <c r="H120" s="292"/>
      <c r="I120" s="298"/>
      <c r="J120" s="291"/>
      <c r="K120" s="291"/>
      <c r="L120" s="292"/>
      <c r="M120" s="248"/>
      <c r="N120" s="248"/>
      <c r="O120" s="248"/>
      <c r="P120" s="74"/>
      <c r="Q120" s="9"/>
      <c r="R120" s="9"/>
      <c r="S120" s="74"/>
    </row>
  </sheetData>
  <mergeCells count="26">
    <mergeCell ref="A2:A3"/>
    <mergeCell ref="B2:B3"/>
    <mergeCell ref="C2:C3"/>
    <mergeCell ref="D2:D3"/>
    <mergeCell ref="E2:E3"/>
    <mergeCell ref="B13:H13"/>
    <mergeCell ref="G2:G3"/>
    <mergeCell ref="H2:H3"/>
    <mergeCell ref="I2:K2"/>
    <mergeCell ref="L2:L3"/>
    <mergeCell ref="F2:F3"/>
    <mergeCell ref="P2:P3"/>
    <mergeCell ref="Q2:Q3"/>
    <mergeCell ref="R2:R3"/>
    <mergeCell ref="S2:S3"/>
    <mergeCell ref="B4:H4"/>
    <mergeCell ref="M2:M3"/>
    <mergeCell ref="N2:O2"/>
    <mergeCell ref="B109:B111"/>
    <mergeCell ref="B113:B120"/>
    <mergeCell ref="B32:H32"/>
    <mergeCell ref="B47:H47"/>
    <mergeCell ref="B83:H83"/>
    <mergeCell ref="B94:H94"/>
    <mergeCell ref="B102:H102"/>
    <mergeCell ref="C107:D107"/>
  </mergeCells>
  <dataValidations count="6">
    <dataValidation type="list" allowBlank="1" showInputMessage="1" showErrorMessage="1" sqref="F84:F93" xr:uid="{00000000-0002-0000-0700-000000000000}">
      <formula1>$E$145:$E$147</formula1>
    </dataValidation>
    <dataValidation type="list" allowBlank="1" showInputMessage="1" showErrorMessage="1" sqref="F59 F61:F64" xr:uid="{00000000-0002-0000-0700-000001000000}">
      <formula1>$E$124:$E$130</formula1>
    </dataValidation>
    <dataValidation type="list" allowBlank="1" showInputMessage="1" showErrorMessage="1" sqref="F100 F33:F45 F5:F11 F14:F30" xr:uid="{00000000-0002-0000-0700-000002000000}">
      <formula1>$E$135:$E$144</formula1>
    </dataValidation>
    <dataValidation type="list" allowBlank="1" showInputMessage="1" showErrorMessage="1" sqref="S14:S30 S33:S45 S103:S105 S84:S93 S5:S11 S48:S82 S95:S101" xr:uid="{00000000-0002-0000-0700-000003000000}">
      <formula1>$D$119:$D$126</formula1>
    </dataValidation>
    <dataValidation type="list" allowBlank="1" showInputMessage="1" showErrorMessage="1" sqref="M103:M104 M33:M45 M48:M81 M84:M93 M95:M101 M5:M11 M14:M30" xr:uid="{00000000-0002-0000-0700-000004000000}">
      <formula1>$D$115:$D$117</formula1>
    </dataValidation>
    <dataValidation type="list" allowBlank="1" showInputMessage="1" showErrorMessage="1" sqref="F103:F104 F101 F95:F99 F60 F65:F81 F48:F58" xr:uid="{00000000-0002-0000-0700-000005000000}">
      <formula1>$E$128:$E$134</formula1>
    </dataValidation>
  </dataValidations>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80CE807467667340B4485B7B75D64172" ma:contentTypeVersion="4672" ma:contentTypeDescription="A content type to manage public (operations) IDB documents" ma:contentTypeScope="" ma:versionID="76cd49a3b36919aa6ca2fd69efdeac48">
  <xsd:schema xmlns:xsd="http://www.w3.org/2001/XMLSchema" xmlns:xs="http://www.w3.org/2001/XMLSchema" xmlns:p="http://schemas.microsoft.com/office/2006/metadata/properties" xmlns:ns2="cdc7663a-08f0-4737-9e8c-148ce897a09c" targetNamespace="http://schemas.microsoft.com/office/2006/metadata/properties" ma:root="true" ma:fieldsID="56c87c8ebe373cb87a5bfaa6eac73be9"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default="BR-L1421"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element name="Related_x0020_SisCor_x0020_Number" ma:index="54"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ae61f9b1-e23d-4f49-b3d7-56b991556c4b" ContentTypeId="0x010100ACF722E9F6B0B149B0CD8BE2560A6672"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ae61f9b1-e23d-4f49-b3d7-56b991556c4b" ContentTypeId="0x0101001A458A224826124E8B45B1D613300CFC" PreviousValue="false"/>
</file>

<file path=customXml/item6.xml><?xml version="1.0" encoding="utf-8"?>
<p:properties xmlns:p="http://schemas.microsoft.com/office/2006/metadata/properties" xmlns:xsi="http://www.w3.org/2001/XMLSchema-instance" xmlns:pc="http://schemas.microsoft.com/office/infopath/2007/PartnerControls">
  <documentManagement>
    <Access_x0020_to_x0020_Information_x00a0_Policy xmlns="cdc7663a-08f0-4737-9e8c-148ce897a09c">Public</Access_x0020_to_x0020_Information_x00a0_Policy>
    <SISCOR_x0020_Number xmlns="cdc7663a-08f0-4737-9e8c-148ce897a09c" xsi:nil="true"/>
    <b26cdb1da78c4bb4b1c1bac2f6ac5911 xmlns="cdc7663a-08f0-4737-9e8c-148ce897a09c">
      <Terms xmlns="http://schemas.microsoft.com/office/infopath/2007/PartnerControls"/>
    </b26cdb1da78c4bb4b1c1bac2f6ac5911>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Brazil</TermName>
          <TermId xmlns="http://schemas.microsoft.com/office/infopath/2007/PartnerControls">7deb27ec-6837-4974-9aa8-6cfbac841ef8</TermId>
        </TermInfo>
      </Terms>
    </ic46d7e087fd4a108fb86518ca413cc6>
    <IDBDocs_x0020_Number xmlns="cdc7663a-08f0-4737-9e8c-148ce897a09c" xsi:nil="true"/>
    <Division_x0020_or_x0020_Unit xmlns="cdc7663a-08f0-4737-9e8c-148ce897a09c">CSC/CBR</Division_x0020_or_x0020_Unit>
    <Fiscal_x0020_Year_x0020_IDB xmlns="cdc7663a-08f0-4737-9e8c-148ce897a09c">2019</Fiscal_x0020_Year_x0020_IDB>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Project Administration</TermName>
          <TermId xmlns="http://schemas.microsoft.com/office/infopath/2007/PartnerControls">751f71fd-1433-4702-a2db-ff12a4e45594</TermId>
        </TermInfo>
      </Terms>
    </e46fe2894295491da65140ffd2369f49>
    <Other_x0020_Author xmlns="cdc7663a-08f0-4737-9e8c-148ce897a09c" xsi:nil="true"/>
    <Migration_x0020_Info xmlns="cdc7663a-08f0-4737-9e8c-148ce897a09c" xsi:nil="true"/>
    <Approval_x0020_Number xmlns="cdc7663a-08f0-4737-9e8c-148ce897a09c">4444/OC-BR;</Approval_x0020_Number>
    <Phase xmlns="cdc7663a-08f0-4737-9e8c-148ce897a09c">ACTIVE</Phase>
    <Document_x0020_Author xmlns="cdc7663a-08f0-4737-9e8c-148ce897a09c">do Nascimento, Daniela Rocha</Document_x0020_Author>
    <b2ec7cfb18674cb8803df6b262e8b107 xmlns="cdc7663a-08f0-4737-9e8c-148ce897a09c">
      <Terms xmlns="http://schemas.microsoft.com/office/infopath/2007/PartnerControls">
        <TermInfo xmlns="http://schemas.microsoft.com/office/infopath/2007/PartnerControls">
          <TermName xmlns="http://schemas.microsoft.com/office/infopath/2007/PartnerControls">SUSTAINABLE CITIES</TermName>
          <TermId xmlns="http://schemas.microsoft.com/office/infopath/2007/PartnerControls">cf804339-6f4c-4f87-8265-85ebba8dfd90</TermId>
        </TermInfo>
      </Terms>
    </b2ec7cfb18674cb8803df6b262e8b107>
    <Business_x0020_Area xmlns="cdc7663a-08f0-4737-9e8c-148ce897a09c">ESG</Business_x0020_Area>
    <Key_x0020_Document xmlns="cdc7663a-08f0-4737-9e8c-148ce897a09c">false</Key_x0020_Document>
    <Document_x0020_Language_x0020_IDB xmlns="cdc7663a-08f0-4737-9e8c-148ce897a09c">Portuguese</Document_x0020_Language_x0020_IDB>
    <Project_x0020_Document_x0020_Type xmlns="cdc7663a-08f0-4737-9e8c-148ce897a09c" xsi:nil="true"/>
    <g511464f9e53401d84b16fa9b379a574 xmlns="cdc7663a-08f0-4737-9e8c-148ce897a09c">
      <Terms xmlns="http://schemas.microsoft.com/office/infopath/2007/PartnerControls">
        <TermInfo xmlns="http://schemas.microsoft.com/office/infopath/2007/PartnerControls">
          <TermName xmlns="http://schemas.microsoft.com/office/infopath/2007/PartnerControls">ORC</TermName>
          <TermId xmlns="http://schemas.microsoft.com/office/infopath/2007/PartnerControls">c028a4b2-ad8b-4cf4-9cac-a2ae6a778e23</TermId>
        </TermInfo>
      </Terms>
    </g511464f9e53401d84b16fa9b379a574>
    <Related_x0020_SisCor_x0020_Number xmlns="cdc7663a-08f0-4737-9e8c-148ce897a09c" xsi:nil="true"/>
    <TaxCatchAll xmlns="cdc7663a-08f0-4737-9e8c-148ce897a09c">
      <Value>48</Value>
      <Value>33</Value>
      <Value>3</Value>
      <Value>30</Value>
      <Value>40</Value>
    </TaxCatchAll>
    <Operation_x0020_Type xmlns="cdc7663a-08f0-4737-9e8c-148ce897a09c">Loan Operation</Operation_x0020_Type>
    <Package_x0020_Code xmlns="cdc7663a-08f0-4737-9e8c-148ce897a09c" xsi:nil="true"/>
    <Identifier xmlns="cdc7663a-08f0-4737-9e8c-148ce897a09c" xsi:nil="true"/>
    <Project_x0020_Number xmlns="cdc7663a-08f0-4737-9e8c-148ce897a09c">BR-L1421</Project_x0020_Number>
    <nddeef1749674d76abdbe4b239a70bc6 xmlns="cdc7663a-08f0-4737-9e8c-148ce897a09c">
      <Terms xmlns="http://schemas.microsoft.com/office/infopath/2007/PartnerControls">
        <TermInfo xmlns="http://schemas.microsoft.com/office/infopath/2007/PartnerControls">
          <TermName xmlns="http://schemas.microsoft.com/office/infopath/2007/PartnerControls">URBAN DEVELOPMENT AND HOUSING</TermName>
          <TermId xmlns="http://schemas.microsoft.com/office/infopath/2007/PartnerControls">d14615ee-683d-4ec6-a5cf-ae743c6c4ac1</TermId>
        </TermInfo>
      </Terms>
    </nddeef1749674d76abdbe4b239a70bc6>
    <Record_x0020_Number xmlns="cdc7663a-08f0-4737-9e8c-148ce897a09c" xsi:nil="true"/>
    <_dlc_DocId xmlns="cdc7663a-08f0-4737-9e8c-148ce897a09c">EZSHARE-404985523-91</_dlc_DocId>
    <_dlc_DocIdUrl xmlns="cdc7663a-08f0-4737-9e8c-148ce897a09c">
      <Url>https://idbg.sharepoint.com/teams/EZ-BR-LON/BR-L1421/_layouts/15/DocIdRedir.aspx?ID=EZSHARE-404985523-91</Url>
      <Description>EZSHARE-404985523-91</Description>
    </_dlc_DocIdUrl>
    <Disclosure_x0020_Activity xmlns="cdc7663a-08f0-4737-9e8c-148ce897a09c">Procurement Plan</Disclosure_x0020_Activity>
    <Issue_x0020_Date xmlns="cdc7663a-08f0-4737-9e8c-148ce897a09c" xsi:nil="true"/>
    <KP_x0020_Topics xmlns="cdc7663a-08f0-4737-9e8c-148ce897a09c" xsi:nil="true"/>
    <Disclosed xmlns="cdc7663a-08f0-4737-9e8c-148ce897a09c">true</Disclosed>
    <Publication_x0020_Type xmlns="cdc7663a-08f0-4737-9e8c-148ce897a09c" xsi:nil="true"/>
    <Editor1 xmlns="cdc7663a-08f0-4737-9e8c-148ce897a09c" xsi:nil="true"/>
    <Region xmlns="cdc7663a-08f0-4737-9e8c-148ce897a09c" xsi:nil="true"/>
    <Webtopic xmlns="cdc7663a-08f0-4737-9e8c-148ce897a09c" xsi:nil="true"/>
    <Abstract xmlns="cdc7663a-08f0-4737-9e8c-148ce897a09c" xsi:nil="true"/>
    <Publishing_x0020_House xmlns="cdc7663a-08f0-4737-9e8c-148ce897a09c" xsi:nil="true"/>
  </documentManagement>
</p:properties>
</file>

<file path=customXml/itemProps1.xml><?xml version="1.0" encoding="utf-8"?>
<ds:datastoreItem xmlns:ds="http://schemas.openxmlformats.org/officeDocument/2006/customXml" ds:itemID="{170808CD-7CE6-4F2F-9FCD-320B9070B641}"/>
</file>

<file path=customXml/itemProps2.xml><?xml version="1.0" encoding="utf-8"?>
<ds:datastoreItem xmlns:ds="http://schemas.openxmlformats.org/officeDocument/2006/customXml" ds:itemID="{6CB4A226-7BBD-43F8-9F5C-0F83F56A983E}"/>
</file>

<file path=customXml/itemProps3.xml><?xml version="1.0" encoding="utf-8"?>
<ds:datastoreItem xmlns:ds="http://schemas.openxmlformats.org/officeDocument/2006/customXml" ds:itemID="{AA3EFADB-5713-41A0-B5B7-EB465E93FC9F}"/>
</file>

<file path=customXml/itemProps4.xml><?xml version="1.0" encoding="utf-8"?>
<ds:datastoreItem xmlns:ds="http://schemas.openxmlformats.org/officeDocument/2006/customXml" ds:itemID="{346CDBD1-117D-424B-AF61-B94C236EC486}"/>
</file>

<file path=customXml/itemProps5.xml><?xml version="1.0" encoding="utf-8"?>
<ds:datastoreItem xmlns:ds="http://schemas.openxmlformats.org/officeDocument/2006/customXml" ds:itemID="{86A392C3-209E-4CD5-BA3E-9F5E51528C05}"/>
</file>

<file path=customXml/itemProps6.xml><?xml version="1.0" encoding="utf-8"?>
<ds:datastoreItem xmlns:ds="http://schemas.openxmlformats.org/officeDocument/2006/customXml" ds:itemID="{6715119D-B797-4DC7-8105-54BFA9C149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11</vt:i4>
      </vt:variant>
    </vt:vector>
  </HeadingPairs>
  <TitlesOfParts>
    <vt:vector size="19" baseType="lpstr">
      <vt:lpstr>Instruções</vt:lpstr>
      <vt:lpstr>P.A. TOTAL </vt:lpstr>
      <vt:lpstr>INFORMATIVO 02 04 19</vt:lpstr>
      <vt:lpstr>P Aquisições TOTAL 01 04 19 nºA</vt:lpstr>
      <vt:lpstr>INFORMATIVO 31 01 19</vt:lpstr>
      <vt:lpstr>Sheet1</vt:lpstr>
      <vt:lpstr>PA 18 02 19 - 18 meses</vt:lpstr>
      <vt:lpstr>P.A 18 MESES</vt:lpstr>
      <vt:lpstr>'INFORMATIVO 02 04 19'!Area_de_impressao</vt:lpstr>
      <vt:lpstr>'INFORMATIVO 31 01 19'!Area_de_impressao</vt:lpstr>
      <vt:lpstr>'P Aquisições TOTAL 01 04 19 nºA'!Area_de_impressao</vt:lpstr>
      <vt:lpstr>'P.A. TOTAL '!Area_de_impressao</vt:lpstr>
      <vt:lpstr>'PA 18 02 19 - 18 meses'!Area_de_impressao</vt:lpstr>
      <vt:lpstr>'P Aquisições TOTAL 01 04 19 nºA'!capacitacao</vt:lpstr>
      <vt:lpstr>'P.A. TOTAL '!capacitacao</vt:lpstr>
      <vt:lpstr>'PA 18 02 19 - 18 meses'!capacitacao</vt:lpstr>
      <vt:lpstr>'P Aquisições TOTAL 01 04 19 nºA'!Titulos_de_impressao</vt:lpstr>
      <vt:lpstr>'P.A. TOTAL '!Titulos_de_impressao</vt:lpstr>
      <vt:lpstr>'PA 18 02 19 - 18 meses'!Titulos_de_impressao</vt:lpstr>
    </vt:vector>
  </TitlesOfParts>
  <Company>Inter-American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 Marcos T. de Almeida</dc:creator>
  <cp:keywords/>
  <cp:lastModifiedBy>Fábio Vinícius Maia Trigueiro</cp:lastModifiedBy>
  <cp:lastPrinted>2019-04-02T17:01:55Z</cp:lastPrinted>
  <dcterms:created xsi:type="dcterms:W3CDTF">2011-03-30T14:45:37Z</dcterms:created>
  <dcterms:modified xsi:type="dcterms:W3CDTF">2019-05-06T19:44:58Z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TaxKeyword">
    <vt:lpwstr/>
  </property>
  <property fmtid="{D5CDD505-2E9C-101B-9397-08002B2CF9AE}" pid="4" name="TaxKeywordTaxHTField">
    <vt:lpwstr/>
  </property>
  <property fmtid="{D5CDD505-2E9C-101B-9397-08002B2CF9AE}" pid="5" name="Series Operations IDB">
    <vt:lpwstr/>
  </property>
  <property fmtid="{D5CDD505-2E9C-101B-9397-08002B2CF9AE}" pid="6" name="Sub-Sector">
    <vt:lpwstr>48;#SUSTAINABLE CITIES|cf804339-6f4c-4f87-8265-85ebba8dfd90</vt:lpwstr>
  </property>
  <property fmtid="{D5CDD505-2E9C-101B-9397-08002B2CF9AE}" pid="7" name="Fund IDB">
    <vt:lpwstr>33;#ORC|c028a4b2-ad8b-4cf4-9cac-a2ae6a778e23</vt:lpwstr>
  </property>
  <property fmtid="{D5CDD505-2E9C-101B-9397-08002B2CF9AE}" pid="8" name="Country">
    <vt:lpwstr>30;#Brazil|7deb27ec-6837-4974-9aa8-6cfbac841ef8</vt:lpwstr>
  </property>
  <property fmtid="{D5CDD505-2E9C-101B-9397-08002B2CF9AE}" pid="9" name="Sector IDB">
    <vt:lpwstr>40;#URBAN DEVELOPMENT AND HOUSING|d14615ee-683d-4ec6-a5cf-ae743c6c4ac1</vt:lpwstr>
  </property>
  <property fmtid="{D5CDD505-2E9C-101B-9397-08002B2CF9AE}" pid="10" name="Function Operations IDB">
    <vt:lpwstr>3;#Project Administration|751f71fd-1433-4702-a2db-ff12a4e45594</vt:lpwstr>
  </property>
  <property fmtid="{D5CDD505-2E9C-101B-9397-08002B2CF9AE}" pid="11" name="_dlc_DocIdItemGuid">
    <vt:lpwstr>10aefce0-df93-4f14-9419-3d9e18fc64c0</vt:lpwstr>
  </property>
  <property fmtid="{D5CDD505-2E9C-101B-9397-08002B2CF9AE}" pid="12" name="Disclosure Activity">
    <vt:lpwstr>Procurement Plan</vt:lpwstr>
  </property>
  <property fmtid="{D5CDD505-2E9C-101B-9397-08002B2CF9AE}" pid="13" name="ContentTypeId">
    <vt:lpwstr>0x0101001A458A224826124E8B45B1D613300CFC0080CE807467667340B4485B7B75D64172</vt:lpwstr>
  </property>
</Properties>
</file>