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sheriesr\Documents\SAS Working files\Procurement\"/>
    </mc:Choice>
  </mc:AlternateContent>
  <bookViews>
    <workbookView xWindow="0" yWindow="0" windowWidth="20160" windowHeight="8712" firstSheet="1" activeTab="2" xr2:uid="{00000000-000D-0000-FFFF-FFFF00000000}"/>
  </bookViews>
  <sheets>
    <sheet name="Project Structure" sheetId="3" r:id="rId1"/>
    <sheet name="Procurement Plan" sheetId="2" r:id="rId2"/>
    <sheet name="Detailed Procurement Plan" sheetId="1" r:id="rId3"/>
    <sheet name="Sheet 1" sheetId="4" r:id="rId4"/>
    <sheet name="Sheet2" sheetId="6" r:id="rId5"/>
    <sheet name="Sheet1" sheetId="5" r:id="rId6"/>
  </sheets>
  <definedNames>
    <definedName name="_xlnm._FilterDatabase" localSheetId="2" hidden="1">'Detailed Procurement Plan'!$D$1:$D$174</definedName>
  </definedNames>
  <calcPr calcId="171027"/>
</workbook>
</file>

<file path=xl/calcChain.xml><?xml version="1.0" encoding="utf-8"?>
<calcChain xmlns="http://schemas.openxmlformats.org/spreadsheetml/2006/main">
  <c r="G77" i="1" l="1"/>
  <c r="G75" i="1" l="1"/>
  <c r="C7" i="4"/>
  <c r="E11" i="4"/>
  <c r="E9" i="4"/>
  <c r="F7" i="4"/>
  <c r="G9" i="4"/>
  <c r="G64" i="1" l="1"/>
  <c r="G59" i="1"/>
  <c r="G74" i="1"/>
  <c r="G73" i="1"/>
  <c r="G72" i="1"/>
  <c r="G69" i="1" l="1"/>
  <c r="G104" i="1" l="1"/>
  <c r="G80" i="1" l="1"/>
  <c r="F11" i="6" l="1"/>
  <c r="D20" i="6"/>
  <c r="B26" i="6"/>
  <c r="B28" i="6"/>
  <c r="F28" i="6"/>
  <c r="F33" i="6" l="1"/>
  <c r="G99" i="1"/>
  <c r="F115" i="1"/>
  <c r="E7" i="4" s="1"/>
  <c r="F149" i="1" l="1"/>
  <c r="F113" i="1"/>
  <c r="F114" i="1"/>
  <c r="F135" i="1"/>
  <c r="G40" i="1"/>
  <c r="G39" i="1"/>
  <c r="G47" i="1"/>
  <c r="C13" i="4" s="1"/>
  <c r="F134" i="1"/>
  <c r="F133" i="1"/>
  <c r="G38" i="1"/>
  <c r="G103" i="1"/>
  <c r="D7" i="4" s="1"/>
  <c r="E31" i="6" l="1"/>
  <c r="G46" i="1"/>
  <c r="D11" i="4"/>
  <c r="G27" i="1" l="1"/>
  <c r="G21" i="1"/>
  <c r="F112" i="1" l="1"/>
  <c r="D31" i="6" l="1"/>
  <c r="E5" i="4"/>
  <c r="G78" i="1"/>
  <c r="G81" i="1"/>
  <c r="C13" i="6" l="1"/>
  <c r="G98" i="1"/>
  <c r="G102" i="1" l="1"/>
  <c r="G101" i="1"/>
  <c r="G100" i="1"/>
  <c r="G97" i="1"/>
  <c r="G96" i="1"/>
  <c r="G95" i="1"/>
  <c r="G92" i="1"/>
  <c r="G44" i="1" l="1"/>
  <c r="G31" i="1" l="1"/>
  <c r="B24" i="6" s="1"/>
  <c r="G83" i="1"/>
  <c r="C24" i="6" s="1"/>
  <c r="G48" i="1"/>
  <c r="G62" i="1"/>
  <c r="G17" i="1"/>
  <c r="G15" i="1"/>
  <c r="G60" i="1"/>
  <c r="D5" i="4" l="1"/>
  <c r="C5" i="4"/>
  <c r="C11" i="4"/>
  <c r="H11" i="4" s="1"/>
  <c r="B31" i="6"/>
  <c r="G91" i="1" l="1"/>
  <c r="G93" i="1"/>
  <c r="C9" i="6" l="1"/>
  <c r="G29" i="1"/>
  <c r="H13" i="4" l="1"/>
  <c r="G88" i="1"/>
  <c r="G82" i="1" l="1"/>
  <c r="C20" i="6" s="1"/>
  <c r="G28" i="1"/>
  <c r="B13" i="6" s="1"/>
  <c r="H13" i="6" s="1"/>
  <c r="K13" i="6" s="1"/>
  <c r="C18" i="6"/>
  <c r="B27" i="2" l="1"/>
  <c r="G51" i="1" l="1"/>
  <c r="G87" i="1" l="1"/>
  <c r="G86" i="1"/>
  <c r="G84" i="1"/>
  <c r="C28" i="6" s="1"/>
  <c r="C31" i="6"/>
  <c r="C11" i="6" l="1"/>
  <c r="G107" i="1"/>
  <c r="D9" i="4"/>
  <c r="F132" i="1"/>
  <c r="E28" i="6" l="1"/>
  <c r="E33" i="6" s="1"/>
  <c r="F5" i="4"/>
  <c r="F15" i="4" s="1"/>
  <c r="D18" i="6"/>
  <c r="D33" i="6" s="1"/>
  <c r="C33" i="6"/>
  <c r="F138" i="1"/>
  <c r="F123" i="1"/>
  <c r="H7" i="4"/>
  <c r="D15" i="4"/>
  <c r="G15" i="4"/>
  <c r="B14" i="2" s="1"/>
  <c r="G50" i="1"/>
  <c r="B9" i="6" s="1"/>
  <c r="G37" i="1"/>
  <c r="B11" i="6" s="1"/>
  <c r="H11" i="6" s="1"/>
  <c r="K11" i="6" s="1"/>
  <c r="B28" i="2"/>
  <c r="G45" i="1"/>
  <c r="B22" i="6" l="1"/>
  <c r="B33" i="6" s="1"/>
  <c r="H33" i="6" s="1"/>
  <c r="C9" i="4"/>
  <c r="C15" i="4" s="1"/>
  <c r="H9" i="6"/>
  <c r="K9" i="6" s="1"/>
  <c r="G53" i="1"/>
  <c r="B25" i="2"/>
  <c r="H5" i="4"/>
  <c r="B13" i="2"/>
  <c r="E15" i="4"/>
  <c r="H9" i="4" l="1"/>
  <c r="H15" i="4" s="1"/>
  <c r="B24" i="2"/>
  <c r="B16" i="2"/>
  <c r="B26" i="2" l="1"/>
  <c r="B30" i="2" s="1"/>
  <c r="B12" i="2"/>
  <c r="B20" i="2" s="1"/>
  <c r="F163" i="1"/>
  <c r="F164" i="1" s="1"/>
</calcChain>
</file>

<file path=xl/sharedStrings.xml><?xml version="1.0" encoding="utf-8"?>
<sst xmlns="http://schemas.openxmlformats.org/spreadsheetml/2006/main" count="907" uniqueCount="361">
  <si>
    <t>3CV</t>
  </si>
  <si>
    <t>Total</t>
  </si>
  <si>
    <t>WORKS</t>
  </si>
  <si>
    <t>Executing Agency:</t>
  </si>
  <si>
    <t>Goods</t>
  </si>
  <si>
    <t>GOODS</t>
  </si>
  <si>
    <t>NON CONSULTING SERVICES</t>
  </si>
  <si>
    <t>CONSULTING FIRMS</t>
  </si>
  <si>
    <t>INDIVIDUAL CONSULTANTS</t>
  </si>
  <si>
    <t>TRAINING</t>
  </si>
  <si>
    <t>Activity:</t>
  </si>
  <si>
    <t>Additional Information:</t>
  </si>
  <si>
    <t>Procurement Method
(Select one of the options):</t>
  </si>
  <si>
    <t>Lots Quantity:</t>
  </si>
  <si>
    <t>Process Number:</t>
  </si>
  <si>
    <t>Associated Component:</t>
  </si>
  <si>
    <t>Estimated Number of Consultants:</t>
  </si>
  <si>
    <t>Contract Signature</t>
  </si>
  <si>
    <t>Specific Procurement notice</t>
  </si>
  <si>
    <t>Dates</t>
  </si>
  <si>
    <t>Bidding Documents</t>
  </si>
  <si>
    <t>No Objection to TOR's</t>
  </si>
  <si>
    <t>Annual Training Plan (ATP)</t>
  </si>
  <si>
    <t>Cancelled</t>
  </si>
  <si>
    <t>Contract Concluded</t>
  </si>
  <si>
    <t>Contract in Execution</t>
  </si>
  <si>
    <t>Contract Terminated</t>
  </si>
  <si>
    <t>Null and Void</t>
  </si>
  <si>
    <t>Ongoing</t>
  </si>
  <si>
    <t>Planned</t>
  </si>
  <si>
    <t>Rejection of all Bids</t>
  </si>
  <si>
    <t>Re-Tendering</t>
  </si>
  <si>
    <t>Direct Contracting</t>
  </si>
  <si>
    <t>International Competitive Bidding</t>
  </si>
  <si>
    <t>National Competitive Bidding</t>
  </si>
  <si>
    <t>Prequalification</t>
  </si>
  <si>
    <t>Shopping</t>
  </si>
  <si>
    <t>Quality Based Selection</t>
  </si>
  <si>
    <t>Selection Based on the Consultants' Qualifications</t>
  </si>
  <si>
    <t>Selection under a Fixed Budget</t>
  </si>
  <si>
    <t>Single Source Selection</t>
  </si>
  <si>
    <t>Comparison of Qualifications - National Individual Consultant</t>
  </si>
  <si>
    <t>Comparison of Qualifications - International Individual Consultant</t>
  </si>
  <si>
    <t>Turnkey</t>
  </si>
  <si>
    <t>Unit Prices</t>
  </si>
  <si>
    <t>Lump-Sum</t>
  </si>
  <si>
    <t>Works</t>
  </si>
  <si>
    <t>Non-Consulting Services</t>
  </si>
  <si>
    <t>Consulting Firms</t>
  </si>
  <si>
    <t>Lump-Sum + Reimbursable Expenses</t>
  </si>
  <si>
    <t>Time-Based</t>
  </si>
  <si>
    <t>Individual Consultants</t>
  </si>
  <si>
    <t>Agency</t>
  </si>
  <si>
    <t>Sub-Agency (If applies)</t>
  </si>
  <si>
    <t>Agency's Initials</t>
  </si>
  <si>
    <r>
      <rPr>
        <b/>
        <sz val="10"/>
        <color indexed="10"/>
        <rFont val="Calibri"/>
        <family val="2"/>
      </rPr>
      <t xml:space="preserve">NOTE: </t>
    </r>
    <r>
      <rPr>
        <sz val="10"/>
        <rFont val="Calibri"/>
        <family val="2"/>
      </rPr>
      <t xml:space="preserve">
</t>
    </r>
    <r>
      <rPr>
        <b/>
        <sz val="10"/>
        <rFont val="Calibri"/>
        <family val="2"/>
      </rPr>
      <t>1.</t>
    </r>
    <r>
      <rPr>
        <sz val="10"/>
        <rFont val="Calibri"/>
        <family val="2"/>
      </rPr>
      <t xml:space="preserve"> There may only be one Organism which coordinates the Procurement Plan information and submits it to the Bank
</t>
    </r>
    <r>
      <rPr>
        <b/>
        <sz val="10"/>
        <rFont val="Calibri"/>
        <family val="2"/>
      </rPr>
      <t>2.</t>
    </r>
    <r>
      <rPr>
        <sz val="10"/>
        <rFont val="Calibri"/>
        <family val="2"/>
      </rPr>
      <t xml:space="preserve"> Each Sub-executing Agency shall upload one sheet #2  with its activities</t>
    </r>
  </si>
  <si>
    <t>COMPONENTS? (YES / NO)</t>
  </si>
  <si>
    <t>Component's Name (list by number or letter)</t>
  </si>
  <si>
    <t>Component 2</t>
  </si>
  <si>
    <t>Component 3</t>
  </si>
  <si>
    <t>Component 4</t>
  </si>
  <si>
    <t>Component 5</t>
  </si>
  <si>
    <r>
      <rPr>
        <b/>
        <sz val="10"/>
        <color indexed="10"/>
        <rFont val="Calibri"/>
        <family val="2"/>
      </rPr>
      <t>NOTE:</t>
    </r>
    <r>
      <rPr>
        <sz val="10"/>
        <rFont val="Calibri"/>
        <family val="2"/>
      </rPr>
      <t xml:space="preserve">
Name the components in the loan agreement; use only main components</t>
    </r>
  </si>
  <si>
    <t>INFORMATION FOR PROCUREMENT PLAN INITIAL UPLOAD 
ONGOING AND/OR LAST PRESENTED</t>
  </si>
  <si>
    <t>1. Procurement Plan Coverage</t>
  </si>
  <si>
    <t>Data</t>
  </si>
  <si>
    <t>From</t>
  </si>
  <si>
    <t>Until</t>
  </si>
  <si>
    <t>Procurement Plan Coverage:</t>
  </si>
  <si>
    <t>2. Procurement Plan Details</t>
  </si>
  <si>
    <t>Version ( 1-xxxx (Year) ) :</t>
  </si>
  <si>
    <t>3. Amounts by Investment Category</t>
  </si>
  <si>
    <t>Investment Category</t>
  </si>
  <si>
    <t>Amount Financed by the Bank</t>
  </si>
  <si>
    <t>Total Amount (Including counterpart)</t>
  </si>
  <si>
    <t>Non Consulting Services</t>
  </si>
  <si>
    <t>Training</t>
  </si>
  <si>
    <t>Operative Costs</t>
  </si>
  <si>
    <t>Consulting Services (Firms + Individuals)</t>
  </si>
  <si>
    <t>Transfers</t>
  </si>
  <si>
    <t xml:space="preserve">Community Participation </t>
  </si>
  <si>
    <t>Unassigned</t>
  </si>
  <si>
    <t>PROCUREMENT PLAN INITIAL LOAD INFORMATION  (ONGOING AND/OR LAST PRESENTED)</t>
  </si>
  <si>
    <t>4. Components</t>
  </si>
  <si>
    <t>Project Components</t>
  </si>
  <si>
    <r>
      <t xml:space="preserve">Component 6 - </t>
    </r>
    <r>
      <rPr>
        <i/>
        <sz val="10"/>
        <rFont val="Calibri"/>
        <family val="2"/>
      </rPr>
      <t>Description</t>
    </r>
  </si>
  <si>
    <t>Ex-Post</t>
  </si>
  <si>
    <t>Ex-Ante</t>
  </si>
  <si>
    <t>Review Method
(Select one of the options):</t>
  </si>
  <si>
    <t>National System</t>
  </si>
  <si>
    <t xml:space="preserve">Estimated Amount </t>
  </si>
  <si>
    <t>Comments - for UCS include selection method</t>
  </si>
  <si>
    <t>Estimated Amount, in US$:</t>
  </si>
  <si>
    <t>Estimated Amount IDB %:</t>
  </si>
  <si>
    <t>Estimated Amount Counterpart %:</t>
  </si>
  <si>
    <t>Limited Competitive Bidding</t>
  </si>
  <si>
    <t>Estimated Amount</t>
  </si>
  <si>
    <t>Two-envelope International Competitive Bidding</t>
  </si>
  <si>
    <t>International Competitive Bidding by Lots</t>
  </si>
  <si>
    <t>Least cost Selection</t>
  </si>
  <si>
    <t>1.2.4.2-1-1</t>
  </si>
  <si>
    <t>National Environment &amp; Planning Agency</t>
  </si>
  <si>
    <t>1.2.4.4-1-1</t>
  </si>
  <si>
    <t>Pending</t>
  </si>
  <si>
    <t>MONITORING EQUIPMENT:  Purchase and installation of sediment and rain gauges, stream flow monitors and other.</t>
  </si>
  <si>
    <t>1.2.5-1-1</t>
  </si>
  <si>
    <t>HARDWARE AND SOFTWARE:  Purchase of computer equipment and applications for Integrated Watershed Management Decision Support System (IWM-DSS).</t>
  </si>
  <si>
    <t>1.3.2-1-1</t>
  </si>
  <si>
    <t>VEHICLE:  Purchase of 4X4 Pick Up Truck for the use by the  National Environment and Planning Agency (NEPA) as Program Implementing Agency (PIA), and by the Program Executing Unit (PEU).</t>
  </si>
  <si>
    <t>3.1.3-1-1</t>
  </si>
  <si>
    <t>Program Administration: Procurement of Printer/Copier/Scanner for PEU</t>
  </si>
  <si>
    <t>1-4-3-1-1</t>
  </si>
  <si>
    <t>1-4-10-1-8</t>
  </si>
  <si>
    <t>Production of training material to conduct training sessions and seminars on the applications of Geographic Information Systems (GIS) to land management and physical and rural planning, and related biodiversity and ecosystem services.</t>
  </si>
  <si>
    <t>PES Training:  Production of training material to conduct training sessions and seminars - June 2018</t>
  </si>
  <si>
    <t>2.3.1.7-1-1</t>
  </si>
  <si>
    <t>PES Training:  Production of training material to conduct training sessions and seminars - September 2018</t>
  </si>
  <si>
    <t>2.3.1.8-1-2</t>
  </si>
  <si>
    <t>PES Training:  Production of training material to  conduct training sessions and seminars - March 2019</t>
  </si>
  <si>
    <t>2.3.1.9-1-3</t>
  </si>
  <si>
    <t>PES Training:  Production of training material to conduct training sessions and seminars - May 2019</t>
  </si>
  <si>
    <t>2.3.1.10-1-4</t>
  </si>
  <si>
    <t>3.2.1.1-1-1</t>
  </si>
  <si>
    <t>3.2.1.2-1-1</t>
  </si>
  <si>
    <t>3.2.3-3-1</t>
  </si>
  <si>
    <t>LOCAL TRAINING: Dissemination and training activities aimed at local farming communities on fire management. Included in the procurement are tools, Equipment &amp; other supplies</t>
  </si>
  <si>
    <t>3.2.4.1-1-1</t>
  </si>
  <si>
    <t>3.2.5.3-1-1</t>
  </si>
  <si>
    <t>3.2.5.4-1-1</t>
  </si>
  <si>
    <t xml:space="preserve">LOCAL TRAINING: 6 computers to assist with ICT Training  and set up ICT Centres aimed at local communities on non-agricultural aspects.  </t>
  </si>
  <si>
    <t>3.2.5.5-1-1</t>
  </si>
  <si>
    <t>3.2.5.5-1-2</t>
  </si>
  <si>
    <t>3.3.1.3-1-1</t>
  </si>
  <si>
    <t>3.3.1.5-1-1</t>
  </si>
  <si>
    <t>3.3.1.5-1-2</t>
  </si>
  <si>
    <t>3.3.1.5-1-3</t>
  </si>
  <si>
    <r>
      <t>PROJECTS IMPLEMENTATION: Reforestation and restoration of degraded lands. Included in the investment packages are</t>
    </r>
    <r>
      <rPr>
        <sz val="8"/>
        <rFont val="Calibri"/>
        <family val="2"/>
      </rPr>
      <t xml:space="preserve"> Soil/potting mix/other production material. </t>
    </r>
  </si>
  <si>
    <t>3.3.2.2-1-1</t>
  </si>
  <si>
    <r>
      <t>PROJECTS IMPLEMENTATION: Reforestation and restoration of degraded lands. Included in the investment packages are</t>
    </r>
    <r>
      <rPr>
        <sz val="8"/>
        <rFont val="Calibri"/>
        <family val="2"/>
      </rPr>
      <t xml:space="preserve"> equipment/material (groung truthing from Satelite Imagery and other cost </t>
    </r>
  </si>
  <si>
    <t>3.3.2.2-1-2</t>
  </si>
  <si>
    <r>
      <t>PROJECTS IMPLEMENTATION: Reforestation and restoration of degraded lands. Included in the investment packages are</t>
    </r>
    <r>
      <rPr>
        <sz val="8"/>
        <rFont val="Calibri"/>
        <family val="2"/>
      </rPr>
      <t xml:space="preserve"> GPS Equipment units, software  and annual licensing fee and other cost for ground truthing from satelity imagery.</t>
    </r>
  </si>
  <si>
    <t>Completed</t>
  </si>
  <si>
    <t>In-progress</t>
  </si>
  <si>
    <t xml:space="preserve">End of Activity </t>
  </si>
  <si>
    <t xml:space="preserve">LOCAL TRAINING: Marketing Specialist -  Four (4) market studies to be conducted aimed at local communities on non-agricultural aspects. Training for local communities in the commerical aspects of farming, packaging and other. </t>
  </si>
  <si>
    <t xml:space="preserve">LOCAL TRAINING: National Consultant - Team Jamaica Training Program aimed at local communities on non-agricultural aspects. </t>
  </si>
  <si>
    <t>LOCAL TRAINING: CPR Renewal Training Program aimed at local communities on non-agricultural aspects.</t>
  </si>
  <si>
    <t xml:space="preserve">LOCAL TRAINING:  Information, communication and technology (ICT) Trainers for Training Program aimed at local communities on non-agricultural aspects.  </t>
  </si>
  <si>
    <t>3.2.5.2-3-1</t>
  </si>
  <si>
    <t>3.2.5.3-3-1</t>
  </si>
  <si>
    <t>3.2.5.5-3-2</t>
  </si>
  <si>
    <t>3.2.5.6-3-2</t>
  </si>
  <si>
    <t>INDIVIDUAL CONSULTANT: National - Institutional Specialist to prepare the Memoranda of Understanding (MOU) between the National Environment and Planning Agency (NEPA) and participating Government of Jamaica (GOJ) Agencies and Non-Government Agencies (NGOs).</t>
  </si>
  <si>
    <t>1.1.1-4-1</t>
  </si>
  <si>
    <t>1.2.6.1-4-1</t>
  </si>
  <si>
    <t>1.3.1.1-4-1</t>
  </si>
  <si>
    <t>INDIVIDUAL CONSULTANT: National - Promotion and Public Communication Specialist to design and implement the overall Program communication plan and public awareness campaign</t>
  </si>
  <si>
    <t>1.5.1-4-1</t>
  </si>
  <si>
    <t>3.2.2.2-4-1</t>
  </si>
  <si>
    <t xml:space="preserve">LOCAL TRAINING: Marketing Specialist -  Four (4) market studies to be conducted aimed at local communities on non-agricultural aspects. </t>
  </si>
  <si>
    <t>3.2.5.1-4-1</t>
  </si>
  <si>
    <t>INDIVIDUAL CONSULTANT: National - Program Coordinator for the Program Executing Unit</t>
  </si>
  <si>
    <t>I-4-1</t>
  </si>
  <si>
    <t>INDIVIDUAL CONSULTANT: National -  Administrative and Finance/Accounting Officer for the Program Executing Unit</t>
  </si>
  <si>
    <t>I-4-2</t>
  </si>
  <si>
    <t>III.A-4-1</t>
  </si>
  <si>
    <t>1.2.1.2-4-1</t>
  </si>
  <si>
    <t>1.2.3.1-4-1</t>
  </si>
  <si>
    <t>1.2.4.1-4-1</t>
  </si>
  <si>
    <t>CONSULTING FIRM: Independent accounting firm to conduct and prepare the annual external audits of the Program (April 2015-March 2016).</t>
  </si>
  <si>
    <t>3.1.1-3-1</t>
  </si>
  <si>
    <t>3.1.1-3-2</t>
  </si>
  <si>
    <t>III.B-4-1</t>
  </si>
  <si>
    <t>III.B-4-2</t>
  </si>
  <si>
    <t>In-Progress</t>
  </si>
  <si>
    <t>1.2.4.5-3-2</t>
  </si>
  <si>
    <t>1.2.4.3-3-1</t>
  </si>
  <si>
    <t>1.3.3.1-3-1</t>
  </si>
  <si>
    <t>Program Administration: Meeting and workshop expenses as needed through the period</t>
  </si>
  <si>
    <t>Advertising cost related to the employment of consultant firm (International)  to undertake the PES activities</t>
  </si>
  <si>
    <t>2.2.2.2-3-1</t>
  </si>
  <si>
    <t>PES Training:  Rental of venue, transportation, refreshmnet, mileage and other reimbursables to conduct training sessions and seminars - June 2018</t>
  </si>
  <si>
    <t>2.3.1.3-3-3</t>
  </si>
  <si>
    <t>2.3.1.4-3-4</t>
  </si>
  <si>
    <t>2.3.1.5-3-5</t>
  </si>
  <si>
    <t>2.3.1.6-3-6</t>
  </si>
  <si>
    <t>PES Training:  Rental of venue, transportation, refreshmnet, mileage and other reimbursables to conduct training sessions and seminars - September 2018</t>
  </si>
  <si>
    <t>PES Training:  Rental of venue, transportation, refreshmnet, mileage and other reimbursables to conduct training sessions and seminars - March 2019</t>
  </si>
  <si>
    <t>PES Training:  Rental of venue, transportation, refreshmnet, mileage and other reimbursables to conduct training sessions and seminars - May 2019</t>
  </si>
  <si>
    <t>3.1.2-3-1</t>
  </si>
  <si>
    <t>3.2.1.2-3-1</t>
  </si>
  <si>
    <t>3.2.1.3-3-1</t>
  </si>
  <si>
    <t>3.2.1.3-3-2</t>
  </si>
  <si>
    <t xml:space="preserve">TRAINING: Training sessions on "Land Husbandry" aspects for Government of Jamaica (GOJ) officers (NGO groups). Includes the coverage of bus rental. </t>
  </si>
  <si>
    <t xml:space="preserve">COMMUITY-BASED ACTIVITIES AND OUTREACH: Sensitization, training, and strengthening of local farmers and community on social aspects and other related to watershed management: venue, refreshment, travel/mileage and other costs.  </t>
  </si>
  <si>
    <t>3.2.2.1-3-1</t>
  </si>
  <si>
    <t>Advertisement cost related to the employment of Marketing Specialist -  Four (4) market studies to be conducted aimed at local communities on non-agricultural aspects.</t>
  </si>
  <si>
    <t>3.2.4-1-3-1</t>
  </si>
  <si>
    <t>3.2.5.3-3-2</t>
  </si>
  <si>
    <t>3.2.5.1-3-1</t>
  </si>
  <si>
    <t>3.3.1.2-3-1</t>
  </si>
  <si>
    <t>3.3.1.4-3-1</t>
  </si>
  <si>
    <t>3.3.1.5-3-1</t>
  </si>
  <si>
    <t>3.3.2.2-3-1</t>
  </si>
  <si>
    <t>TRANSFERS</t>
  </si>
  <si>
    <t>Executing Agency</t>
  </si>
  <si>
    <t>Transfer Purpose:</t>
  </si>
  <si>
    <t>Estimated Number of Transfers:</t>
  </si>
  <si>
    <t>Transfer Date</t>
  </si>
  <si>
    <t># of renewable small contracts. HEART Trust/NTA to be contracted to conduct training</t>
  </si>
  <si>
    <t>3.2.5.4-3-2</t>
  </si>
  <si>
    <t>Component</t>
  </si>
  <si>
    <t>Non-consulting</t>
  </si>
  <si>
    <t>Consulting Firm</t>
  </si>
  <si>
    <t>Consulting Individual</t>
  </si>
  <si>
    <t xml:space="preserve"> INDIVIDUAL CONSULTANT:  - Specialist to prepare the mid-term and final evaluation of the Program (separate contracts).</t>
  </si>
  <si>
    <t>NEPA</t>
  </si>
  <si>
    <t xml:space="preserve">Component 1 </t>
  </si>
  <si>
    <r>
      <t xml:space="preserve">Component 1 - </t>
    </r>
    <r>
      <rPr>
        <i/>
        <sz val="10"/>
        <rFont val="Calibri"/>
        <family val="2"/>
      </rPr>
      <t>Institutional Strengthening and Capacity Building for Integrating biodiversity into Watershed Management</t>
    </r>
  </si>
  <si>
    <t>Component 2 -  Creating Economic Incentives to support sustainable Biodiversity and Watershed Management</t>
  </si>
  <si>
    <t>Component 3 - Implementing Sustainable Livelihoods, Agriculture and Forestry in Watershed Management Communities</t>
  </si>
  <si>
    <t>Component 4 - Program Evaluations</t>
  </si>
  <si>
    <t>Component 5 - Program Administration</t>
  </si>
  <si>
    <t xml:space="preserve">YES </t>
  </si>
  <si>
    <t>3.2.1.3-1-1</t>
  </si>
  <si>
    <t>1.5.3-1-1</t>
  </si>
  <si>
    <t>Promotion and Public Communication for the printing, &amp; production of communication material (development &amp; dissemination of material).</t>
  </si>
  <si>
    <t>1.5.2-3-1</t>
  </si>
  <si>
    <t>3.2.4.2-1-1</t>
  </si>
  <si>
    <t>1.2.5-3-1</t>
  </si>
  <si>
    <t>MONITORING EQUIPMENT:  Purchase and installation of sediment and rain gauges, stream flow monitors and other - Brokerage fees.</t>
  </si>
  <si>
    <t>1.2.6.5-1-1</t>
  </si>
  <si>
    <t>1.2.6.2-3-1</t>
  </si>
  <si>
    <t>1.2.6.3-3-2</t>
  </si>
  <si>
    <t>CONSULTING FIRM: International - Geographic Information Systems (GIS &amp; DSS Watershed Mangement Specialist) and Land Management Specialist  for the development of (and execution of training workshopfor Government of Jamaica (GOJ) officials on the deployment of the Watershed Management Decision Support System (IWM-DSS ) Integrated Wateshed Management Decision Support System (IWM-DSS). to conduct training sessions and seminars on the applications of Geographic Information Systems (GIS) to land management and physical and rural planning, and related biodiversity and ecosystem services.</t>
  </si>
  <si>
    <t>1.3.3.1-1-1</t>
  </si>
  <si>
    <t>pending</t>
  </si>
  <si>
    <t xml:space="preserve">PILOT PROJECTS: Rural Sociologist (Formerly Watershed Officer) - Implementation of on-farm demonstration projects in agroforestry, Sustainable land Management (SLM), irrigation and other. Conducting training sessions. </t>
  </si>
  <si>
    <t>3.3.1.5-1.4</t>
  </si>
  <si>
    <t>3.3.2.3-1-1</t>
  </si>
  <si>
    <t>Program Administration: Material, computer(s)/other  for Information Technology Infrastructural work (including office fixtures &amp; Stationeries) for the renovation of office space to accommodate the PEU</t>
  </si>
  <si>
    <t>4.1.3.1-1-1</t>
  </si>
  <si>
    <t>4.1.3.1-3-1</t>
  </si>
  <si>
    <t>4.1.3.1-3-2</t>
  </si>
  <si>
    <t>Program Administration: Procurement of labour to erect partition and electrical and other for the renovation of office space to accommodate the PEU</t>
  </si>
  <si>
    <t>Program Administration: Procurement of material &amp; equipment for setting up partition for renovation of office space to accommodate the PEU</t>
  </si>
  <si>
    <t>3.3.2.1-3-1</t>
  </si>
  <si>
    <t>3.3.2.1-3-2</t>
  </si>
  <si>
    <t>3.3.2.5-3-2</t>
  </si>
  <si>
    <t>3.3.2.6-3-1</t>
  </si>
  <si>
    <t>3.3.2.6-3-2</t>
  </si>
  <si>
    <t>3.3.2.7-3-1</t>
  </si>
  <si>
    <t>3.3.2.7-3-2</t>
  </si>
  <si>
    <t>3.3.2.3-3-1</t>
  </si>
  <si>
    <t>3.3.2.3-3-2</t>
  </si>
  <si>
    <t>3.3.2.3-3-3</t>
  </si>
  <si>
    <t>3.3.2.4-3-1</t>
  </si>
  <si>
    <t>3.3.2.4-1-1</t>
  </si>
  <si>
    <t>3.3.2.7-3-4</t>
  </si>
  <si>
    <t>1.1.2-4-1</t>
  </si>
  <si>
    <t>1.1.3-4-1</t>
  </si>
  <si>
    <t>1.1.2-3.1</t>
  </si>
  <si>
    <t>Program Review Specialist: To review and update the watershed management mechanism (watershed model).</t>
  </si>
  <si>
    <t>Policy Consultant: Hosting of workshop - Rental of venue, provision of meals, transportation and others to host workshop.</t>
  </si>
  <si>
    <t xml:space="preserve">Payment for Ecosystems Services (PES) Scheme designed.  </t>
  </si>
  <si>
    <t>2.1.2-4-1</t>
  </si>
  <si>
    <t>INDIVIDUAL CONSULTANT:  International - Environmental Expert to provide training activities on inventory and mapping for carbon sequestration, establishment of baseline, and collection of project monitoring data. (3 separate contracts) (Carbon Stock Monitoring). Includes travel and per diem.</t>
  </si>
  <si>
    <t>Promotion and Public Communication: Production of Graphic Artwork(s) and printing &amp; productioin of communicaiton material (development &amp; dissemination of material) for the public awareness material.</t>
  </si>
  <si>
    <t>1.5.4-1-1</t>
  </si>
  <si>
    <t>1.5.4-3-1</t>
  </si>
  <si>
    <t>3.2.1.2-3-2</t>
  </si>
  <si>
    <t>1.3.3.3-3-1</t>
  </si>
  <si>
    <t>Policy Consultants: To review and update Jamaica's watershed policy to move the country closer towards monitoring of watershed management.</t>
  </si>
  <si>
    <t>1-4-3-0</t>
  </si>
  <si>
    <t>Includes $15,000.00 for reimbursable expense for WRA and Met Service to be governed under the Project Agreement.</t>
  </si>
  <si>
    <t>Program Administration: Procurement of Printer/Copier/Scanner for PEU (Taken from Component 1 Development Orders $5,000.00 &amp; $4,040.69 from 3.3.1.5)</t>
  </si>
  <si>
    <t>3.3.2</t>
  </si>
  <si>
    <t>Non-consul</t>
  </si>
  <si>
    <t>Consult Firm</t>
  </si>
  <si>
    <t>Individual</t>
  </si>
  <si>
    <t>3.3.1</t>
  </si>
  <si>
    <t>3.2.1</t>
  </si>
  <si>
    <t>3.2.4</t>
  </si>
  <si>
    <t>3.1.3</t>
  </si>
  <si>
    <t>3.2.5</t>
  </si>
  <si>
    <t>3.2.3</t>
  </si>
  <si>
    <t>Others</t>
  </si>
  <si>
    <t>3.1.1</t>
  </si>
  <si>
    <t>3.2.2</t>
  </si>
  <si>
    <t>Multiple procurement activities.</t>
  </si>
  <si>
    <t>Multiple payments.</t>
  </si>
  <si>
    <t xml:space="preserve"> PILOT PROJECTS: (Multiple payments) Fuel for Vehicle</t>
  </si>
  <si>
    <t>PROJECTS IMPLEMENTATION: (Multiple payments under Project Agreement) Reforestation and restoration of degraded lands. Included in the investment packages are Accommodation/Subsistence for land prep/planting/maintenance for maintenance/weeding.</t>
  </si>
  <si>
    <t>PROJECTS IMPLEMENTATION:(Multiple payments under Project Agreement) Reforestation and restoration of degraded lands. Included in the investment packages are Mileage and subsistence for land prep/planting/maintenance in support of reforestation  for maintenance/weeding.</t>
  </si>
  <si>
    <t>PROJECTS IMPLEMENTATION: (Multiple payments under Project Agreement) Reforestation and restoration of degraded lands. Included in the investment packages are  Fire lines maintenance (Reopening of Existing Lines) for maintenance/weeding - Casual Labour.</t>
  </si>
  <si>
    <t>PROJECTS IMPLEMENTATION: (Multiple payments under Project Agreement) Reforestation and restoration of degraded lands. Included in the investment packages are Beating up/Seedling replacement for maintenance/weeding.</t>
  </si>
  <si>
    <t>PROJECTS IMPLEMENTATION: (Multiple payments under Project Agreement)  Reforestation and restoration of degraded lands. Included in the investment packages no. of hectares maintained (by casual labour) for maintenance/weeding.</t>
  </si>
  <si>
    <t>PROJECTS IMPLEMENTATION: (Multiple payments under Project Agreement)  Reforestation and restoration of degraded lands. Included in the investment packages are Casual labour for Seedling Production/nursery Operations</t>
  </si>
  <si>
    <t>PROJECTS IMPLEMENTATION: (Multiple payments under Project Agreement)  Reforestation and restoration of degraded lands. Included in the investment packages: Fireslines created for Reforestation/Planting.</t>
  </si>
  <si>
    <t>PROJECTS IMPLEMENTATION:  (Multiple payments under Project Agreement) Reforestation and restoration of degraded lands. Included in the investment packages are one hundred (100) hectares planted (by casual labour) for Reforestation/Planting</t>
  </si>
  <si>
    <t>PROJECTS IMPLEMENTATION: (Multiple payments under Project Agreement)  Reforestation and restoration of degraded lands - Community Engagement. Included in the investment packages are  mileage and subsistence for Technicians.</t>
  </si>
  <si>
    <t>PROJECTS IMPLEMENTATION: (Multiple payments under Project Agreement)  Reforestation and restoration of degraded lands. Included in the investment packages are  Accommodation for  Bush/Survey Lines (Ground truthing).</t>
  </si>
  <si>
    <t>PROJECTS IMPLEMENTATION:  (Multiple payments under Project Agreement) Reforestation and restoration of degraded lands. Included in the investment packages are  Casual labour for Ground -truthing (Survey assistance).</t>
  </si>
  <si>
    <t>PROJECTS IMPLEMENTATION:  (Multiple payments under Project Agreement) Reforestation and restoration of degraded lands. Included in the investment packages are  Subsistence and mileage and Bush Allowance for field officers  to support Ground -truthing activities.</t>
  </si>
  <si>
    <r>
      <t>PROJECTS IMPLEMENTATION: (Multiple payments under Project Agreement)  Reforestation and restoration of degraded lands. Included in the investment packages are casual labour for silviculture plan ref</t>
    </r>
    <r>
      <rPr>
        <sz val="8"/>
        <rFont val="Calibri"/>
        <family val="2"/>
      </rPr>
      <t>orestation/Planting</t>
    </r>
  </si>
  <si>
    <r>
      <t xml:space="preserve">PROJECTS IMPLEMENTATION:  (Multiple payments under Project Agreement) Reforestation and restoration of degraded lands. Included in the investment packages are mileage and subsistence for Silviculture Plan </t>
    </r>
    <r>
      <rPr>
        <sz val="8"/>
        <rFont val="Calibri"/>
        <family val="2"/>
      </rPr>
      <t>for Reforestation/Planting</t>
    </r>
  </si>
  <si>
    <t xml:space="preserve">PILOT PROJECTS: (Multiple payments under Project Agreement)  Implementation of agroforestry and  on-farm demonstration projects, Sustainable land Management (SLM), irrigation and other. Investment packages to be defined: Travelling (mileage &amp; subsistence) RADA Officers.       </t>
  </si>
  <si>
    <t>OTHER SERVICES: (Multiple procurement activities) Monitoring of overall extension and training activities undertaken by Government of Jamaica (GOJ) agencies.</t>
  </si>
  <si>
    <t>TRAINING: (Multiple payments under Project Agreement) Training sessions on "Land Husbandry" aspects for Government of Jamaica (GOJ) officers and community members. Includes the coverage of venue, accommodation, meals/refreshment and promotional supplies.</t>
  </si>
  <si>
    <t xml:space="preserve">LOCAL TRAINING: (Mulitple payments) Dissemination and training activities aimed at local farming communities on fire management. Donation to Jamaica Fire Bridgage.  </t>
  </si>
  <si>
    <t>LOCAL TRAINING: (Multiple payments under Project Agreement) Coordination and monitoring of alternative livelihood training program. Reimbursement of JCDT for cordination and monitoring.</t>
  </si>
  <si>
    <t xml:space="preserve"> PILOT PROJECTS: (Multiple payments) Licensing,  fitness and insurance of project vehicle</t>
  </si>
  <si>
    <t xml:space="preserve"> PILOT PROJECTS: (Multiple procurement activities) Maintenance of Vehicle; cost also includes tyres.</t>
  </si>
  <si>
    <t>Promotion and Public Communication: Production of Graphic Artwork(s) and printing &amp; productioin of communicaiton material (development &amp; dissemination of material) for the public awareness material: Partnership between the Jamaica Cultural Develoment Commission (JCDC) and the NEPA for Jamaica 55 Grand Gala celebrations.</t>
  </si>
  <si>
    <t>1.5.2-3-2</t>
  </si>
  <si>
    <t>2.3.1.7-3-7</t>
  </si>
  <si>
    <t>Payment for Ecosystems Services (PES) Scheme designed.  Printing of 19 reports for internal and external approval committees.</t>
  </si>
  <si>
    <t>III.B-4-3</t>
  </si>
  <si>
    <t xml:space="preserve">INDIVIDUAL CONSULTANT: International/national - Hydrological Modeling Specialist for the Hydro-Meterological Assessment Study for the Program. </t>
  </si>
  <si>
    <t>SURVEYS: Contracting one (1) of two (2) surveys targeted at local stakeholders (to be conducted in year 1) of the Program on Knowledge, Attitude, Practices and Behaviour (KAPB) and consolidation and analysis of results.</t>
  </si>
  <si>
    <t>SURVEYS: Contracting two (2) of two (2) surveys targeted at local stakeholders (to be conducted in years 3 &amp; 5) of the Program on Knowledge, Attitude and Practices (KAPB) and consolidation and analysis of results.</t>
  </si>
  <si>
    <t>Advertising cost related to the employment of consultant re: SURVEYS: Contracting one (1) of two (2) surveys targeted at local stakeholders (to be conducted in year 1) of the Program on Knowledge, Attitude, Practices and Behaviour  (KAPB) and consolidation and analysis of results.</t>
  </si>
  <si>
    <t>1.2.1.2-3-1</t>
  </si>
  <si>
    <r>
      <t xml:space="preserve">Advertising Cost related to the contracting of: 
</t>
    </r>
    <r>
      <rPr>
        <sz val="8"/>
        <rFont val="Calibri"/>
        <family val="2"/>
        <scheme val="minor"/>
      </rPr>
      <t xml:space="preserve">- An CONSULTING FIRM: International - Geographic Information Systems (GIS &amp; DSS      Watershed Management Specialist) and Land Management Specialist  </t>
    </r>
    <r>
      <rPr>
        <b/>
        <sz val="8"/>
        <rFont val="Calibri"/>
        <family val="2"/>
        <scheme val="minor"/>
      </rPr>
      <t>1.3.1.2-3-1</t>
    </r>
    <r>
      <rPr>
        <sz val="8"/>
        <rFont val="Calibri"/>
        <family val="2"/>
        <scheme val="minor"/>
      </rPr>
      <t xml:space="preserve">.
- An individual consultant: National - Economist to conduct the socioeconomic surveys       for the Program </t>
    </r>
    <r>
      <rPr>
        <b/>
        <sz val="8"/>
        <rFont val="Calibri"/>
        <family val="2"/>
        <scheme val="minor"/>
      </rPr>
      <t>1.2.3.2-3-1</t>
    </r>
    <r>
      <rPr>
        <sz val="8"/>
        <rFont val="Calibri"/>
        <family val="2"/>
        <scheme val="minor"/>
      </rPr>
      <t>.</t>
    </r>
  </si>
  <si>
    <t>LOCAL TRAINING: Internet Access for ICT Training aimed at local communities on non-agricultural aspects.</t>
  </si>
  <si>
    <t xml:space="preserve">Consulting  Firm: National - Economist to conduct the socioeconomic surveys for the Program. </t>
  </si>
  <si>
    <t>CONSULTING FIRM: Independent accounting firm to conduct and prepare the annual external audits of the Program (April 2016-March 2017).</t>
  </si>
  <si>
    <t>INDIVIDUAL CONSULTANT: International/national - Hydrological Modeling Specialist for the Hydro-Meterological Assessment Study for the Program. Pier diem and overseas travel</t>
  </si>
  <si>
    <t>Adjusted for this submission</t>
  </si>
  <si>
    <t>Additions</t>
  </si>
  <si>
    <t>Edits made for Sheries</t>
  </si>
  <si>
    <t>Production of training material for organization of training workshops on Bio-Monitoring.</t>
  </si>
  <si>
    <t>MONITORING EQUIPMENT:  Purchase and installation of sediment and rain gauges, stream flow monitors and other. (multiple procurements)</t>
  </si>
  <si>
    <t xml:space="preserve"> Production of material to accommodate training of practioners on inventory and mapping for carbon sequestration.</t>
  </si>
  <si>
    <t>Procurement of equipment (net, bottles, etc. ) for organization of training workshops on Bio-Monitoring  (multiple procurements).</t>
  </si>
  <si>
    <t xml:space="preserve"> Promotion and Public Communication for the printing, &amp; production of communication material (development &amp; dissemination of material). (Multiple procurement activities)</t>
  </si>
  <si>
    <r>
      <t xml:space="preserve">TRAINING: Training sessions on "Land Husbandry" aspects for Government of Jamaica (GOJ) officers and community members. Includes the coverage of </t>
    </r>
    <r>
      <rPr>
        <sz val="8"/>
        <rFont val="Calibri"/>
        <family val="2"/>
      </rPr>
      <t>tools &amp; supplies, preparation and production of training material,   tool: A frames, Siv,  and agricultural supplies eg. Pineapple suckers, fruit trees etc.  (Multiple procurement activities)</t>
    </r>
  </si>
  <si>
    <r>
      <t xml:space="preserve">TRAINING: Training sessions on "Land Husbandry" aspects for Government of Jamaica (GOJ) officers and community members. Includes the coverage of </t>
    </r>
    <r>
      <rPr>
        <sz val="8"/>
        <rFont val="Calibri"/>
        <family val="2"/>
      </rPr>
      <t>tools &amp; Supplies, preparation and production of training material, agricultural supplies eg. Pineapple suckers, fruit trees, stones, and other supplies  (Multiple procurement activities)</t>
    </r>
  </si>
  <si>
    <t>PILOT PROJECTS: Land Husbandry &amp; AF plots: Equipment (Projectors, laptop computer etc.) and other supplies for training workshops eg Farmer Field School &amp; Land Husbandry Workshops.  (Multiple procurement activities)</t>
  </si>
  <si>
    <t>LOCAL TRAINING: Dissemination of material on good agricultural practices, land management and agroforestry practices.Includes the production of short videos, text messages to farmers and other communications activities. ( Multiple procurement activities)</t>
  </si>
  <si>
    <t>LOCAL TRAINING: Refreshments for Team Jamaica Training Program aimed at local communities on non-agricultural aspects including commercialization, marketing, market studies and other.  (Multiple procurement activities)</t>
  </si>
  <si>
    <t>LOCAL TRAINING:Refreshments for CPR Trainer aimed at local communities on non-agricultural aspects including commercialization, marketing, market studies and other.  (Multiple procurement activities)</t>
  </si>
  <si>
    <t>PILOT PROJECTS: Land Husbandry &amp; AF plots (incl. fertilizer, pesticide,  planting material &amp; A-Frames. Check dams/drop structures: stones, used tyres, sand, gabion basket, wire, cement, steel rods, storage container &amp; Transportation (Multiple procurement activities)</t>
  </si>
  <si>
    <t>PILOT PROJECTS: Land Husbandry &amp; AF plots (incl. fertilizer, pesticide,  planting material &amp; A-Frames. Check dams/drop structures: stones, used tyres, sand, gabion basket, wire, cement, steel rods, storage container &amp; Transportation  (Multiple procurement activities)</t>
  </si>
  <si>
    <t>PILOT PROJECTS:  Land Husbandry &amp; AF plots (incl. fertilizer, pesticide,  planting material &amp; A-Frames. Check dams/drop structures: stones, used tyres, sand, gabion basket, wire, cement, steel rods, storage container &amp; Transportation  (Multiple procurement activities)</t>
  </si>
  <si>
    <r>
      <t>PROJECTS IMPLEMENTATION: Reforestation and restoration of degraded lands. Included in the investment packages are</t>
    </r>
    <r>
      <rPr>
        <sz val="8"/>
        <rFont val="Calibri"/>
        <family val="2"/>
      </rPr>
      <t xml:space="preserve"> Soil/potting mix/other production material.  (Multiple procurement activities) </t>
    </r>
  </si>
  <si>
    <t>PROJECTS IMPLEMENTATION:  Reforestation and restoration of degraded lands - Community engagement. Included in the investment packages are  refreshments.  (Multiple procurement activities)</t>
  </si>
  <si>
    <r>
      <t>Advertising cost related to the contracting of consulting firm (National):  Ecological Assessment and  Bio-Monitoring training</t>
    </r>
    <r>
      <rPr>
        <sz val="8"/>
        <color rgb="FFFF0000"/>
        <rFont val="Calibri"/>
        <family val="2"/>
        <scheme val="minor"/>
      </rPr>
      <t xml:space="preserve"> </t>
    </r>
  </si>
  <si>
    <t>Consulting Firm: National - Rental of venue, transportation, training material, refreshment etc for organization of training workshops on Bio-Monitoring  (Multiple procurement activities)</t>
  </si>
  <si>
    <t xml:space="preserve"> Venue, transportation, meals, production of material etc. to accommodate training of practitioners on inventory and mapping for carbon sequestration.  (Multiple procurement activities)</t>
  </si>
  <si>
    <t>Lab Analysis for soil and tissues  samples on inventory and mapping for carbon sequestration.  (Multiple procurement activities)</t>
  </si>
  <si>
    <t>CONSULTING FIRM: Rental of venue, transportation, refreshmnet, mileage and other reimbursables to conduct training sessions and seminars on the applications of Geographic Information Systems (GIS) to land management and physical and rural planning, and related biodiversity and ecosystem services.  (Multiple procurement activities)</t>
  </si>
  <si>
    <t>Public Awareness: Graphic Artwork and production of comunicaion material (development &amp; dissemination of material):  for the development and continuation of service.  (Multiple procurement activities)</t>
  </si>
  <si>
    <t>1.2.3.1-3-1</t>
  </si>
  <si>
    <t>Advertising Cost related to the contracting of: 
- Socio-economic Firm to undertake socio-economic assessment of the watershed management unitsion of on-farm demonstration projects in agroforestry, Sustainable land Management (SLM), irrigation and other. Investment packages to be defined:         3.3.1.1-3-1.</t>
  </si>
  <si>
    <t>TRAINING: Training sessions on "Land Husbandry" aspects for Government of Jamaica (GOJ) officers and community members. Includes the coverage of venue, accommodation, meals/refreshment.  (Multiple procurement activities)</t>
  </si>
  <si>
    <t>Consulting Firm: National - Consulting firm to conduct the ecological survery which includes the preparation of technical materials and organization of training workshops on ecological, biodiversity, and Bio Monitoring (Merged with ecology and biodiversity surveys).</t>
  </si>
  <si>
    <t xml:space="preserve">COMMUITY-BASED ACTIVITIES AND OUTREACH: Consulting Firm (Social Development Commission)  to undertake sensitization, training, and strengthening of local farmers and community on social aspects and other related to watershed management. Includes travel costs.  </t>
  </si>
  <si>
    <t>CONSULTING FIRM: Independent accounting firm to conduct and prepare the annual external audits of the Program (April 2017- March 2018, April 2018 - March 2019 and April  - October 2019).</t>
  </si>
  <si>
    <t>TRAINING: (Multiple payments under Project Agreement) Training sessions on "Land Husbandry" aspects for Government of Jamaica (GOJ) officers (NGO groups). Includes the coverage of staff mileage and others</t>
  </si>
  <si>
    <t>1+J59:N62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</si>
</sst>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164" formatCode="_-* #,##0_-;\-* #,##0_-;_-* &quot;-&quot;_-;_-@_-"/>
    <numFmt numFmtId="165" formatCode="_-* #,##0.00_-;\-* #,##0.00_-;_-* &quot;-&quot;??_-;_-@_-"/>
    <numFmt numFmtId="166" formatCode="[$USD]\ #,##0.00"/>
    <numFmt numFmtId="167" formatCode="#,##0_ ;\-#,##0\ "/>
    <numFmt numFmtId="168" formatCode="#,##0.00000000_ ;\-#,##0.00000000\ "/>
    <numFmt numFmtId="169" formatCode="0;[Red]0"/>
  </numFmts>
  <fonts count="43"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2"/>
      <color indexed="9"/>
      <name val="Calibri"/>
      <family val="2"/>
      <scheme val="minor"/>
    </font>
    <font>
      <sz val="10"/>
      <color indexed="9"/>
      <name val="Calibri"/>
      <family val="2"/>
      <scheme val="minor"/>
    </font>
    <font>
      <b/>
      <sz val="12"/>
      <name val="Calibri"/>
      <family val="2"/>
      <scheme val="minor"/>
    </font>
    <font>
      <sz val="10"/>
      <name val="Calibri"/>
      <family val="2"/>
    </font>
    <font>
      <b/>
      <sz val="10"/>
      <name val="Calibri"/>
      <family val="2"/>
    </font>
    <font>
      <b/>
      <sz val="10"/>
      <color indexed="10"/>
      <name val="Calibri"/>
      <family val="2"/>
    </font>
    <font>
      <sz val="11"/>
      <color indexed="9"/>
      <name val="Calibri"/>
      <family val="2"/>
      <scheme val="minor"/>
    </font>
    <font>
      <b/>
      <sz val="10"/>
      <color indexed="9"/>
      <name val="Calibri"/>
      <family val="2"/>
      <scheme val="minor"/>
    </font>
    <font>
      <b/>
      <sz val="10"/>
      <name val="Calibri"/>
      <family val="2"/>
      <scheme val="minor"/>
    </font>
    <font>
      <b/>
      <sz val="11"/>
      <name val="Calibri"/>
      <family val="2"/>
      <scheme val="minor"/>
    </font>
    <font>
      <i/>
      <sz val="10"/>
      <name val="Calibri"/>
      <family val="2"/>
    </font>
    <font>
      <sz val="11"/>
      <color theme="1"/>
      <name val="Calibri"/>
      <family val="2"/>
      <scheme val="minor"/>
    </font>
    <font>
      <sz val="8"/>
      <name val="Calibri"/>
      <family val="2"/>
      <scheme val="minor"/>
    </font>
    <font>
      <sz val="8"/>
      <color theme="1"/>
      <name val="Calibri"/>
      <family val="2"/>
      <scheme val="minor"/>
    </font>
    <font>
      <sz val="8"/>
      <name val="Calibri"/>
      <family val="2"/>
    </font>
    <font>
      <sz val="8"/>
      <color rgb="FFFF0000"/>
      <name val="Calibri"/>
      <family val="2"/>
      <scheme val="minor"/>
    </font>
    <font>
      <b/>
      <sz val="11"/>
      <color theme="1"/>
      <name val="Calibri"/>
      <family val="2"/>
      <scheme val="minor"/>
    </font>
    <font>
      <b/>
      <sz val="8"/>
      <name val="Calibri"/>
      <family val="2"/>
      <scheme val="minor"/>
    </font>
    <font>
      <b/>
      <sz val="28"/>
      <color indexed="9"/>
      <name val="Calibri"/>
      <family val="2"/>
      <scheme val="minor"/>
    </font>
    <font>
      <b/>
      <sz val="36"/>
      <color indexed="9"/>
      <name val="Calibri"/>
      <family val="2"/>
      <scheme val="minor"/>
    </font>
    <font>
      <sz val="10"/>
      <color theme="0"/>
      <name val="Calibri"/>
      <family val="2"/>
      <scheme val="minor"/>
    </font>
    <font>
      <sz val="1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132">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32" fillId="0" borderId="0" applyFont="0" applyFill="0" applyBorder="0" applyAlignment="0" applyProtection="0"/>
  </cellStyleXfs>
  <cellXfs count="220">
    <xf numFmtId="0" fontId="0" fillId="0" borderId="0" xfId="0"/>
    <xf numFmtId="0" fontId="0" fillId="0" borderId="0" xfId="0"/>
    <xf numFmtId="0" fontId="1" fillId="0" borderId="0" xfId="1"/>
    <xf numFmtId="0" fontId="20" fillId="0" borderId="10" xfId="1" applyFont="1" applyBorder="1" applyAlignment="1">
      <alignment vertical="center"/>
    </xf>
    <xf numFmtId="0" fontId="20" fillId="0" borderId="14" xfId="1" applyFont="1" applyBorder="1" applyAlignment="1">
      <alignment vertical="center"/>
    </xf>
    <xf numFmtId="0" fontId="20" fillId="0" borderId="15" xfId="1" applyFont="1" applyBorder="1" applyAlignment="1">
      <alignment vertical="center"/>
    </xf>
    <xf numFmtId="0" fontId="20" fillId="0" borderId="16" xfId="1" applyFont="1" applyBorder="1" applyAlignment="1">
      <alignment vertical="center"/>
    </xf>
    <xf numFmtId="0" fontId="20" fillId="0" borderId="0" xfId="1" applyFont="1" applyAlignment="1">
      <alignment vertical="center"/>
    </xf>
    <xf numFmtId="0" fontId="27" fillId="24" borderId="11" xfId="119" applyFont="1" applyFill="1" applyBorder="1" applyAlignment="1">
      <alignment horizontal="center" vertical="center"/>
    </xf>
    <xf numFmtId="0" fontId="27" fillId="24" borderId="12" xfId="119" applyFont="1" applyFill="1" applyBorder="1" applyAlignment="1">
      <alignment horizontal="center" vertical="center"/>
    </xf>
    <xf numFmtId="0" fontId="27" fillId="24" borderId="13" xfId="119" applyFont="1" applyFill="1" applyBorder="1" applyAlignment="1">
      <alignment horizontal="center" vertical="center" wrapText="1"/>
    </xf>
    <xf numFmtId="0" fontId="28" fillId="24" borderId="24" xfId="119" applyFont="1" applyFill="1" applyBorder="1" applyAlignment="1">
      <alignment horizontal="center" vertical="center"/>
    </xf>
    <xf numFmtId="0" fontId="28" fillId="24" borderId="25" xfId="119" applyFont="1" applyFill="1" applyBorder="1" applyAlignment="1">
      <alignment horizontal="center" vertical="center"/>
    </xf>
    <xf numFmtId="0" fontId="20" fillId="0" borderId="14" xfId="119" applyFont="1" applyBorder="1" applyAlignment="1">
      <alignment vertical="center"/>
    </xf>
    <xf numFmtId="0" fontId="20" fillId="0" borderId="16" xfId="119" applyFont="1" applyBorder="1" applyAlignment="1">
      <alignment vertical="center"/>
    </xf>
    <xf numFmtId="0" fontId="21" fillId="24" borderId="17" xfId="1" applyFont="1" applyFill="1" applyBorder="1" applyAlignment="1">
      <alignment horizontal="center" vertical="center" wrapText="1"/>
    </xf>
    <xf numFmtId="0" fontId="21" fillId="24" borderId="10" xfId="1" applyFont="1" applyFill="1" applyBorder="1" applyAlignment="1">
      <alignment horizontal="center" vertical="center" wrapText="1"/>
    </xf>
    <xf numFmtId="0" fontId="21" fillId="24" borderId="14" xfId="1" applyFont="1" applyFill="1" applyBorder="1" applyAlignment="1">
      <alignment horizontal="center" vertical="center" wrapText="1"/>
    </xf>
    <xf numFmtId="0" fontId="29" fillId="0" borderId="18" xfId="1" applyFont="1" applyFill="1" applyBorder="1" applyAlignment="1">
      <alignment horizontal="left" vertical="center" wrapText="1"/>
    </xf>
    <xf numFmtId="0" fontId="20" fillId="0" borderId="15" xfId="1" applyFont="1" applyFill="1" applyBorder="1" applyAlignment="1">
      <alignment horizontal="left" vertical="center" wrapText="1"/>
    </xf>
    <xf numFmtId="0" fontId="20" fillId="0" borderId="16" xfId="1" applyFont="1" applyFill="1" applyBorder="1" applyAlignment="1">
      <alignment horizontal="left" vertical="center" wrapText="1"/>
    </xf>
    <xf numFmtId="0" fontId="29" fillId="0" borderId="35"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17" xfId="1" applyFont="1" applyBorder="1" applyAlignment="1" applyProtection="1"/>
    <xf numFmtId="166" fontId="20" fillId="0" borderId="10" xfId="1" applyNumberFormat="1" applyFont="1" applyFill="1" applyBorder="1" applyAlignment="1">
      <alignment horizontal="right" vertical="center" wrapText="1"/>
    </xf>
    <xf numFmtId="0" fontId="20" fillId="0" borderId="17" xfId="1" applyFont="1" applyFill="1" applyBorder="1" applyAlignment="1" applyProtection="1"/>
    <xf numFmtId="0" fontId="20" fillId="0" borderId="18" xfId="1" applyFont="1" applyFill="1" applyBorder="1" applyAlignment="1" applyProtection="1"/>
    <xf numFmtId="166" fontId="21" fillId="24" borderId="10" xfId="1" applyNumberFormat="1" applyFont="1" applyFill="1" applyBorder="1" applyAlignment="1">
      <alignment horizontal="right" vertical="center" wrapText="1"/>
    </xf>
    <xf numFmtId="0" fontId="21" fillId="24" borderId="17" xfId="1" applyFont="1" applyFill="1" applyBorder="1" applyAlignment="1">
      <alignment horizontal="center" vertical="center" wrapText="1"/>
    </xf>
    <xf numFmtId="0" fontId="21" fillId="24" borderId="10" xfId="1" applyFont="1" applyFill="1" applyBorder="1" applyAlignment="1">
      <alignment horizontal="center" vertical="center" wrapText="1"/>
    </xf>
    <xf numFmtId="0" fontId="21" fillId="24" borderId="14" xfId="1" applyFont="1" applyFill="1" applyBorder="1" applyAlignment="1">
      <alignment horizontal="center" vertical="center" wrapText="1"/>
    </xf>
    <xf numFmtId="0" fontId="20" fillId="0" borderId="17" xfId="1" applyFont="1" applyBorder="1" applyAlignment="1" applyProtection="1"/>
    <xf numFmtId="166" fontId="20" fillId="0" borderId="10" xfId="1" applyNumberFormat="1" applyFont="1" applyFill="1" applyBorder="1" applyAlignment="1">
      <alignment horizontal="right" vertical="center" wrapText="1"/>
    </xf>
    <xf numFmtId="166" fontId="21" fillId="24" borderId="10" xfId="1" applyNumberFormat="1" applyFont="1" applyFill="1" applyBorder="1" applyAlignment="1">
      <alignment horizontal="right" vertical="center" wrapText="1"/>
    </xf>
    <xf numFmtId="0" fontId="33" fillId="25" borderId="20" xfId="0" applyFont="1" applyFill="1" applyBorder="1" applyAlignment="1">
      <alignment horizontal="center" vertical="center" wrapText="1"/>
    </xf>
    <xf numFmtId="0" fontId="33" fillId="25" borderId="20" xfId="0" applyFont="1" applyFill="1" applyBorder="1" applyAlignment="1" applyProtection="1">
      <alignment horizontal="center" vertical="center"/>
    </xf>
    <xf numFmtId="0" fontId="33" fillId="25" borderId="10" xfId="0" applyFont="1" applyFill="1" applyBorder="1" applyAlignment="1" applyProtection="1">
      <alignment horizontal="center" vertical="center"/>
    </xf>
    <xf numFmtId="0" fontId="33" fillId="25" borderId="20" xfId="0" applyFont="1" applyFill="1" applyBorder="1" applyAlignment="1" applyProtection="1">
      <alignment horizontal="center" vertical="center" wrapText="1"/>
    </xf>
    <xf numFmtId="0" fontId="33" fillId="25" borderId="10" xfId="0" applyFont="1" applyFill="1" applyBorder="1" applyAlignment="1" applyProtection="1">
      <alignment horizontal="center" vertical="center" wrapText="1"/>
    </xf>
    <xf numFmtId="0" fontId="33" fillId="25" borderId="10" xfId="0" applyFont="1" applyFill="1" applyBorder="1" applyAlignment="1">
      <alignment horizontal="center" vertical="center" wrapText="1"/>
    </xf>
    <xf numFmtId="14" fontId="33" fillId="25" borderId="20" xfId="0" applyNumberFormat="1" applyFont="1" applyFill="1" applyBorder="1" applyAlignment="1" applyProtection="1">
      <alignment horizontal="center" vertical="center"/>
    </xf>
    <xf numFmtId="0" fontId="33" fillId="25" borderId="10" xfId="0" applyFont="1" applyFill="1" applyBorder="1" applyAlignment="1">
      <alignment horizontal="center" vertical="center"/>
    </xf>
    <xf numFmtId="0" fontId="0" fillId="26" borderId="10" xfId="0" applyFill="1" applyBorder="1"/>
    <xf numFmtId="0" fontId="0" fillId="26" borderId="10" xfId="0" applyFill="1" applyBorder="1" applyAlignment="1">
      <alignment wrapText="1"/>
    </xf>
    <xf numFmtId="0" fontId="0" fillId="27" borderId="10" xfId="0" applyFill="1" applyBorder="1"/>
    <xf numFmtId="165" fontId="0" fillId="26" borderId="10" xfId="131" applyFont="1" applyFill="1" applyBorder="1"/>
    <xf numFmtId="3" fontId="0" fillId="26" borderId="10" xfId="131" applyNumberFormat="1" applyFont="1" applyFill="1" applyBorder="1"/>
    <xf numFmtId="165" fontId="0" fillId="27" borderId="10" xfId="131" applyFont="1" applyFill="1" applyBorder="1"/>
    <xf numFmtId="164" fontId="0" fillId="26" borderId="10" xfId="131" applyNumberFormat="1" applyFont="1" applyFill="1" applyBorder="1"/>
    <xf numFmtId="164" fontId="0" fillId="27" borderId="10" xfId="131" applyNumberFormat="1" applyFont="1" applyFill="1" applyBorder="1"/>
    <xf numFmtId="164" fontId="0" fillId="0" borderId="0" xfId="0" applyNumberFormat="1"/>
    <xf numFmtId="0" fontId="0" fillId="26" borderId="10" xfId="0" applyFill="1" applyBorder="1" applyAlignment="1">
      <alignment horizontal="center"/>
    </xf>
    <xf numFmtId="3" fontId="0" fillId="26" borderId="10" xfId="131" applyNumberFormat="1" applyFont="1" applyFill="1" applyBorder="1" applyAlignment="1">
      <alignment horizontal="center"/>
    </xf>
    <xf numFmtId="165" fontId="0" fillId="26" borderId="10" xfId="131" applyFont="1" applyFill="1" applyBorder="1" applyAlignment="1">
      <alignment horizontal="center"/>
    </xf>
    <xf numFmtId="165" fontId="0" fillId="0" borderId="0" xfId="131" applyFont="1"/>
    <xf numFmtId="165" fontId="0" fillId="0" borderId="0" xfId="0" applyNumberFormat="1"/>
    <xf numFmtId="3" fontId="0" fillId="26" borderId="10" xfId="0" applyNumberFormat="1" applyFill="1" applyBorder="1"/>
    <xf numFmtId="3" fontId="0" fillId="27" borderId="10" xfId="131" applyNumberFormat="1" applyFont="1" applyFill="1" applyBorder="1"/>
    <xf numFmtId="3" fontId="0" fillId="27" borderId="10" xfId="0" applyNumberFormat="1" applyFill="1" applyBorder="1"/>
    <xf numFmtId="17" fontId="33" fillId="25" borderId="10" xfId="38" applyNumberFormat="1" applyFont="1" applyFill="1" applyBorder="1" applyAlignment="1">
      <alignment horizontal="center" vertical="center" wrapText="1"/>
    </xf>
    <xf numFmtId="0" fontId="20" fillId="0" borderId="17" xfId="1" applyFont="1" applyBorder="1" applyAlignment="1" applyProtection="1">
      <alignment wrapText="1"/>
    </xf>
    <xf numFmtId="3" fontId="0" fillId="0" borderId="0" xfId="0" applyNumberFormat="1"/>
    <xf numFmtId="0" fontId="33" fillId="0" borderId="17" xfId="38" applyFont="1" applyFill="1" applyBorder="1" applyAlignment="1">
      <alignment horizontal="center" vertical="center" wrapText="1"/>
    </xf>
    <xf numFmtId="166" fontId="0" fillId="0" borderId="0" xfId="0" applyNumberFormat="1"/>
    <xf numFmtId="0" fontId="34" fillId="0" borderId="10" xfId="0" applyFont="1" applyBorder="1" applyAlignment="1">
      <alignment horizontal="center" vertical="center"/>
    </xf>
    <xf numFmtId="0" fontId="0" fillId="28" borderId="0" xfId="0" applyFill="1"/>
    <xf numFmtId="165" fontId="37" fillId="0" borderId="0" xfId="0" applyNumberFormat="1" applyFont="1"/>
    <xf numFmtId="0" fontId="37" fillId="0" borderId="0" xfId="0" applyFont="1"/>
    <xf numFmtId="165" fontId="37" fillId="0" borderId="0" xfId="131" applyFont="1"/>
    <xf numFmtId="0" fontId="0" fillId="0" borderId="0" xfId="0" applyFill="1"/>
    <xf numFmtId="0" fontId="33" fillId="0" borderId="20"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41" fontId="33" fillId="0" borderId="10" xfId="131" applyNumberFormat="1" applyFont="1" applyFill="1" applyBorder="1" applyAlignment="1">
      <alignment horizontal="center"/>
    </xf>
    <xf numFmtId="0" fontId="22" fillId="24" borderId="10" xfId="38" applyFont="1" applyFill="1" applyBorder="1" applyAlignment="1">
      <alignment horizontal="center" vertical="center" wrapText="1"/>
    </xf>
    <xf numFmtId="0" fontId="22" fillId="24" borderId="20" xfId="38" applyFont="1" applyFill="1" applyBorder="1" applyAlignment="1">
      <alignment horizontal="center" vertical="center" wrapText="1"/>
    </xf>
    <xf numFmtId="0" fontId="20" fillId="0" borderId="10" xfId="38" applyFont="1" applyFill="1" applyBorder="1" applyAlignment="1">
      <alignment horizontal="center" vertical="center" wrapText="1"/>
    </xf>
    <xf numFmtId="0" fontId="20" fillId="0" borderId="15" xfId="38" applyFont="1" applyFill="1" applyBorder="1" applyAlignment="1">
      <alignment horizontal="center" vertical="center" wrapText="1"/>
    </xf>
    <xf numFmtId="9" fontId="20" fillId="0" borderId="10" xfId="38" applyNumberFormat="1" applyFont="1" applyFill="1" applyBorder="1" applyAlignment="1">
      <alignment horizontal="center" vertical="center" wrapText="1"/>
    </xf>
    <xf numFmtId="9" fontId="33" fillId="0" borderId="10" xfId="38" applyNumberFormat="1" applyFont="1" applyFill="1" applyBorder="1" applyAlignment="1">
      <alignment horizontal="center" vertical="center" wrapText="1"/>
    </xf>
    <xf numFmtId="0" fontId="20" fillId="0" borderId="0" xfId="38" applyFont="1" applyFill="1" applyBorder="1" applyAlignment="1">
      <alignment horizontal="center" vertical="center" wrapText="1"/>
    </xf>
    <xf numFmtId="0" fontId="0" fillId="0" borderId="0" xfId="0" applyAlignment="1">
      <alignment horizontal="center" vertical="center"/>
    </xf>
    <xf numFmtId="167" fontId="33" fillId="25" borderId="20" xfId="0" applyNumberFormat="1" applyFont="1" applyFill="1" applyBorder="1" applyAlignment="1" applyProtection="1">
      <alignment horizontal="center" vertical="center"/>
    </xf>
    <xf numFmtId="167" fontId="33" fillId="25" borderId="10" xfId="0" applyNumberFormat="1" applyFont="1" applyFill="1" applyBorder="1" applyAlignment="1" applyProtection="1">
      <alignment horizontal="center" vertical="center"/>
    </xf>
    <xf numFmtId="167" fontId="33" fillId="0" borderId="20" xfId="0" applyNumberFormat="1" applyFont="1" applyFill="1" applyBorder="1" applyAlignment="1" applyProtection="1">
      <alignment horizontal="center" vertical="center"/>
    </xf>
    <xf numFmtId="167" fontId="33" fillId="0" borderId="10" xfId="0" applyNumberFormat="1" applyFont="1" applyFill="1" applyBorder="1" applyAlignment="1" applyProtection="1">
      <alignment horizontal="center" vertical="center"/>
    </xf>
    <xf numFmtId="41" fontId="33" fillId="25" borderId="10" xfId="131" applyNumberFormat="1" applyFont="1" applyFill="1" applyBorder="1" applyAlignment="1">
      <alignment horizontal="center" vertical="center"/>
    </xf>
    <xf numFmtId="41" fontId="33" fillId="25" borderId="20" xfId="131" applyNumberFormat="1" applyFont="1" applyFill="1" applyBorder="1" applyAlignment="1">
      <alignment horizontal="center" vertical="center"/>
    </xf>
    <xf numFmtId="167" fontId="0" fillId="0" borderId="0" xfId="0" applyNumberFormat="1" applyAlignment="1">
      <alignment horizontal="center" vertical="center"/>
    </xf>
    <xf numFmtId="17" fontId="33" fillId="25" borderId="20" xfId="0" applyNumberFormat="1" applyFont="1" applyFill="1" applyBorder="1" applyAlignment="1" applyProtection="1">
      <alignment horizontal="center" vertical="center"/>
    </xf>
    <xf numFmtId="17" fontId="33" fillId="25" borderId="20" xfId="0" applyNumberFormat="1" applyFont="1" applyFill="1" applyBorder="1" applyAlignment="1">
      <alignment horizontal="center" vertical="center"/>
    </xf>
    <xf numFmtId="17" fontId="33" fillId="25" borderId="10" xfId="0" applyNumberFormat="1" applyFont="1" applyFill="1" applyBorder="1" applyAlignment="1" applyProtection="1">
      <alignment horizontal="center" vertical="center"/>
    </xf>
    <xf numFmtId="0" fontId="33" fillId="0" borderId="10" xfId="0" applyFont="1" applyFill="1" applyBorder="1" applyAlignment="1">
      <alignment horizontal="center" vertical="center"/>
    </xf>
    <xf numFmtId="0" fontId="34" fillId="25" borderId="10" xfId="0" applyFont="1" applyFill="1" applyBorder="1" applyAlignment="1">
      <alignment horizontal="center" vertical="center"/>
    </xf>
    <xf numFmtId="17" fontId="34" fillId="25" borderId="10" xfId="0" applyNumberFormat="1" applyFont="1" applyFill="1" applyBorder="1" applyAlignment="1">
      <alignment horizontal="center" vertical="center"/>
    </xf>
    <xf numFmtId="0" fontId="2" fillId="0" borderId="0" xfId="38" applyAlignment="1">
      <alignment horizontal="center" vertical="center"/>
    </xf>
    <xf numFmtId="0" fontId="20" fillId="0" borderId="0" xfId="1" applyFont="1" applyBorder="1" applyAlignment="1">
      <alignment horizontal="center" vertical="center"/>
    </xf>
    <xf numFmtId="0" fontId="20" fillId="0" borderId="0" xfId="1" applyFont="1" applyFill="1" applyBorder="1" applyAlignment="1">
      <alignment horizontal="center" vertical="center" wrapText="1"/>
    </xf>
    <xf numFmtId="0" fontId="20" fillId="0" borderId="17" xfId="38" applyFont="1" applyFill="1" applyBorder="1" applyAlignment="1">
      <alignment horizontal="center" vertical="center" wrapText="1"/>
    </xf>
    <xf numFmtId="0" fontId="20" fillId="0" borderId="14" xfId="38" applyFont="1" applyFill="1" applyBorder="1" applyAlignment="1">
      <alignment horizontal="center" vertical="center" wrapText="1"/>
    </xf>
    <xf numFmtId="0" fontId="20" fillId="0" borderId="18" xfId="38" applyFont="1" applyFill="1" applyBorder="1" applyAlignment="1">
      <alignment horizontal="center" vertical="center" wrapText="1"/>
    </xf>
    <xf numFmtId="0" fontId="20" fillId="0" borderId="16" xfId="38" applyFont="1" applyFill="1" applyBorder="1" applyAlignment="1">
      <alignment horizontal="center" vertical="center" wrapText="1"/>
    </xf>
    <xf numFmtId="0" fontId="33" fillId="0" borderId="10" xfId="38" applyFont="1" applyFill="1" applyBorder="1" applyAlignment="1">
      <alignment horizontal="center" vertical="center" wrapText="1"/>
    </xf>
    <xf numFmtId="0" fontId="33" fillId="0" borderId="14" xfId="38" applyFont="1" applyFill="1" applyBorder="1" applyAlignment="1">
      <alignment horizontal="center" vertical="center" wrapText="1"/>
    </xf>
    <xf numFmtId="0" fontId="33" fillId="25" borderId="17" xfId="38" applyFont="1" applyFill="1" applyBorder="1" applyAlignment="1">
      <alignment horizontal="center" vertical="center" wrapText="1"/>
    </xf>
    <xf numFmtId="0" fontId="33" fillId="25" borderId="10" xfId="38" applyFont="1" applyFill="1" applyBorder="1" applyAlignment="1">
      <alignment horizontal="center" vertical="center" wrapText="1"/>
    </xf>
    <xf numFmtId="9" fontId="33" fillId="25" borderId="10" xfId="38" applyNumberFormat="1" applyFont="1" applyFill="1" applyBorder="1" applyAlignment="1">
      <alignment horizontal="center" vertical="center" wrapText="1"/>
    </xf>
    <xf numFmtId="0" fontId="33" fillId="25" borderId="14" xfId="38" applyFont="1" applyFill="1" applyBorder="1" applyAlignment="1">
      <alignment horizontal="center" vertical="center" wrapText="1"/>
    </xf>
    <xf numFmtId="0" fontId="34" fillId="0" borderId="20" xfId="0" applyFont="1" applyFill="1" applyBorder="1" applyAlignment="1" applyProtection="1">
      <alignment horizontal="center" vertical="center" wrapText="1"/>
    </xf>
    <xf numFmtId="0" fontId="33" fillId="0" borderId="2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29" xfId="38" applyFont="1" applyFill="1" applyBorder="1" applyAlignment="1">
      <alignment horizontal="center" vertical="center" wrapText="1"/>
    </xf>
    <xf numFmtId="0" fontId="33" fillId="0" borderId="20" xfId="38" applyFont="1" applyFill="1" applyBorder="1" applyAlignment="1">
      <alignment horizontal="center" vertical="center" wrapText="1"/>
    </xf>
    <xf numFmtId="9" fontId="33" fillId="0" borderId="20" xfId="38" applyNumberFormat="1" applyFont="1" applyFill="1" applyBorder="1" applyAlignment="1">
      <alignment horizontal="center" vertical="center" wrapText="1"/>
    </xf>
    <xf numFmtId="0" fontId="33" fillId="0" borderId="40" xfId="38" applyFont="1" applyFill="1" applyBorder="1" applyAlignment="1">
      <alignment horizontal="center" vertical="center" wrapText="1"/>
    </xf>
    <xf numFmtId="0" fontId="33" fillId="0" borderId="39" xfId="38" applyFont="1" applyFill="1" applyBorder="1" applyAlignment="1">
      <alignment horizontal="center" vertical="center" wrapText="1"/>
    </xf>
    <xf numFmtId="0" fontId="33" fillId="25" borderId="39" xfId="38" applyFont="1" applyFill="1" applyBorder="1" applyAlignment="1">
      <alignment horizontal="center" vertical="center" wrapText="1"/>
    </xf>
    <xf numFmtId="167" fontId="33" fillId="0" borderId="14" xfId="38" applyNumberFormat="1" applyFont="1" applyFill="1" applyBorder="1" applyAlignment="1">
      <alignment horizontal="center" vertical="center" wrapText="1"/>
    </xf>
    <xf numFmtId="41" fontId="33" fillId="0" borderId="10" xfId="38" applyNumberFormat="1" applyFont="1" applyFill="1" applyBorder="1" applyAlignment="1">
      <alignment horizontal="center" vertical="center" wrapText="1"/>
    </xf>
    <xf numFmtId="0" fontId="33" fillId="25" borderId="29" xfId="38" applyFont="1" applyFill="1" applyBorder="1" applyAlignment="1">
      <alignment horizontal="center" vertical="center" wrapText="1"/>
    </xf>
    <xf numFmtId="0" fontId="33" fillId="25" borderId="20" xfId="38" applyFont="1" applyFill="1" applyBorder="1" applyAlignment="1">
      <alignment horizontal="center" vertical="center" wrapText="1"/>
    </xf>
    <xf numFmtId="41" fontId="33" fillId="0" borderId="20" xfId="38" applyNumberFormat="1" applyFont="1" applyFill="1" applyBorder="1" applyAlignment="1">
      <alignment horizontal="center" vertical="center" wrapText="1"/>
    </xf>
    <xf numFmtId="0" fontId="21" fillId="24" borderId="32" xfId="38" applyFont="1" applyFill="1" applyBorder="1" applyAlignment="1">
      <alignment horizontal="center" vertical="center" wrapText="1"/>
    </xf>
    <xf numFmtId="0" fontId="20" fillId="0" borderId="33" xfId="38" applyFont="1" applyFill="1" applyBorder="1" applyAlignment="1">
      <alignment horizontal="center" vertical="center" wrapText="1"/>
    </xf>
    <xf numFmtId="0" fontId="33" fillId="0" borderId="33" xfId="38" applyFont="1" applyFill="1" applyBorder="1" applyAlignment="1">
      <alignment horizontal="center" vertical="center" wrapText="1"/>
    </xf>
    <xf numFmtId="0" fontId="36" fillId="0" borderId="33" xfId="38" applyFont="1" applyFill="1" applyBorder="1" applyAlignment="1">
      <alignment horizontal="center" vertical="center" wrapText="1"/>
    </xf>
    <xf numFmtId="0" fontId="36" fillId="0" borderId="10" xfId="38" applyFont="1" applyFill="1" applyBorder="1" applyAlignment="1">
      <alignment horizontal="center" vertical="center" wrapText="1"/>
    </xf>
    <xf numFmtId="0" fontId="20" fillId="0" borderId="27" xfId="1" applyFont="1" applyFill="1" applyBorder="1" applyAlignment="1">
      <alignment horizontal="center" vertical="center" wrapText="1"/>
    </xf>
    <xf numFmtId="2" fontId="33" fillId="25" borderId="20" xfId="0" applyNumberFormat="1" applyFont="1" applyFill="1" applyBorder="1" applyAlignment="1" applyProtection="1">
      <alignment horizontal="center" vertical="center" wrapText="1"/>
    </xf>
    <xf numFmtId="167" fontId="20" fillId="0" borderId="0" xfId="38" applyNumberFormat="1" applyFont="1" applyFill="1" applyBorder="1" applyAlignment="1">
      <alignment horizontal="center" vertical="center" wrapText="1"/>
    </xf>
    <xf numFmtId="0" fontId="0" fillId="25" borderId="0" xfId="0" applyFill="1" applyAlignment="1">
      <alignment horizontal="center" vertical="center"/>
    </xf>
    <xf numFmtId="0" fontId="1" fillId="0" borderId="0" xfId="1" applyAlignment="1">
      <alignment horizontal="center" vertical="center"/>
    </xf>
    <xf numFmtId="0" fontId="0" fillId="0" borderId="0" xfId="0" applyAlignment="1">
      <alignment horizontal="center" vertical="center" wrapText="1"/>
    </xf>
    <xf numFmtId="0" fontId="20" fillId="0" borderId="10" xfId="1" applyFont="1" applyFill="1" applyBorder="1" applyAlignment="1">
      <alignment horizontal="center" vertical="center" wrapText="1"/>
    </xf>
    <xf numFmtId="0" fontId="0" fillId="31" borderId="0" xfId="0" applyFill="1" applyAlignment="1">
      <alignment horizontal="center" vertical="center"/>
    </xf>
    <xf numFmtId="0" fontId="0" fillId="29" borderId="0" xfId="0" applyFill="1" applyAlignment="1">
      <alignment horizontal="center" vertical="center"/>
    </xf>
    <xf numFmtId="0" fontId="0" fillId="30" borderId="0" xfId="0" applyFill="1" applyAlignment="1">
      <alignment horizontal="center" vertical="center"/>
    </xf>
    <xf numFmtId="167" fontId="37" fillId="0" borderId="0" xfId="0" applyNumberFormat="1" applyFont="1" applyFill="1" applyAlignment="1">
      <alignment horizontal="center" vertical="center"/>
    </xf>
    <xf numFmtId="165" fontId="0" fillId="0" borderId="0" xfId="131" applyFont="1" applyAlignment="1">
      <alignment horizontal="center" vertical="center"/>
    </xf>
    <xf numFmtId="168" fontId="0" fillId="0" borderId="0" xfId="0" applyNumberFormat="1" applyAlignment="1">
      <alignment horizontal="center" vertical="center"/>
    </xf>
    <xf numFmtId="165" fontId="0" fillId="0" borderId="0" xfId="0" applyNumberFormat="1" applyAlignment="1">
      <alignment horizontal="center" vertical="center"/>
    </xf>
    <xf numFmtId="0" fontId="2" fillId="25" borderId="0" xfId="38" applyFill="1" applyAlignment="1">
      <alignment horizontal="center" vertical="center"/>
    </xf>
    <xf numFmtId="0" fontId="20" fillId="25" borderId="0" xfId="1" applyFont="1" applyFill="1" applyBorder="1" applyAlignment="1">
      <alignment horizontal="center" vertical="center" wrapText="1"/>
    </xf>
    <xf numFmtId="0" fontId="34" fillId="25" borderId="20" xfId="0" applyFont="1" applyFill="1" applyBorder="1" applyAlignment="1" applyProtection="1">
      <alignment horizontal="center" vertical="center" wrapText="1"/>
    </xf>
    <xf numFmtId="17" fontId="34" fillId="25" borderId="10" xfId="0" applyNumberFormat="1" applyFont="1" applyFill="1" applyBorder="1" applyAlignment="1" applyProtection="1">
      <alignment horizontal="center" vertical="center"/>
    </xf>
    <xf numFmtId="169" fontId="33" fillId="25" borderId="20" xfId="0" applyNumberFormat="1" applyFont="1" applyFill="1" applyBorder="1" applyAlignment="1" applyProtection="1">
      <alignment horizontal="center" vertical="center" wrapText="1"/>
    </xf>
    <xf numFmtId="0" fontId="20" fillId="25" borderId="10" xfId="38" applyFont="1" applyFill="1" applyBorder="1" applyAlignment="1">
      <alignment horizontal="center" vertical="center" wrapText="1"/>
    </xf>
    <xf numFmtId="0" fontId="20" fillId="25" borderId="14" xfId="38" applyFont="1" applyFill="1" applyBorder="1" applyAlignment="1">
      <alignment horizontal="center" vertical="center" wrapText="1"/>
    </xf>
    <xf numFmtId="0" fontId="20" fillId="25" borderId="0" xfId="1" applyFont="1" applyFill="1" applyBorder="1" applyAlignment="1">
      <alignment horizontal="center" vertical="center"/>
    </xf>
    <xf numFmtId="17" fontId="33" fillId="0" borderId="10" xfId="38" applyNumberFormat="1" applyFont="1" applyFill="1" applyBorder="1" applyAlignment="1">
      <alignment horizontal="center" vertical="center" wrapText="1"/>
    </xf>
    <xf numFmtId="0" fontId="0" fillId="0" borderId="0" xfId="0" applyFill="1" applyAlignment="1">
      <alignment horizontal="center" vertical="center"/>
    </xf>
    <xf numFmtId="0" fontId="20" fillId="0" borderId="0" xfId="1" applyFont="1" applyFill="1" applyBorder="1" applyAlignment="1">
      <alignment horizontal="center" vertical="center"/>
    </xf>
    <xf numFmtId="17" fontId="33" fillId="0" borderId="10" xfId="0" applyNumberFormat="1" applyFont="1" applyFill="1" applyBorder="1" applyAlignment="1" applyProtection="1">
      <alignment horizontal="center" vertical="center"/>
    </xf>
    <xf numFmtId="0" fontId="41" fillId="24" borderId="10" xfId="38" applyFont="1" applyFill="1" applyBorder="1" applyAlignment="1">
      <alignment horizontal="center" vertical="center" wrapText="1"/>
    </xf>
    <xf numFmtId="0" fontId="41" fillId="24" borderId="19" xfId="38" applyFont="1" applyFill="1" applyBorder="1" applyAlignment="1">
      <alignment horizontal="center" vertical="center" wrapText="1"/>
    </xf>
    <xf numFmtId="0" fontId="41" fillId="24" borderId="39" xfId="38" applyFont="1" applyFill="1" applyBorder="1" applyAlignment="1">
      <alignment horizontal="center" vertical="center" wrapText="1"/>
    </xf>
    <xf numFmtId="0" fontId="33" fillId="0" borderId="20" xfId="0" applyFont="1" applyFill="1" applyBorder="1" applyAlignment="1">
      <alignment horizontal="center" vertical="center"/>
    </xf>
    <xf numFmtId="0" fontId="42" fillId="0" borderId="0" xfId="0" applyFont="1" applyFill="1" applyAlignment="1">
      <alignment horizontal="center" vertical="center"/>
    </xf>
    <xf numFmtId="0" fontId="33" fillId="0" borderId="20" xfId="0" applyFont="1" applyFill="1" applyBorder="1" applyAlignment="1" applyProtection="1">
      <alignment horizontal="center" vertical="center"/>
    </xf>
    <xf numFmtId="17" fontId="33" fillId="0" borderId="20" xfId="0" applyNumberFormat="1" applyFont="1" applyFill="1" applyBorder="1" applyAlignment="1" applyProtection="1">
      <alignment horizontal="center" vertical="center"/>
    </xf>
    <xf numFmtId="0" fontId="34" fillId="0" borderId="10" xfId="0" applyFont="1" applyFill="1" applyBorder="1" applyAlignment="1">
      <alignment horizontal="center" vertical="center"/>
    </xf>
    <xf numFmtId="17" fontId="34" fillId="0" borderId="10" xfId="0" applyNumberFormat="1" applyFont="1" applyFill="1" applyBorder="1" applyAlignment="1">
      <alignment horizontal="center" vertical="center"/>
    </xf>
    <xf numFmtId="0" fontId="33" fillId="0" borderId="28" xfId="38" applyFont="1" applyFill="1" applyBorder="1" applyAlignment="1">
      <alignment horizontal="center" vertical="center" wrapText="1"/>
    </xf>
    <xf numFmtId="2" fontId="33" fillId="0" borderId="20" xfId="0" applyNumberFormat="1" applyFont="1" applyFill="1" applyBorder="1" applyAlignment="1" applyProtection="1">
      <alignment horizontal="center" vertical="center" wrapText="1"/>
    </xf>
    <xf numFmtId="14" fontId="33" fillId="0" borderId="20" xfId="0" applyNumberFormat="1" applyFont="1" applyFill="1" applyBorder="1" applyAlignment="1" applyProtection="1">
      <alignment horizontal="center" vertical="center"/>
    </xf>
    <xf numFmtId="167" fontId="33" fillId="0" borderId="39" xfId="0" applyNumberFormat="1" applyFont="1" applyFill="1" applyBorder="1" applyAlignment="1" applyProtection="1">
      <alignment horizontal="center" vertical="center"/>
    </xf>
    <xf numFmtId="37" fontId="33" fillId="0" borderId="10" xfId="131" applyNumberFormat="1" applyFont="1" applyFill="1" applyBorder="1" applyAlignment="1" applyProtection="1">
      <alignment horizontal="center" vertical="center"/>
    </xf>
    <xf numFmtId="17" fontId="33" fillId="0" borderId="39" xfId="0" applyNumberFormat="1" applyFont="1" applyFill="1" applyBorder="1" applyAlignment="1" applyProtection="1">
      <alignment horizontal="center" vertical="center"/>
    </xf>
    <xf numFmtId="17" fontId="33" fillId="0" borderId="20" xfId="38" applyNumberFormat="1" applyFont="1" applyFill="1" applyBorder="1" applyAlignment="1">
      <alignment horizontal="center" vertical="center" wrapText="1"/>
    </xf>
    <xf numFmtId="0" fontId="20" fillId="0" borderId="29" xfId="1" applyFont="1" applyBorder="1" applyAlignment="1">
      <alignment horizontal="center" vertical="center"/>
    </xf>
    <xf numFmtId="0" fontId="20" fillId="0" borderId="30" xfId="1" applyFont="1" applyBorder="1" applyAlignment="1">
      <alignment horizontal="center" vertical="center"/>
    </xf>
    <xf numFmtId="0" fontId="20" fillId="0" borderId="31" xfId="1" applyFont="1" applyBorder="1" applyAlignment="1">
      <alignment horizontal="center" vertical="center"/>
    </xf>
    <xf numFmtId="0" fontId="24" fillId="0" borderId="0" xfId="119" applyFont="1" applyAlignment="1">
      <alignment horizontal="left" vertical="center" wrapText="1"/>
    </xf>
    <xf numFmtId="0" fontId="20" fillId="0" borderId="0" xfId="119" applyFont="1" applyAlignment="1">
      <alignment horizontal="left" vertical="center" wrapText="1"/>
    </xf>
    <xf numFmtId="0" fontId="20" fillId="0" borderId="17" xfId="119" applyFont="1" applyBorder="1" applyAlignment="1">
      <alignment horizontal="center" vertical="center"/>
    </xf>
    <xf numFmtId="0" fontId="20" fillId="0" borderId="18" xfId="119" applyFont="1" applyBorder="1" applyAlignment="1">
      <alignment horizontal="center" vertical="center"/>
    </xf>
    <xf numFmtId="0" fontId="20" fillId="0" borderId="0" xfId="117" applyFont="1" applyAlignment="1">
      <alignment horizontal="left" vertical="center" wrapText="1"/>
    </xf>
    <xf numFmtId="0" fontId="21" fillId="24" borderId="11" xfId="1" applyFont="1" applyFill="1" applyBorder="1" applyAlignment="1">
      <alignment horizontal="center" vertical="center" wrapText="1"/>
    </xf>
    <xf numFmtId="0" fontId="21" fillId="24" borderId="12" xfId="1" applyFont="1" applyFill="1" applyBorder="1" applyAlignment="1">
      <alignment horizontal="center" vertical="center" wrapText="1"/>
    </xf>
    <xf numFmtId="0" fontId="21" fillId="24" borderId="13" xfId="1" applyFont="1" applyFill="1" applyBorder="1" applyAlignment="1">
      <alignment horizontal="center" vertical="center" wrapText="1"/>
    </xf>
    <xf numFmtId="0" fontId="30" fillId="0" borderId="20" xfId="1" applyFont="1" applyFill="1" applyBorder="1" applyAlignment="1">
      <alignment horizontal="center" vertical="center" wrapText="1"/>
    </xf>
    <xf numFmtId="0" fontId="21" fillId="24" borderId="36" xfId="1" applyFont="1" applyFill="1" applyBorder="1" applyAlignment="1">
      <alignment horizontal="center" vertical="center" wrapText="1"/>
    </xf>
    <xf numFmtId="0" fontId="21" fillId="24" borderId="37" xfId="1" applyFont="1" applyFill="1" applyBorder="1" applyAlignment="1">
      <alignment horizontal="center" vertical="center" wrapText="1"/>
    </xf>
    <xf numFmtId="0" fontId="21" fillId="24" borderId="32" xfId="1" applyFont="1" applyFill="1" applyBorder="1" applyAlignment="1">
      <alignment horizontal="center" vertical="center" wrapText="1"/>
    </xf>
    <xf numFmtId="0" fontId="20" fillId="0" borderId="38"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1" fillId="24" borderId="36" xfId="38" applyFont="1" applyFill="1" applyBorder="1" applyAlignment="1">
      <alignment horizontal="center" vertical="center" wrapText="1"/>
    </xf>
    <xf numFmtId="0" fontId="21" fillId="24" borderId="37" xfId="38" applyFont="1" applyFill="1" applyBorder="1" applyAlignment="1">
      <alignment horizontal="center" vertical="center" wrapText="1"/>
    </xf>
    <xf numFmtId="0" fontId="21" fillId="24" borderId="32" xfId="38" applyFont="1" applyFill="1" applyBorder="1" applyAlignment="1">
      <alignment horizontal="center" vertical="center" wrapText="1"/>
    </xf>
    <xf numFmtId="0" fontId="22" fillId="24" borderId="17" xfId="38" applyFont="1" applyFill="1" applyBorder="1" applyAlignment="1">
      <alignment horizontal="center" vertical="center" wrapText="1"/>
    </xf>
    <xf numFmtId="0" fontId="22" fillId="24" borderId="10" xfId="38" applyFont="1" applyFill="1" applyBorder="1" applyAlignment="1">
      <alignment horizontal="center" vertical="center" wrapText="1"/>
    </xf>
    <xf numFmtId="0" fontId="22" fillId="24" borderId="20" xfId="38" applyFont="1" applyFill="1" applyBorder="1" applyAlignment="1">
      <alignment horizontal="center" vertical="center" wrapText="1"/>
    </xf>
    <xf numFmtId="0" fontId="22" fillId="24" borderId="19" xfId="38" applyFont="1" applyFill="1" applyBorder="1" applyAlignment="1">
      <alignment horizontal="center" vertical="center" wrapText="1"/>
    </xf>
    <xf numFmtId="0" fontId="22" fillId="24" borderId="26" xfId="38" applyFont="1" applyFill="1" applyBorder="1" applyAlignment="1">
      <alignment horizontal="center" vertical="center" wrapText="1"/>
    </xf>
    <xf numFmtId="0" fontId="22" fillId="24" borderId="28" xfId="38" applyFont="1" applyFill="1" applyBorder="1" applyAlignment="1">
      <alignment horizontal="center" vertical="center"/>
    </xf>
    <xf numFmtId="0" fontId="22" fillId="24" borderId="27" xfId="38" applyFont="1" applyFill="1" applyBorder="1" applyAlignment="1">
      <alignment horizontal="center" vertical="center"/>
    </xf>
    <xf numFmtId="0" fontId="22" fillId="24" borderId="14" xfId="38" applyFont="1" applyFill="1" applyBorder="1" applyAlignment="1">
      <alignment horizontal="center" vertical="center" wrapText="1"/>
    </xf>
    <xf numFmtId="0" fontId="21" fillId="24" borderId="11" xfId="38" applyFont="1" applyFill="1" applyBorder="1" applyAlignment="1">
      <alignment horizontal="center" vertical="center" wrapText="1"/>
    </xf>
    <xf numFmtId="0" fontId="21" fillId="24" borderId="12" xfId="38" applyFont="1" applyFill="1" applyBorder="1" applyAlignment="1">
      <alignment horizontal="center" vertical="center" wrapText="1"/>
    </xf>
    <xf numFmtId="0" fontId="21" fillId="24" borderId="13" xfId="38" applyFont="1" applyFill="1" applyBorder="1" applyAlignment="1">
      <alignment horizontal="center" vertical="center" wrapText="1"/>
    </xf>
    <xf numFmtId="0" fontId="39" fillId="24" borderId="11" xfId="38" applyFont="1" applyFill="1" applyBorder="1" applyAlignment="1">
      <alignment horizontal="center" vertical="center" wrapText="1"/>
    </xf>
    <xf numFmtId="0" fontId="39" fillId="24" borderId="12" xfId="38" applyFont="1" applyFill="1" applyBorder="1" applyAlignment="1">
      <alignment horizontal="center" vertical="center" wrapText="1"/>
    </xf>
    <xf numFmtId="0" fontId="39" fillId="24" borderId="13" xfId="38" applyFont="1" applyFill="1" applyBorder="1" applyAlignment="1">
      <alignment horizontal="center" vertical="center" wrapText="1"/>
    </xf>
    <xf numFmtId="0" fontId="22" fillId="24" borderId="39" xfId="38" applyFont="1" applyFill="1" applyBorder="1" applyAlignment="1">
      <alignment horizontal="center" vertical="center" wrapText="1"/>
    </xf>
    <xf numFmtId="0" fontId="23" fillId="0" borderId="21" xfId="1" applyFont="1" applyFill="1" applyBorder="1" applyAlignment="1">
      <alignment horizontal="center" vertical="center" wrapText="1"/>
    </xf>
    <xf numFmtId="0" fontId="23" fillId="0" borderId="22" xfId="1" applyFont="1" applyFill="1" applyBorder="1" applyAlignment="1">
      <alignment horizontal="center" vertical="center" wrapText="1"/>
    </xf>
    <xf numFmtId="0" fontId="23" fillId="0" borderId="23" xfId="1" applyFont="1" applyFill="1" applyBorder="1" applyAlignment="1">
      <alignment horizontal="center" vertical="center" wrapText="1"/>
    </xf>
    <xf numFmtId="0" fontId="40" fillId="24" borderId="11" xfId="38" applyFont="1" applyFill="1" applyBorder="1" applyAlignment="1">
      <alignment horizontal="center" vertical="center" wrapText="1"/>
    </xf>
    <xf numFmtId="0" fontId="40" fillId="24" borderId="12" xfId="38" applyFont="1" applyFill="1" applyBorder="1" applyAlignment="1">
      <alignment horizontal="center" vertical="center" wrapText="1"/>
    </xf>
    <xf numFmtId="0" fontId="40" fillId="24" borderId="13" xfId="38" applyFont="1" applyFill="1" applyBorder="1" applyAlignment="1">
      <alignment horizontal="center" vertical="center" wrapText="1"/>
    </xf>
    <xf numFmtId="0" fontId="41" fillId="24" borderId="14" xfId="38" applyFont="1" applyFill="1" applyBorder="1" applyAlignment="1">
      <alignment horizontal="center" vertical="center" wrapText="1"/>
    </xf>
    <xf numFmtId="0" fontId="41" fillId="24" borderId="26" xfId="38" applyFont="1" applyFill="1" applyBorder="1" applyAlignment="1">
      <alignment horizontal="center" vertical="center" wrapText="1"/>
    </xf>
    <xf numFmtId="0" fontId="41" fillId="24" borderId="28" xfId="38" applyFont="1" applyFill="1" applyBorder="1" applyAlignment="1">
      <alignment horizontal="center" vertical="center" wrapText="1"/>
    </xf>
    <xf numFmtId="0" fontId="41" fillId="24" borderId="27" xfId="38" applyFont="1" applyFill="1" applyBorder="1" applyAlignment="1">
      <alignment horizontal="center" vertical="center" wrapText="1"/>
    </xf>
    <xf numFmtId="0" fontId="41" fillId="24" borderId="20" xfId="38" applyFont="1" applyFill="1" applyBorder="1" applyAlignment="1">
      <alignment horizontal="center" vertical="center" wrapText="1"/>
    </xf>
    <xf numFmtId="0" fontId="41" fillId="24" borderId="39" xfId="38" applyFont="1" applyFill="1" applyBorder="1" applyAlignment="1">
      <alignment horizontal="center" vertical="center" wrapText="1"/>
    </xf>
    <xf numFmtId="0" fontId="41" fillId="24" borderId="28" xfId="38" applyFont="1" applyFill="1" applyBorder="1" applyAlignment="1">
      <alignment horizontal="center" vertical="center"/>
    </xf>
    <xf numFmtId="0" fontId="41" fillId="24" borderId="27" xfId="38" applyFont="1" applyFill="1" applyBorder="1" applyAlignment="1">
      <alignment horizontal="center" vertical="center"/>
    </xf>
    <xf numFmtId="0" fontId="41" fillId="24" borderId="19" xfId="38" applyFont="1" applyFill="1" applyBorder="1" applyAlignment="1">
      <alignment horizontal="center" vertical="center" wrapText="1"/>
    </xf>
    <xf numFmtId="0" fontId="0" fillId="0" borderId="0" xfId="0" applyAlignment="1">
      <alignment horizontal="center"/>
    </xf>
  </cellXfs>
  <cellStyles count="132">
    <cellStyle name="20% - Accent1 2" xfId="2" xr:uid="{00000000-0005-0000-0000-000000000000}"/>
    <cellStyle name="20% - Accent1 3" xfId="44" xr:uid="{00000000-0005-0000-0000-000001000000}"/>
    <cellStyle name="20% - Accent1 4" xfId="45" xr:uid="{00000000-0005-0000-0000-000002000000}"/>
    <cellStyle name="20% - Accent2 2" xfId="3" xr:uid="{00000000-0005-0000-0000-000003000000}"/>
    <cellStyle name="20% - Accent2 3" xfId="46" xr:uid="{00000000-0005-0000-0000-000004000000}"/>
    <cellStyle name="20% - Accent2 4" xfId="47" xr:uid="{00000000-0005-0000-0000-000005000000}"/>
    <cellStyle name="20% - Accent3 2" xfId="4" xr:uid="{00000000-0005-0000-0000-000006000000}"/>
    <cellStyle name="20% - Accent3 3" xfId="48" xr:uid="{00000000-0005-0000-0000-000007000000}"/>
    <cellStyle name="20% - Accent3 4" xfId="49" xr:uid="{00000000-0005-0000-0000-000008000000}"/>
    <cellStyle name="20% - Accent4 2" xfId="5" xr:uid="{00000000-0005-0000-0000-000009000000}"/>
    <cellStyle name="20% - Accent4 3" xfId="50" xr:uid="{00000000-0005-0000-0000-00000A000000}"/>
    <cellStyle name="20% - Accent4 4" xfId="51" xr:uid="{00000000-0005-0000-0000-00000B000000}"/>
    <cellStyle name="20% - Accent5 2" xfId="6" xr:uid="{00000000-0005-0000-0000-00000C000000}"/>
    <cellStyle name="20% - Accent5 3" xfId="52" xr:uid="{00000000-0005-0000-0000-00000D000000}"/>
    <cellStyle name="20% - Accent5 4" xfId="53" xr:uid="{00000000-0005-0000-0000-00000E000000}"/>
    <cellStyle name="20% - Accent6 2" xfId="7" xr:uid="{00000000-0005-0000-0000-00000F000000}"/>
    <cellStyle name="20% - Accent6 3" xfId="54" xr:uid="{00000000-0005-0000-0000-000010000000}"/>
    <cellStyle name="20% - Accent6 4" xfId="55" xr:uid="{00000000-0005-0000-0000-000011000000}"/>
    <cellStyle name="40% - Accent1 2" xfId="8" xr:uid="{00000000-0005-0000-0000-000012000000}"/>
    <cellStyle name="40% - Accent1 3" xfId="56" xr:uid="{00000000-0005-0000-0000-000013000000}"/>
    <cellStyle name="40% - Accent1 4" xfId="57" xr:uid="{00000000-0005-0000-0000-000014000000}"/>
    <cellStyle name="40% - Accent2 2" xfId="9" xr:uid="{00000000-0005-0000-0000-000015000000}"/>
    <cellStyle name="40% - Accent2 3" xfId="58" xr:uid="{00000000-0005-0000-0000-000016000000}"/>
    <cellStyle name="40% - Accent2 4" xfId="59" xr:uid="{00000000-0005-0000-0000-000017000000}"/>
    <cellStyle name="40% - Accent3 2" xfId="10" xr:uid="{00000000-0005-0000-0000-000018000000}"/>
    <cellStyle name="40% - Accent3 3" xfId="60" xr:uid="{00000000-0005-0000-0000-000019000000}"/>
    <cellStyle name="40% - Accent3 4" xfId="61" xr:uid="{00000000-0005-0000-0000-00001A000000}"/>
    <cellStyle name="40% - Accent4 2" xfId="11" xr:uid="{00000000-0005-0000-0000-00001B000000}"/>
    <cellStyle name="40% - Accent4 3" xfId="62" xr:uid="{00000000-0005-0000-0000-00001C000000}"/>
    <cellStyle name="40% - Accent4 4" xfId="63" xr:uid="{00000000-0005-0000-0000-00001D000000}"/>
    <cellStyle name="40% - Accent5 2" xfId="12" xr:uid="{00000000-0005-0000-0000-00001E000000}"/>
    <cellStyle name="40% - Accent5 3" xfId="64" xr:uid="{00000000-0005-0000-0000-00001F000000}"/>
    <cellStyle name="40% - Accent5 4" xfId="65" xr:uid="{00000000-0005-0000-0000-000020000000}"/>
    <cellStyle name="40% - Accent6 2" xfId="13" xr:uid="{00000000-0005-0000-0000-000021000000}"/>
    <cellStyle name="40% - Accent6 3" xfId="66" xr:uid="{00000000-0005-0000-0000-000022000000}"/>
    <cellStyle name="40% - Accent6 4" xfId="67" xr:uid="{00000000-0005-0000-0000-000023000000}"/>
    <cellStyle name="60% - Accent1 2" xfId="14" xr:uid="{00000000-0005-0000-0000-000024000000}"/>
    <cellStyle name="60% - Accent1 3" xfId="68" xr:uid="{00000000-0005-0000-0000-000025000000}"/>
    <cellStyle name="60% - Accent1 4" xfId="69" xr:uid="{00000000-0005-0000-0000-000026000000}"/>
    <cellStyle name="60% - Accent2 2" xfId="15" xr:uid="{00000000-0005-0000-0000-000027000000}"/>
    <cellStyle name="60% - Accent2 3" xfId="70" xr:uid="{00000000-0005-0000-0000-000028000000}"/>
    <cellStyle name="60% - Accent2 4" xfId="71" xr:uid="{00000000-0005-0000-0000-000029000000}"/>
    <cellStyle name="60% - Accent3 2" xfId="16" xr:uid="{00000000-0005-0000-0000-00002A000000}"/>
    <cellStyle name="60% - Accent3 3" xfId="72" xr:uid="{00000000-0005-0000-0000-00002B000000}"/>
    <cellStyle name="60% - Accent3 4" xfId="73" xr:uid="{00000000-0005-0000-0000-00002C000000}"/>
    <cellStyle name="60% - Accent4 2" xfId="17" xr:uid="{00000000-0005-0000-0000-00002D000000}"/>
    <cellStyle name="60% - Accent4 3" xfId="74" xr:uid="{00000000-0005-0000-0000-00002E000000}"/>
    <cellStyle name="60% - Accent4 4" xfId="75" xr:uid="{00000000-0005-0000-0000-00002F000000}"/>
    <cellStyle name="60% - Accent5 2" xfId="18" xr:uid="{00000000-0005-0000-0000-000030000000}"/>
    <cellStyle name="60% - Accent5 3" xfId="76" xr:uid="{00000000-0005-0000-0000-000031000000}"/>
    <cellStyle name="60% - Accent5 4" xfId="77" xr:uid="{00000000-0005-0000-0000-000032000000}"/>
    <cellStyle name="60% - Accent6 2" xfId="19" xr:uid="{00000000-0005-0000-0000-000033000000}"/>
    <cellStyle name="60% - Accent6 3" xfId="78" xr:uid="{00000000-0005-0000-0000-000034000000}"/>
    <cellStyle name="60% - Accent6 4" xfId="79" xr:uid="{00000000-0005-0000-0000-000035000000}"/>
    <cellStyle name="Accent1 2" xfId="20" xr:uid="{00000000-0005-0000-0000-000036000000}"/>
    <cellStyle name="Accent1 3" xfId="80" xr:uid="{00000000-0005-0000-0000-000037000000}"/>
    <cellStyle name="Accent1 4" xfId="81" xr:uid="{00000000-0005-0000-0000-000038000000}"/>
    <cellStyle name="Accent2 2" xfId="21" xr:uid="{00000000-0005-0000-0000-000039000000}"/>
    <cellStyle name="Accent2 3" xfId="82" xr:uid="{00000000-0005-0000-0000-00003A000000}"/>
    <cellStyle name="Accent2 4" xfId="83" xr:uid="{00000000-0005-0000-0000-00003B000000}"/>
    <cellStyle name="Accent3 2" xfId="22" xr:uid="{00000000-0005-0000-0000-00003C000000}"/>
    <cellStyle name="Accent3 3" xfId="84" xr:uid="{00000000-0005-0000-0000-00003D000000}"/>
    <cellStyle name="Accent3 4" xfId="85" xr:uid="{00000000-0005-0000-0000-00003E000000}"/>
    <cellStyle name="Accent4 2" xfId="23" xr:uid="{00000000-0005-0000-0000-00003F000000}"/>
    <cellStyle name="Accent4 3" xfId="86" xr:uid="{00000000-0005-0000-0000-000040000000}"/>
    <cellStyle name="Accent4 4" xfId="87" xr:uid="{00000000-0005-0000-0000-000041000000}"/>
    <cellStyle name="Accent5 2" xfId="24" xr:uid="{00000000-0005-0000-0000-000042000000}"/>
    <cellStyle name="Accent5 3" xfId="88" xr:uid="{00000000-0005-0000-0000-000043000000}"/>
    <cellStyle name="Accent5 4" xfId="89" xr:uid="{00000000-0005-0000-0000-000044000000}"/>
    <cellStyle name="Accent6 2" xfId="25" xr:uid="{00000000-0005-0000-0000-000045000000}"/>
    <cellStyle name="Accent6 3" xfId="90" xr:uid="{00000000-0005-0000-0000-000046000000}"/>
    <cellStyle name="Accent6 4" xfId="91" xr:uid="{00000000-0005-0000-0000-000047000000}"/>
    <cellStyle name="Bad 2" xfId="26" xr:uid="{00000000-0005-0000-0000-000048000000}"/>
    <cellStyle name="Bad 3" xfId="92" xr:uid="{00000000-0005-0000-0000-000049000000}"/>
    <cellStyle name="Bad 4" xfId="93" xr:uid="{00000000-0005-0000-0000-00004A000000}"/>
    <cellStyle name="Calculation 2" xfId="27" xr:uid="{00000000-0005-0000-0000-00004B000000}"/>
    <cellStyle name="Calculation 3" xfId="94" xr:uid="{00000000-0005-0000-0000-00004C000000}"/>
    <cellStyle name="Calculation 4" xfId="95" xr:uid="{00000000-0005-0000-0000-00004D000000}"/>
    <cellStyle name="Check Cell 2" xfId="28" xr:uid="{00000000-0005-0000-0000-00004E000000}"/>
    <cellStyle name="Check Cell 3" xfId="96" xr:uid="{00000000-0005-0000-0000-00004F000000}"/>
    <cellStyle name="Check Cell 4" xfId="97" xr:uid="{00000000-0005-0000-0000-000050000000}"/>
    <cellStyle name="Comma" xfId="131" builtinId="3"/>
    <cellStyle name="Explanatory Text 2" xfId="29" xr:uid="{00000000-0005-0000-0000-000052000000}"/>
    <cellStyle name="Explanatory Text 3" xfId="98" xr:uid="{00000000-0005-0000-0000-000053000000}"/>
    <cellStyle name="Explanatory Text 4" xfId="99" xr:uid="{00000000-0005-0000-0000-000054000000}"/>
    <cellStyle name="Good 2" xfId="30" xr:uid="{00000000-0005-0000-0000-000055000000}"/>
    <cellStyle name="Good 3" xfId="100" xr:uid="{00000000-0005-0000-0000-000056000000}"/>
    <cellStyle name="Good 4" xfId="101" xr:uid="{00000000-0005-0000-0000-000057000000}"/>
    <cellStyle name="Heading 1 2" xfId="31" xr:uid="{00000000-0005-0000-0000-000058000000}"/>
    <cellStyle name="Heading 1 3" xfId="102" xr:uid="{00000000-0005-0000-0000-000059000000}"/>
    <cellStyle name="Heading 1 4" xfId="103" xr:uid="{00000000-0005-0000-0000-00005A000000}"/>
    <cellStyle name="Heading 2 2" xfId="32" xr:uid="{00000000-0005-0000-0000-00005B000000}"/>
    <cellStyle name="Heading 2 3" xfId="104" xr:uid="{00000000-0005-0000-0000-00005C000000}"/>
    <cellStyle name="Heading 2 4" xfId="105" xr:uid="{00000000-0005-0000-0000-00005D000000}"/>
    <cellStyle name="Heading 3 2" xfId="33" xr:uid="{00000000-0005-0000-0000-00005E000000}"/>
    <cellStyle name="Heading 3 3" xfId="106" xr:uid="{00000000-0005-0000-0000-00005F000000}"/>
    <cellStyle name="Heading 3 4" xfId="107" xr:uid="{00000000-0005-0000-0000-000060000000}"/>
    <cellStyle name="Heading 4 2" xfId="34" xr:uid="{00000000-0005-0000-0000-000061000000}"/>
    <cellStyle name="Heading 4 3" xfId="108" xr:uid="{00000000-0005-0000-0000-000062000000}"/>
    <cellStyle name="Heading 4 4" xfId="109" xr:uid="{00000000-0005-0000-0000-000063000000}"/>
    <cellStyle name="Input 2" xfId="35" xr:uid="{00000000-0005-0000-0000-000064000000}"/>
    <cellStyle name="Input 3" xfId="110" xr:uid="{00000000-0005-0000-0000-000065000000}"/>
    <cellStyle name="Input 4" xfId="111" xr:uid="{00000000-0005-0000-0000-000066000000}"/>
    <cellStyle name="Linked Cell 2" xfId="36" xr:uid="{00000000-0005-0000-0000-000067000000}"/>
    <cellStyle name="Linked Cell 3" xfId="112" xr:uid="{00000000-0005-0000-0000-000068000000}"/>
    <cellStyle name="Linked Cell 4" xfId="113" xr:uid="{00000000-0005-0000-0000-000069000000}"/>
    <cellStyle name="Neutral 2" xfId="37" xr:uid="{00000000-0005-0000-0000-00006A000000}"/>
    <cellStyle name="Neutral 3" xfId="114" xr:uid="{00000000-0005-0000-0000-00006B000000}"/>
    <cellStyle name="Neutral 4" xfId="115" xr:uid="{00000000-0005-0000-0000-00006C000000}"/>
    <cellStyle name="Normal" xfId="0" builtinId="0"/>
    <cellStyle name="Normal 2" xfId="38" xr:uid="{00000000-0005-0000-0000-00006E000000}"/>
    <cellStyle name="Normal 2 2" xfId="116" xr:uid="{00000000-0005-0000-0000-00006F000000}"/>
    <cellStyle name="Normal 2 3" xfId="117" xr:uid="{00000000-0005-0000-0000-000070000000}"/>
    <cellStyle name="Normal 2 4" xfId="118" xr:uid="{00000000-0005-0000-0000-000071000000}"/>
    <cellStyle name="Normal 3" xfId="1" xr:uid="{00000000-0005-0000-0000-000072000000}"/>
    <cellStyle name="Normal 3 2" xfId="119" xr:uid="{00000000-0005-0000-0000-000073000000}"/>
    <cellStyle name="Normal 4" xfId="120" xr:uid="{00000000-0005-0000-0000-000074000000}"/>
    <cellStyle name="Note 2" xfId="39" xr:uid="{00000000-0005-0000-0000-000075000000}"/>
    <cellStyle name="Note 3" xfId="121" xr:uid="{00000000-0005-0000-0000-000076000000}"/>
    <cellStyle name="Note 4" xfId="122" xr:uid="{00000000-0005-0000-0000-000077000000}"/>
    <cellStyle name="Output 2" xfId="40" xr:uid="{00000000-0005-0000-0000-000078000000}"/>
    <cellStyle name="Output 3" xfId="123" xr:uid="{00000000-0005-0000-0000-000079000000}"/>
    <cellStyle name="Output 4" xfId="124" xr:uid="{00000000-0005-0000-0000-00007A000000}"/>
    <cellStyle name="Title 2" xfId="41" xr:uid="{00000000-0005-0000-0000-00007B000000}"/>
    <cellStyle name="Title 3" xfId="125" xr:uid="{00000000-0005-0000-0000-00007C000000}"/>
    <cellStyle name="Title 4" xfId="126" xr:uid="{00000000-0005-0000-0000-00007D000000}"/>
    <cellStyle name="Total 2" xfId="42" xr:uid="{00000000-0005-0000-0000-00007E000000}"/>
    <cellStyle name="Total 3" xfId="127" xr:uid="{00000000-0005-0000-0000-00007F000000}"/>
    <cellStyle name="Total 4" xfId="128" xr:uid="{00000000-0005-0000-0000-000080000000}"/>
    <cellStyle name="Warning Text 2" xfId="43" xr:uid="{00000000-0005-0000-0000-000081000000}"/>
    <cellStyle name="Warning Text 3" xfId="129" xr:uid="{00000000-0005-0000-0000-000082000000}"/>
    <cellStyle name="Warning Text 4" xfId="130" xr:uid="{00000000-0005-0000-0000-00008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topLeftCell="A19" workbookViewId="0">
      <selection activeCell="B20" sqref="B20:C20"/>
    </sheetView>
  </sheetViews>
  <sheetFormatPr defaultRowHeight="14.4" x14ac:dyDescent="0.3"/>
  <cols>
    <col min="2" max="2" width="55" customWidth="1"/>
    <col min="3" max="3" width="45.6640625" bestFit="1" customWidth="1"/>
    <col min="4" max="4" width="30.88671875" bestFit="1" customWidth="1"/>
  </cols>
  <sheetData>
    <row r="1" spans="2:4" ht="15" thickBot="1" x14ac:dyDescent="0.35">
      <c r="B1" s="2"/>
      <c r="C1" s="2"/>
      <c r="D1" s="2"/>
    </row>
    <row r="2" spans="2:4" x14ac:dyDescent="0.3">
      <c r="B2" s="8" t="s">
        <v>52</v>
      </c>
      <c r="C2" s="9" t="s">
        <v>53</v>
      </c>
      <c r="D2" s="10" t="s">
        <v>54</v>
      </c>
    </row>
    <row r="3" spans="2:4" x14ac:dyDescent="0.3">
      <c r="B3" s="168" t="s">
        <v>101</v>
      </c>
      <c r="C3" s="3"/>
      <c r="D3" s="4" t="s">
        <v>216</v>
      </c>
    </row>
    <row r="4" spans="2:4" x14ac:dyDescent="0.3">
      <c r="B4" s="169"/>
      <c r="C4" s="3"/>
      <c r="D4" s="4"/>
    </row>
    <row r="5" spans="2:4" x14ac:dyDescent="0.3">
      <c r="B5" s="169"/>
      <c r="C5" s="3"/>
      <c r="D5" s="4"/>
    </row>
    <row r="6" spans="2:4" x14ac:dyDescent="0.3">
      <c r="B6" s="169"/>
      <c r="C6" s="3"/>
      <c r="D6" s="4"/>
    </row>
    <row r="7" spans="2:4" x14ac:dyDescent="0.3">
      <c r="B7" s="169"/>
      <c r="C7" s="3"/>
      <c r="D7" s="4"/>
    </row>
    <row r="8" spans="2:4" x14ac:dyDescent="0.3">
      <c r="B8" s="169"/>
      <c r="C8" s="3"/>
      <c r="D8" s="4"/>
    </row>
    <row r="9" spans="2:4" ht="15" thickBot="1" x14ac:dyDescent="0.35">
      <c r="B9" s="170"/>
      <c r="C9" s="5"/>
      <c r="D9" s="6"/>
    </row>
    <row r="11" spans="2:4" ht="49.5" customHeight="1" x14ac:dyDescent="0.3">
      <c r="B11" s="171" t="s">
        <v>55</v>
      </c>
      <c r="C11" s="172"/>
      <c r="D11" s="2"/>
    </row>
    <row r="12" spans="2:4" ht="15" thickBot="1" x14ac:dyDescent="0.35">
      <c r="B12" s="2"/>
      <c r="C12" s="2"/>
      <c r="D12" s="2"/>
    </row>
    <row r="13" spans="2:4" x14ac:dyDescent="0.3">
      <c r="B13" s="11" t="s">
        <v>56</v>
      </c>
      <c r="C13" s="12" t="s">
        <v>57</v>
      </c>
      <c r="D13" s="7"/>
    </row>
    <row r="14" spans="2:4" x14ac:dyDescent="0.3">
      <c r="B14" s="173" t="s">
        <v>223</v>
      </c>
      <c r="C14" s="13" t="s">
        <v>217</v>
      </c>
      <c r="D14" s="7"/>
    </row>
    <row r="15" spans="2:4" x14ac:dyDescent="0.3">
      <c r="B15" s="173"/>
      <c r="C15" s="13" t="s">
        <v>58</v>
      </c>
      <c r="D15" s="2"/>
    </row>
    <row r="16" spans="2:4" x14ac:dyDescent="0.3">
      <c r="B16" s="173"/>
      <c r="C16" s="13" t="s">
        <v>59</v>
      </c>
      <c r="D16" s="2"/>
    </row>
    <row r="17" spans="2:3" x14ac:dyDescent="0.3">
      <c r="B17" s="173"/>
      <c r="C17" s="13" t="s">
        <v>60</v>
      </c>
    </row>
    <row r="18" spans="2:3" ht="15" thickBot="1" x14ac:dyDescent="0.35">
      <c r="B18" s="174"/>
      <c r="C18" s="14" t="s">
        <v>61</v>
      </c>
    </row>
    <row r="20" spans="2:3" ht="54" customHeight="1" x14ac:dyDescent="0.3">
      <c r="B20" s="175" t="s">
        <v>62</v>
      </c>
      <c r="C20" s="175"/>
    </row>
  </sheetData>
  <mergeCells count="4">
    <mergeCell ref="B3:B9"/>
    <mergeCell ref="B11:C11"/>
    <mergeCell ref="B14:B18"/>
    <mergeCell ref="B20: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topLeftCell="A8" zoomScale="80" zoomScaleNormal="80" workbookViewId="0">
      <selection activeCell="B35" sqref="B35"/>
    </sheetView>
  </sheetViews>
  <sheetFormatPr defaultRowHeight="14.4" x14ac:dyDescent="0.3"/>
  <cols>
    <col min="1" max="1" width="54.109375" customWidth="1"/>
    <col min="2" max="2" width="35.109375" customWidth="1"/>
    <col min="3" max="3" width="33.44140625" customWidth="1"/>
  </cols>
  <sheetData>
    <row r="1" spans="1:3" ht="15.75" customHeight="1" thickBot="1" x14ac:dyDescent="0.35">
      <c r="A1" s="179" t="s">
        <v>63</v>
      </c>
      <c r="B1" s="179"/>
      <c r="C1" s="179"/>
    </row>
    <row r="2" spans="1:3" ht="15.6" x14ac:dyDescent="0.3">
      <c r="A2" s="180" t="s">
        <v>64</v>
      </c>
      <c r="B2" s="181"/>
      <c r="C2" s="182"/>
    </row>
    <row r="3" spans="1:3" ht="15.6" x14ac:dyDescent="0.3">
      <c r="A3" s="15" t="s">
        <v>65</v>
      </c>
      <c r="B3" s="16" t="s">
        <v>66</v>
      </c>
      <c r="C3" s="17" t="s">
        <v>67</v>
      </c>
    </row>
    <row r="4" spans="1:3" ht="15" thickBot="1" x14ac:dyDescent="0.35">
      <c r="A4" s="18" t="s">
        <v>68</v>
      </c>
      <c r="B4" s="19"/>
      <c r="C4" s="20"/>
    </row>
    <row r="5" spans="1:3" ht="15" thickBot="1" x14ac:dyDescent="0.35">
      <c r="A5" s="21"/>
      <c r="B5" s="22"/>
      <c r="C5" s="22"/>
    </row>
    <row r="6" spans="1:3" ht="15.6" x14ac:dyDescent="0.3">
      <c r="A6" s="180" t="s">
        <v>69</v>
      </c>
      <c r="B6" s="181"/>
      <c r="C6" s="182"/>
    </row>
    <row r="7" spans="1:3" ht="15" thickBot="1" x14ac:dyDescent="0.35">
      <c r="A7" s="18" t="s">
        <v>70</v>
      </c>
      <c r="B7" s="183"/>
      <c r="C7" s="184"/>
    </row>
    <row r="8" spans="1:3" ht="15" thickBot="1" x14ac:dyDescent="0.35">
      <c r="A8" s="185"/>
      <c r="B8" s="185"/>
      <c r="C8" s="185"/>
    </row>
    <row r="9" spans="1:3" ht="15.6" x14ac:dyDescent="0.3">
      <c r="A9" s="176" t="s">
        <v>71</v>
      </c>
      <c r="B9" s="177"/>
      <c r="C9" s="178"/>
    </row>
    <row r="10" spans="1:3" ht="31.2" x14ac:dyDescent="0.3">
      <c r="A10" s="15" t="s">
        <v>72</v>
      </c>
      <c r="B10" s="16" t="s">
        <v>73</v>
      </c>
      <c r="C10" s="17" t="s">
        <v>74</v>
      </c>
    </row>
    <row r="11" spans="1:3" x14ac:dyDescent="0.3">
      <c r="A11" s="23" t="s">
        <v>46</v>
      </c>
      <c r="B11" s="24">
        <v>0</v>
      </c>
      <c r="C11" s="24">
        <v>0</v>
      </c>
    </row>
    <row r="12" spans="1:3" x14ac:dyDescent="0.3">
      <c r="A12" s="23" t="s">
        <v>4</v>
      </c>
      <c r="B12" s="24">
        <f>+'Sheet 1'!C15</f>
        <v>1082378.5006896551</v>
      </c>
      <c r="C12" s="24">
        <v>0</v>
      </c>
    </row>
    <row r="13" spans="1:3" x14ac:dyDescent="0.3">
      <c r="A13" s="23" t="s">
        <v>75</v>
      </c>
      <c r="B13" s="24">
        <f>+'Sheet 1'!D15</f>
        <v>1205382.4029192429</v>
      </c>
      <c r="C13" s="24">
        <v>0</v>
      </c>
    </row>
    <row r="14" spans="1:3" x14ac:dyDescent="0.3">
      <c r="A14" s="23" t="s">
        <v>76</v>
      </c>
      <c r="B14" s="24">
        <f>+'Sheet 1'!G15</f>
        <v>47424.33</v>
      </c>
      <c r="C14" s="24">
        <v>0</v>
      </c>
    </row>
    <row r="15" spans="1:3" x14ac:dyDescent="0.3">
      <c r="A15" s="25" t="s">
        <v>77</v>
      </c>
      <c r="B15" s="24">
        <v>0</v>
      </c>
      <c r="C15" s="24">
        <v>0</v>
      </c>
    </row>
    <row r="16" spans="1:3" x14ac:dyDescent="0.3">
      <c r="A16" s="23" t="s">
        <v>78</v>
      </c>
      <c r="B16" s="24">
        <f>+'Sheet 1'!E15+'Sheet 1'!F15</f>
        <v>1589255.77</v>
      </c>
      <c r="C16" s="24">
        <v>0</v>
      </c>
    </row>
    <row r="17" spans="1:3" x14ac:dyDescent="0.3">
      <c r="A17" s="25" t="s">
        <v>79</v>
      </c>
      <c r="B17" s="24">
        <v>0</v>
      </c>
      <c r="C17" s="24">
        <v>0</v>
      </c>
    </row>
    <row r="18" spans="1:3" x14ac:dyDescent="0.3">
      <c r="A18" s="25" t="s">
        <v>80</v>
      </c>
      <c r="B18" s="24">
        <v>0</v>
      </c>
      <c r="C18" s="24">
        <v>0</v>
      </c>
    </row>
    <row r="19" spans="1:3" ht="15" thickBot="1" x14ac:dyDescent="0.35">
      <c r="A19" s="26" t="s">
        <v>81</v>
      </c>
      <c r="B19" s="24">
        <v>0</v>
      </c>
      <c r="C19" s="24">
        <v>0</v>
      </c>
    </row>
    <row r="20" spans="1:3" ht="15.6" x14ac:dyDescent="0.3">
      <c r="A20" s="16" t="s">
        <v>1</v>
      </c>
      <c r="B20" s="27">
        <f>SUM(B11:B19)</f>
        <v>3924441.0036088978</v>
      </c>
      <c r="C20" s="27">
        <v>0</v>
      </c>
    </row>
    <row r="21" spans="1:3" ht="15" thickBot="1" x14ac:dyDescent="0.35"/>
    <row r="22" spans="1:3" ht="15.6" x14ac:dyDescent="0.3">
      <c r="A22" s="176" t="s">
        <v>83</v>
      </c>
      <c r="B22" s="177"/>
      <c r="C22" s="178"/>
    </row>
    <row r="23" spans="1:3" ht="31.2" x14ac:dyDescent="0.3">
      <c r="A23" s="28" t="s">
        <v>84</v>
      </c>
      <c r="B23" s="29" t="s">
        <v>73</v>
      </c>
      <c r="C23" s="30" t="s">
        <v>74</v>
      </c>
    </row>
    <row r="24" spans="1:3" ht="26.25" customHeight="1" x14ac:dyDescent="0.3">
      <c r="A24" s="60" t="s">
        <v>218</v>
      </c>
      <c r="B24" s="32">
        <f>+'Sheet 1'!H5</f>
        <v>942686.88</v>
      </c>
      <c r="C24" s="32">
        <v>0</v>
      </c>
    </row>
    <row r="25" spans="1:3" ht="27.6" x14ac:dyDescent="0.3">
      <c r="A25" s="60" t="s">
        <v>219</v>
      </c>
      <c r="B25" s="32">
        <f>+'Sheet 1'!H7</f>
        <v>699343</v>
      </c>
      <c r="C25" s="32">
        <v>0</v>
      </c>
    </row>
    <row r="26" spans="1:3" ht="27.6" x14ac:dyDescent="0.3">
      <c r="A26" s="60" t="s">
        <v>220</v>
      </c>
      <c r="B26" s="32">
        <f>+'Sheet 1'!H9</f>
        <v>2223370.433608898</v>
      </c>
      <c r="C26" s="32">
        <v>0</v>
      </c>
    </row>
    <row r="27" spans="1:3" x14ac:dyDescent="0.3">
      <c r="A27" s="31" t="s">
        <v>221</v>
      </c>
      <c r="B27" s="32">
        <f>+'Sheet 1'!H11</f>
        <v>50000</v>
      </c>
      <c r="C27" s="32">
        <v>0</v>
      </c>
    </row>
    <row r="28" spans="1:3" x14ac:dyDescent="0.3">
      <c r="A28" s="31" t="s">
        <v>222</v>
      </c>
      <c r="B28" s="32">
        <f>+'Sheet 1'!H13</f>
        <v>9040.69</v>
      </c>
      <c r="C28" s="32">
        <v>0</v>
      </c>
    </row>
    <row r="29" spans="1:3" x14ac:dyDescent="0.3">
      <c r="A29" s="31" t="s">
        <v>85</v>
      </c>
      <c r="B29" s="32">
        <v>0</v>
      </c>
      <c r="C29" s="32">
        <v>0</v>
      </c>
    </row>
    <row r="30" spans="1:3" ht="15.6" x14ac:dyDescent="0.3">
      <c r="A30" s="29" t="s">
        <v>1</v>
      </c>
      <c r="B30" s="33">
        <f>SUM(B24:B29)</f>
        <v>3924441.0036088978</v>
      </c>
      <c r="C30" s="33">
        <v>0</v>
      </c>
    </row>
    <row r="32" spans="1:3" x14ac:dyDescent="0.3">
      <c r="B32" s="63"/>
    </row>
  </sheetData>
  <mergeCells count="7">
    <mergeCell ref="A22:C22"/>
    <mergeCell ref="A1:C1"/>
    <mergeCell ref="A9:C9"/>
    <mergeCell ref="A2:C2"/>
    <mergeCell ref="A6:C6"/>
    <mergeCell ref="B7:C7"/>
    <mergeCell ref="A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74"/>
  <sheetViews>
    <sheetView tabSelected="1" zoomScale="90" zoomScaleNormal="90" workbookViewId="0">
      <selection activeCell="K19" sqref="K19"/>
    </sheetView>
  </sheetViews>
  <sheetFormatPr defaultColWidth="9.109375" defaultRowHeight="14.4" x14ac:dyDescent="0.3"/>
  <cols>
    <col min="1" max="1" width="19.6640625" style="80" customWidth="1"/>
    <col min="2" max="2" width="61.6640625" style="80" customWidth="1"/>
    <col min="3" max="3" width="17.88671875" style="80" customWidth="1"/>
    <col min="4" max="4" width="36.6640625" style="80" customWidth="1"/>
    <col min="5" max="5" width="12.88671875" style="80" customWidth="1"/>
    <col min="6" max="6" width="24.33203125" style="80" customWidth="1"/>
    <col min="7" max="9" width="15.6640625" style="80" customWidth="1"/>
    <col min="10" max="10" width="22.44140625" style="80" customWidth="1"/>
    <col min="11" max="11" width="14" style="80" customWidth="1"/>
    <col min="12" max="12" width="15.5546875" style="80" customWidth="1"/>
    <col min="13" max="13" width="19.6640625" style="80" customWidth="1"/>
    <col min="14" max="14" width="26.88671875" style="80" customWidth="1"/>
    <col min="15" max="15" width="9.109375" style="80" customWidth="1"/>
    <col min="16" max="16" width="9" style="80" customWidth="1"/>
    <col min="17" max="17" width="0.109375" style="80" hidden="1" customWidth="1"/>
    <col min="18" max="18" width="57.44140625" style="80" hidden="1" customWidth="1"/>
    <col min="19" max="16384" width="9.109375" style="80"/>
  </cols>
  <sheetData>
    <row r="1" spans="1:36" ht="16.5" customHeight="1" thickBot="1" x14ac:dyDescent="0.35">
      <c r="A1" s="204" t="s">
        <v>82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6"/>
    </row>
    <row r="2" spans="1:36" ht="15.6" x14ac:dyDescent="0.3">
      <c r="A2" s="197" t="s">
        <v>2</v>
      </c>
      <c r="B2" s="198"/>
      <c r="C2" s="198"/>
      <c r="D2" s="198"/>
      <c r="E2" s="198"/>
      <c r="F2" s="198"/>
      <c r="G2" s="198"/>
      <c r="H2" s="198"/>
      <c r="I2" s="198"/>
      <c r="J2" s="198"/>
      <c r="K2" s="198"/>
      <c r="L2" s="198"/>
      <c r="M2" s="198"/>
      <c r="N2" s="199"/>
      <c r="O2" s="94"/>
      <c r="P2" s="94"/>
      <c r="Q2" s="95" t="s">
        <v>89</v>
      </c>
      <c r="R2" s="94"/>
      <c r="S2" s="94"/>
      <c r="T2" s="94"/>
    </row>
    <row r="3" spans="1:36" ht="15" customHeight="1" x14ac:dyDescent="0.3">
      <c r="A3" s="189" t="s">
        <v>3</v>
      </c>
      <c r="B3" s="190" t="s">
        <v>10</v>
      </c>
      <c r="C3" s="190" t="s">
        <v>11</v>
      </c>
      <c r="D3" s="191" t="s">
        <v>12</v>
      </c>
      <c r="E3" s="190" t="s">
        <v>13</v>
      </c>
      <c r="F3" s="191" t="s">
        <v>14</v>
      </c>
      <c r="G3" s="193" t="s">
        <v>90</v>
      </c>
      <c r="H3" s="194"/>
      <c r="I3" s="195"/>
      <c r="J3" s="190" t="s">
        <v>15</v>
      </c>
      <c r="K3" s="191" t="s">
        <v>88</v>
      </c>
      <c r="L3" s="190" t="s">
        <v>19</v>
      </c>
      <c r="M3" s="190"/>
      <c r="N3" s="196" t="s">
        <v>91</v>
      </c>
      <c r="O3" s="94"/>
      <c r="P3" s="94"/>
      <c r="Q3" s="96" t="s">
        <v>86</v>
      </c>
      <c r="R3" s="94"/>
      <c r="S3" s="94"/>
      <c r="T3" s="94"/>
    </row>
    <row r="4" spans="1:36" ht="96.6" x14ac:dyDescent="0.3">
      <c r="A4" s="189"/>
      <c r="B4" s="190"/>
      <c r="C4" s="190"/>
      <c r="D4" s="192"/>
      <c r="E4" s="190"/>
      <c r="F4" s="203"/>
      <c r="G4" s="74" t="s">
        <v>92</v>
      </c>
      <c r="H4" s="73" t="s">
        <v>93</v>
      </c>
      <c r="I4" s="73" t="s">
        <v>94</v>
      </c>
      <c r="J4" s="190"/>
      <c r="K4" s="192"/>
      <c r="L4" s="73" t="s">
        <v>18</v>
      </c>
      <c r="M4" s="73" t="s">
        <v>17</v>
      </c>
      <c r="N4" s="196"/>
      <c r="O4" s="94"/>
      <c r="P4" s="94"/>
      <c r="Q4" s="96" t="s">
        <v>87</v>
      </c>
      <c r="R4" s="94"/>
      <c r="S4" s="94"/>
      <c r="T4" s="94"/>
    </row>
    <row r="5" spans="1:36" ht="18.75" customHeight="1" x14ac:dyDescent="0.3">
      <c r="A5" s="97"/>
      <c r="B5" s="75"/>
      <c r="C5" s="75"/>
      <c r="D5" s="75"/>
      <c r="E5" s="75"/>
      <c r="F5" s="75"/>
      <c r="G5" s="75"/>
      <c r="H5" s="75"/>
      <c r="I5" s="75"/>
      <c r="J5" s="75"/>
      <c r="K5" s="75"/>
      <c r="L5" s="75"/>
      <c r="M5" s="75"/>
      <c r="N5" s="98"/>
      <c r="O5" s="94"/>
      <c r="P5" s="94"/>
      <c r="Q5" s="96" t="s">
        <v>23</v>
      </c>
      <c r="R5" s="94"/>
      <c r="S5" s="94"/>
      <c r="T5" s="94"/>
    </row>
    <row r="6" spans="1:36" ht="30.75" customHeight="1" x14ac:dyDescent="0.3">
      <c r="A6" s="97"/>
      <c r="B6" s="75"/>
      <c r="C6" s="75"/>
      <c r="D6" s="75"/>
      <c r="E6" s="75"/>
      <c r="F6" s="75"/>
      <c r="G6" s="75"/>
      <c r="H6" s="75"/>
      <c r="I6" s="75"/>
      <c r="J6" s="75"/>
      <c r="K6" s="75"/>
      <c r="L6" s="75"/>
      <c r="M6" s="75"/>
      <c r="N6" s="98"/>
      <c r="O6" s="94"/>
      <c r="P6" s="94"/>
      <c r="Q6" s="96" t="s">
        <v>24</v>
      </c>
      <c r="R6" s="94"/>
      <c r="S6" s="94"/>
      <c r="T6" s="94"/>
    </row>
    <row r="7" spans="1:36" ht="24.75" customHeight="1" x14ac:dyDescent="0.3">
      <c r="A7" s="97"/>
      <c r="B7" s="75"/>
      <c r="C7" s="75"/>
      <c r="D7" s="75"/>
      <c r="E7" s="75"/>
      <c r="F7" s="75"/>
      <c r="G7" s="75"/>
      <c r="H7" s="75"/>
      <c r="I7" s="75"/>
      <c r="J7" s="75"/>
      <c r="K7" s="75"/>
      <c r="L7" s="75"/>
      <c r="M7" s="75"/>
      <c r="N7" s="98"/>
      <c r="O7" s="94"/>
      <c r="P7" s="94"/>
      <c r="Q7" s="96" t="s">
        <v>25</v>
      </c>
      <c r="R7" s="94"/>
      <c r="S7" s="94"/>
      <c r="T7" s="94"/>
    </row>
    <row r="8" spans="1:36" ht="18.75" customHeight="1" x14ac:dyDescent="0.3">
      <c r="A8" s="97"/>
      <c r="B8" s="75"/>
      <c r="C8" s="75"/>
      <c r="D8" s="75"/>
      <c r="E8" s="75"/>
      <c r="F8" s="75"/>
      <c r="G8" s="75"/>
      <c r="H8" s="75"/>
      <c r="I8" s="75"/>
      <c r="J8" s="75"/>
      <c r="K8" s="75"/>
      <c r="L8" s="75"/>
      <c r="M8" s="75"/>
      <c r="N8" s="98"/>
      <c r="O8" s="94"/>
      <c r="P8" s="94"/>
      <c r="Q8" s="96" t="s">
        <v>26</v>
      </c>
      <c r="R8" s="94"/>
      <c r="S8" s="94"/>
      <c r="T8" s="94"/>
    </row>
    <row r="9" spans="1:36" ht="22.5" customHeight="1" thickBot="1" x14ac:dyDescent="0.35">
      <c r="A9" s="99"/>
      <c r="B9" s="76"/>
      <c r="C9" s="76"/>
      <c r="D9" s="76"/>
      <c r="E9" s="76"/>
      <c r="F9" s="76"/>
      <c r="G9" s="76"/>
      <c r="H9" s="76"/>
      <c r="I9" s="76"/>
      <c r="J9" s="76"/>
      <c r="K9" s="76"/>
      <c r="L9" s="76"/>
      <c r="M9" s="76"/>
      <c r="N9" s="100"/>
      <c r="O9" s="94"/>
      <c r="P9" s="94"/>
      <c r="Q9" s="96" t="s">
        <v>27</v>
      </c>
      <c r="R9" s="94"/>
      <c r="S9" s="94"/>
      <c r="T9" s="94"/>
    </row>
    <row r="10" spans="1:36" ht="97.2" thickBot="1" x14ac:dyDescent="0.35">
      <c r="Q10" s="96" t="s">
        <v>28</v>
      </c>
    </row>
    <row r="11" spans="1:36" ht="33" customHeight="1" x14ac:dyDescent="0.3">
      <c r="A11" s="207" t="s">
        <v>5</v>
      </c>
      <c r="B11" s="208"/>
      <c r="C11" s="208"/>
      <c r="D11" s="208"/>
      <c r="E11" s="208"/>
      <c r="F11" s="208"/>
      <c r="G11" s="208"/>
      <c r="H11" s="208"/>
      <c r="I11" s="208"/>
      <c r="J11" s="208"/>
      <c r="K11" s="208"/>
      <c r="L11" s="208"/>
      <c r="M11" s="208"/>
      <c r="N11" s="209"/>
      <c r="O11" s="94"/>
      <c r="P11" s="94"/>
      <c r="Q11" s="96" t="s">
        <v>29</v>
      </c>
      <c r="R11" s="94"/>
      <c r="S11" s="94"/>
      <c r="T11" s="94"/>
    </row>
    <row r="12" spans="1:36" ht="15" customHeight="1" x14ac:dyDescent="0.3">
      <c r="A12" s="189" t="s">
        <v>3</v>
      </c>
      <c r="B12" s="190" t="s">
        <v>10</v>
      </c>
      <c r="C12" s="190" t="s">
        <v>11</v>
      </c>
      <c r="D12" s="191" t="s">
        <v>12</v>
      </c>
      <c r="E12" s="190" t="s">
        <v>13</v>
      </c>
      <c r="F12" s="191" t="s">
        <v>14</v>
      </c>
      <c r="G12" s="193" t="s">
        <v>90</v>
      </c>
      <c r="H12" s="194"/>
      <c r="I12" s="195"/>
      <c r="J12" s="190" t="s">
        <v>15</v>
      </c>
      <c r="K12" s="191" t="s">
        <v>88</v>
      </c>
      <c r="L12" s="190" t="s">
        <v>19</v>
      </c>
      <c r="M12" s="190"/>
      <c r="N12" s="196" t="s">
        <v>91</v>
      </c>
      <c r="O12" s="94"/>
      <c r="P12" s="94"/>
      <c r="Q12" s="96" t="s">
        <v>30</v>
      </c>
      <c r="R12" s="94"/>
      <c r="S12" s="94"/>
      <c r="T12" s="94"/>
    </row>
    <row r="13" spans="1:36" ht="55.5" customHeight="1" x14ac:dyDescent="0.3">
      <c r="A13" s="189"/>
      <c r="B13" s="190"/>
      <c r="C13" s="190"/>
      <c r="D13" s="192"/>
      <c r="E13" s="190"/>
      <c r="F13" s="203"/>
      <c r="G13" s="74" t="s">
        <v>92</v>
      </c>
      <c r="H13" s="73" t="s">
        <v>93</v>
      </c>
      <c r="I13" s="73" t="s">
        <v>94</v>
      </c>
      <c r="J13" s="190"/>
      <c r="K13" s="192"/>
      <c r="L13" s="73" t="s">
        <v>18</v>
      </c>
      <c r="M13" s="73" t="s">
        <v>17</v>
      </c>
      <c r="N13" s="196"/>
      <c r="O13" s="94"/>
      <c r="P13" s="94"/>
      <c r="Q13" s="96" t="s">
        <v>31</v>
      </c>
      <c r="R13" s="94"/>
      <c r="S13" s="94"/>
      <c r="T13" s="94"/>
    </row>
    <row r="14" spans="1:36" x14ac:dyDescent="0.3">
      <c r="A14" s="97"/>
      <c r="B14" s="75"/>
      <c r="C14" s="75"/>
      <c r="D14" s="75"/>
      <c r="E14" s="75"/>
      <c r="F14" s="75"/>
      <c r="G14" s="75"/>
      <c r="H14" s="75"/>
      <c r="I14" s="75"/>
      <c r="J14" s="75"/>
      <c r="K14" s="75"/>
      <c r="L14" s="75"/>
      <c r="M14" s="75"/>
      <c r="N14" s="98"/>
      <c r="O14" s="94"/>
      <c r="P14" s="94"/>
      <c r="Q14" s="95"/>
      <c r="R14" s="94"/>
      <c r="S14" s="94"/>
      <c r="T14" s="94"/>
    </row>
    <row r="15" spans="1:36" ht="42" customHeight="1" x14ac:dyDescent="0.3">
      <c r="A15" s="62" t="s">
        <v>101</v>
      </c>
      <c r="B15" s="34" t="s">
        <v>334</v>
      </c>
      <c r="C15" s="101" t="s">
        <v>103</v>
      </c>
      <c r="D15" s="101" t="s">
        <v>36</v>
      </c>
      <c r="E15" s="101"/>
      <c r="F15" s="34" t="s">
        <v>100</v>
      </c>
      <c r="G15" s="81">
        <f>2000+500</f>
        <v>2500</v>
      </c>
      <c r="H15" s="78">
        <v>1</v>
      </c>
      <c r="I15" s="78">
        <v>0</v>
      </c>
      <c r="J15" s="101">
        <v>1</v>
      </c>
      <c r="K15" s="101" t="s">
        <v>86</v>
      </c>
      <c r="L15" s="88">
        <v>43252</v>
      </c>
      <c r="M15" s="89">
        <v>43282</v>
      </c>
      <c r="N15" s="102"/>
      <c r="O15" s="94"/>
      <c r="P15" s="94"/>
      <c r="Q15" s="96" t="s">
        <v>33</v>
      </c>
      <c r="R15" s="94"/>
      <c r="S15" s="94"/>
      <c r="T15" s="94"/>
    </row>
    <row r="16" spans="1:36" ht="42.75" customHeight="1" x14ac:dyDescent="0.3">
      <c r="A16" s="62" t="s">
        <v>101</v>
      </c>
      <c r="B16" s="34" t="s">
        <v>331</v>
      </c>
      <c r="C16" s="101" t="s">
        <v>103</v>
      </c>
      <c r="D16" s="101" t="s">
        <v>36</v>
      </c>
      <c r="E16" s="101"/>
      <c r="F16" s="41" t="s">
        <v>102</v>
      </c>
      <c r="G16" s="81">
        <v>500</v>
      </c>
      <c r="H16" s="78">
        <v>1</v>
      </c>
      <c r="I16" s="78">
        <v>0</v>
      </c>
      <c r="J16" s="101">
        <v>1</v>
      </c>
      <c r="K16" s="101" t="s">
        <v>86</v>
      </c>
      <c r="L16" s="59">
        <v>43252</v>
      </c>
      <c r="M16" s="59">
        <v>43282</v>
      </c>
      <c r="N16" s="102"/>
      <c r="O16" s="94"/>
      <c r="P16" s="94"/>
      <c r="Q16" s="96" t="s">
        <v>34</v>
      </c>
      <c r="R16" s="94"/>
      <c r="S16" s="94"/>
      <c r="T16" s="94"/>
    </row>
    <row r="17" spans="1:20" ht="44.25" customHeight="1" x14ac:dyDescent="0.3">
      <c r="A17" s="103" t="s">
        <v>101</v>
      </c>
      <c r="B17" s="37" t="s">
        <v>332</v>
      </c>
      <c r="C17" s="104" t="s">
        <v>103</v>
      </c>
      <c r="D17" s="104" t="s">
        <v>32</v>
      </c>
      <c r="E17" s="104"/>
      <c r="F17" s="35" t="s">
        <v>105</v>
      </c>
      <c r="G17" s="82">
        <f>80000-1200</f>
        <v>78800</v>
      </c>
      <c r="H17" s="105">
        <v>1</v>
      </c>
      <c r="I17" s="105">
        <v>0</v>
      </c>
      <c r="J17" s="104">
        <v>1</v>
      </c>
      <c r="K17" s="104" t="s">
        <v>87</v>
      </c>
      <c r="L17" s="90">
        <v>43466</v>
      </c>
      <c r="M17" s="90">
        <v>43525</v>
      </c>
      <c r="N17" s="102"/>
      <c r="O17" s="94"/>
      <c r="P17" s="94"/>
      <c r="Q17" s="96"/>
      <c r="R17" s="94"/>
      <c r="S17" s="94"/>
      <c r="T17" s="94"/>
    </row>
    <row r="18" spans="1:20" ht="60" customHeight="1" x14ac:dyDescent="0.3">
      <c r="A18" s="62" t="s">
        <v>101</v>
      </c>
      <c r="B18" s="34" t="s">
        <v>333</v>
      </c>
      <c r="C18" s="101" t="s">
        <v>103</v>
      </c>
      <c r="D18" s="101" t="s">
        <v>36</v>
      </c>
      <c r="E18" s="101"/>
      <c r="F18" s="41" t="s">
        <v>231</v>
      </c>
      <c r="G18" s="81">
        <v>1000</v>
      </c>
      <c r="H18" s="78">
        <v>1</v>
      </c>
      <c r="I18" s="78">
        <v>0</v>
      </c>
      <c r="J18" s="101">
        <v>1</v>
      </c>
      <c r="K18" s="101" t="s">
        <v>86</v>
      </c>
      <c r="L18" s="90">
        <v>43221</v>
      </c>
      <c r="M18" s="90">
        <v>43344</v>
      </c>
      <c r="N18" s="102"/>
      <c r="O18" s="94"/>
      <c r="P18" s="94"/>
      <c r="Q18" s="96"/>
      <c r="R18" s="94"/>
      <c r="S18" s="94"/>
      <c r="T18" s="94"/>
    </row>
    <row r="19" spans="1:20" ht="43.5" customHeight="1" x14ac:dyDescent="0.3">
      <c r="A19" s="62" t="s">
        <v>101</v>
      </c>
      <c r="B19" s="37" t="s">
        <v>106</v>
      </c>
      <c r="C19" s="101" t="s">
        <v>103</v>
      </c>
      <c r="D19" s="101" t="s">
        <v>36</v>
      </c>
      <c r="E19" s="101"/>
      <c r="F19" s="36" t="s">
        <v>107</v>
      </c>
      <c r="G19" s="82">
        <v>20000</v>
      </c>
      <c r="H19" s="78">
        <v>1</v>
      </c>
      <c r="I19" s="78">
        <v>0</v>
      </c>
      <c r="J19" s="101">
        <v>1</v>
      </c>
      <c r="K19" s="101" t="s">
        <v>87</v>
      </c>
      <c r="L19" s="151">
        <v>43040</v>
      </c>
      <c r="M19" s="151">
        <v>43132</v>
      </c>
      <c r="N19" s="102"/>
      <c r="O19" s="94"/>
      <c r="P19" s="94"/>
      <c r="Q19" s="96"/>
      <c r="R19" s="94"/>
      <c r="S19" s="94"/>
      <c r="T19" s="94"/>
    </row>
    <row r="20" spans="1:20" ht="52.5" customHeight="1" x14ac:dyDescent="0.3">
      <c r="A20" s="62" t="s">
        <v>101</v>
      </c>
      <c r="B20" s="108" t="s">
        <v>113</v>
      </c>
      <c r="C20" s="101" t="s">
        <v>103</v>
      </c>
      <c r="D20" s="101" t="s">
        <v>36</v>
      </c>
      <c r="E20" s="101"/>
      <c r="F20" s="91" t="s">
        <v>235</v>
      </c>
      <c r="G20" s="83">
        <v>5000</v>
      </c>
      <c r="H20" s="78">
        <v>1</v>
      </c>
      <c r="I20" s="78">
        <v>0</v>
      </c>
      <c r="J20" s="101">
        <v>1</v>
      </c>
      <c r="K20" s="101" t="s">
        <v>86</v>
      </c>
      <c r="L20" s="148">
        <v>43101</v>
      </c>
      <c r="M20" s="148">
        <v>43221</v>
      </c>
      <c r="N20" s="102"/>
      <c r="O20" s="94"/>
      <c r="P20" s="94"/>
      <c r="Q20" s="96"/>
      <c r="R20" s="94"/>
      <c r="S20" s="94"/>
      <c r="T20" s="94"/>
    </row>
    <row r="21" spans="1:20" ht="52.5" customHeight="1" x14ac:dyDescent="0.3">
      <c r="A21" s="62" t="s">
        <v>101</v>
      </c>
      <c r="B21" s="109" t="s">
        <v>226</v>
      </c>
      <c r="C21" s="101" t="s">
        <v>142</v>
      </c>
      <c r="D21" s="101" t="s">
        <v>36</v>
      </c>
      <c r="E21" s="101"/>
      <c r="F21" s="91" t="s">
        <v>225</v>
      </c>
      <c r="G21" s="83">
        <f>24000-8000</f>
        <v>16000</v>
      </c>
      <c r="H21" s="78">
        <v>1</v>
      </c>
      <c r="I21" s="78">
        <v>0</v>
      </c>
      <c r="J21" s="101">
        <v>1</v>
      </c>
      <c r="K21" s="101" t="s">
        <v>87</v>
      </c>
      <c r="L21" s="148">
        <v>42552</v>
      </c>
      <c r="M21" s="148">
        <v>43678</v>
      </c>
      <c r="N21" s="102"/>
      <c r="O21" s="94"/>
      <c r="P21" s="94"/>
      <c r="Q21" s="96"/>
      <c r="R21" s="94"/>
      <c r="S21" s="94"/>
      <c r="T21" s="94"/>
    </row>
    <row r="22" spans="1:20" ht="55.5" customHeight="1" x14ac:dyDescent="0.3">
      <c r="A22" s="103" t="s">
        <v>101</v>
      </c>
      <c r="B22" s="39" t="s">
        <v>335</v>
      </c>
      <c r="C22" s="101" t="s">
        <v>103</v>
      </c>
      <c r="D22" s="101" t="s">
        <v>32</v>
      </c>
      <c r="E22" s="101"/>
      <c r="F22" s="41" t="s">
        <v>268</v>
      </c>
      <c r="G22" s="81">
        <v>8000</v>
      </c>
      <c r="H22" s="78">
        <v>1</v>
      </c>
      <c r="I22" s="78">
        <v>0</v>
      </c>
      <c r="J22" s="101">
        <v>1</v>
      </c>
      <c r="K22" s="101" t="s">
        <v>86</v>
      </c>
      <c r="L22" s="148">
        <v>42979</v>
      </c>
      <c r="M22" s="148">
        <v>43678</v>
      </c>
      <c r="N22" s="102"/>
      <c r="O22" s="94"/>
      <c r="P22" s="94"/>
      <c r="Q22" s="96"/>
      <c r="R22" s="94"/>
      <c r="S22" s="94"/>
      <c r="T22" s="94"/>
    </row>
    <row r="23" spans="1:20" ht="43.5" customHeight="1" x14ac:dyDescent="0.3">
      <c r="A23" s="62" t="s">
        <v>101</v>
      </c>
      <c r="B23" s="39" t="s">
        <v>114</v>
      </c>
      <c r="C23" s="101" t="s">
        <v>103</v>
      </c>
      <c r="D23" s="101" t="s">
        <v>36</v>
      </c>
      <c r="E23" s="101"/>
      <c r="F23" s="41" t="s">
        <v>115</v>
      </c>
      <c r="G23" s="81">
        <v>625</v>
      </c>
      <c r="H23" s="78">
        <v>1</v>
      </c>
      <c r="I23" s="78">
        <v>0</v>
      </c>
      <c r="J23" s="101">
        <v>2</v>
      </c>
      <c r="K23" s="101" t="s">
        <v>86</v>
      </c>
      <c r="L23" s="59">
        <v>43191</v>
      </c>
      <c r="M23" s="59">
        <v>43252</v>
      </c>
      <c r="N23" s="102"/>
      <c r="O23" s="94"/>
      <c r="P23" s="94"/>
      <c r="Q23" s="96"/>
      <c r="R23" s="94"/>
      <c r="S23" s="94"/>
      <c r="T23" s="94"/>
    </row>
    <row r="24" spans="1:20" ht="48.75" customHeight="1" x14ac:dyDescent="0.3">
      <c r="A24" s="62" t="s">
        <v>101</v>
      </c>
      <c r="B24" s="39" t="s">
        <v>116</v>
      </c>
      <c r="C24" s="101" t="s">
        <v>103</v>
      </c>
      <c r="D24" s="101" t="s">
        <v>36</v>
      </c>
      <c r="E24" s="101"/>
      <c r="F24" s="41" t="s">
        <v>117</v>
      </c>
      <c r="G24" s="81">
        <v>625</v>
      </c>
      <c r="H24" s="78">
        <v>1</v>
      </c>
      <c r="I24" s="78">
        <v>0</v>
      </c>
      <c r="J24" s="101">
        <v>2</v>
      </c>
      <c r="K24" s="101" t="s">
        <v>86</v>
      </c>
      <c r="L24" s="59">
        <v>43282</v>
      </c>
      <c r="M24" s="59">
        <v>43344</v>
      </c>
      <c r="N24" s="102"/>
      <c r="O24" s="94"/>
      <c r="P24" s="94"/>
      <c r="Q24" s="96"/>
      <c r="R24" s="94"/>
      <c r="S24" s="94"/>
      <c r="T24" s="94"/>
    </row>
    <row r="25" spans="1:20" ht="46.5" customHeight="1" x14ac:dyDescent="0.3">
      <c r="A25" s="62" t="s">
        <v>101</v>
      </c>
      <c r="B25" s="39" t="s">
        <v>118</v>
      </c>
      <c r="C25" s="101" t="s">
        <v>103</v>
      </c>
      <c r="D25" s="101" t="s">
        <v>36</v>
      </c>
      <c r="E25" s="101"/>
      <c r="F25" s="41" t="s">
        <v>119</v>
      </c>
      <c r="G25" s="81">
        <v>625</v>
      </c>
      <c r="H25" s="78">
        <v>1</v>
      </c>
      <c r="I25" s="78">
        <v>0</v>
      </c>
      <c r="J25" s="101">
        <v>2</v>
      </c>
      <c r="K25" s="101" t="s">
        <v>86</v>
      </c>
      <c r="L25" s="59">
        <v>43466</v>
      </c>
      <c r="M25" s="59">
        <v>43525</v>
      </c>
      <c r="N25" s="102"/>
      <c r="O25" s="94"/>
      <c r="P25" s="94"/>
      <c r="Q25" s="96"/>
      <c r="R25" s="94"/>
      <c r="S25" s="94"/>
      <c r="T25" s="94"/>
    </row>
    <row r="26" spans="1:20" ht="47.25" customHeight="1" x14ac:dyDescent="0.3">
      <c r="A26" s="62" t="s">
        <v>101</v>
      </c>
      <c r="B26" s="39" t="s">
        <v>120</v>
      </c>
      <c r="C26" s="101" t="s">
        <v>103</v>
      </c>
      <c r="D26" s="101" t="s">
        <v>36</v>
      </c>
      <c r="E26" s="101"/>
      <c r="F26" s="41" t="s">
        <v>121</v>
      </c>
      <c r="G26" s="81">
        <v>625</v>
      </c>
      <c r="H26" s="78">
        <v>1</v>
      </c>
      <c r="I26" s="78">
        <v>0</v>
      </c>
      <c r="J26" s="101">
        <v>2</v>
      </c>
      <c r="K26" s="101" t="s">
        <v>86</v>
      </c>
      <c r="L26" s="59">
        <v>43525</v>
      </c>
      <c r="M26" s="59">
        <v>43586</v>
      </c>
      <c r="N26" s="102"/>
      <c r="O26" s="94"/>
      <c r="P26" s="94"/>
      <c r="Q26" s="96"/>
      <c r="R26" s="94"/>
      <c r="S26" s="94"/>
      <c r="T26" s="94"/>
    </row>
    <row r="27" spans="1:20" ht="60" customHeight="1" x14ac:dyDescent="0.3">
      <c r="A27" s="62" t="s">
        <v>101</v>
      </c>
      <c r="B27" s="37" t="s">
        <v>336</v>
      </c>
      <c r="C27" s="101" t="s">
        <v>142</v>
      </c>
      <c r="D27" s="101" t="s">
        <v>36</v>
      </c>
      <c r="E27" s="101"/>
      <c r="F27" s="37" t="s">
        <v>122</v>
      </c>
      <c r="G27" s="84">
        <f>52880+31728+25000+24900-15000+60000+32805-25000</f>
        <v>187313</v>
      </c>
      <c r="H27" s="78">
        <v>1</v>
      </c>
      <c r="I27" s="78">
        <v>0</v>
      </c>
      <c r="J27" s="101">
        <v>3</v>
      </c>
      <c r="K27" s="104" t="s">
        <v>86</v>
      </c>
      <c r="L27" s="90">
        <v>42309</v>
      </c>
      <c r="M27" s="90">
        <v>43160</v>
      </c>
      <c r="N27" s="102" t="s">
        <v>289</v>
      </c>
      <c r="O27" s="94"/>
      <c r="P27" s="94"/>
      <c r="Q27" s="96"/>
      <c r="R27" s="94"/>
      <c r="S27" s="94"/>
      <c r="T27" s="94"/>
    </row>
    <row r="28" spans="1:20" ht="57" customHeight="1" x14ac:dyDescent="0.3">
      <c r="A28" s="62" t="s">
        <v>101</v>
      </c>
      <c r="B28" s="37" t="s">
        <v>337</v>
      </c>
      <c r="C28" s="101" t="s">
        <v>142</v>
      </c>
      <c r="D28" s="101" t="s">
        <v>32</v>
      </c>
      <c r="E28" s="101"/>
      <c r="F28" s="37" t="s">
        <v>123</v>
      </c>
      <c r="G28" s="82">
        <f>15000+30000</f>
        <v>45000</v>
      </c>
      <c r="H28" s="78">
        <v>1</v>
      </c>
      <c r="I28" s="78">
        <v>0</v>
      </c>
      <c r="J28" s="101">
        <v>3</v>
      </c>
      <c r="K28" s="104" t="s">
        <v>86</v>
      </c>
      <c r="L28" s="90">
        <v>42309</v>
      </c>
      <c r="M28" s="90">
        <v>43160</v>
      </c>
      <c r="N28" s="102"/>
      <c r="O28" s="94"/>
      <c r="P28" s="94"/>
      <c r="Q28" s="96"/>
      <c r="R28" s="94"/>
      <c r="S28" s="94"/>
      <c r="T28" s="94"/>
    </row>
    <row r="29" spans="1:20" ht="45" customHeight="1" x14ac:dyDescent="0.3">
      <c r="A29" s="62" t="s">
        <v>101</v>
      </c>
      <c r="B29" s="38" t="s">
        <v>338</v>
      </c>
      <c r="C29" s="101" t="s">
        <v>142</v>
      </c>
      <c r="D29" s="101" t="s">
        <v>36</v>
      </c>
      <c r="E29" s="101"/>
      <c r="F29" s="36" t="s">
        <v>224</v>
      </c>
      <c r="G29" s="82">
        <f>50000-10000</f>
        <v>40000</v>
      </c>
      <c r="H29" s="78">
        <v>1</v>
      </c>
      <c r="I29" s="78">
        <v>0</v>
      </c>
      <c r="J29" s="101">
        <v>3</v>
      </c>
      <c r="K29" s="101" t="s">
        <v>87</v>
      </c>
      <c r="L29" s="90">
        <v>42370</v>
      </c>
      <c r="M29" s="90">
        <v>43678</v>
      </c>
      <c r="N29" s="102"/>
      <c r="O29" s="94"/>
      <c r="P29" s="94"/>
      <c r="Q29" s="96"/>
      <c r="R29" s="94"/>
      <c r="S29" s="94"/>
      <c r="T29" s="94"/>
    </row>
    <row r="30" spans="1:20" s="129" customFormat="1" ht="50.25" customHeight="1" x14ac:dyDescent="0.3">
      <c r="A30" s="103" t="s">
        <v>101</v>
      </c>
      <c r="B30" s="37" t="s">
        <v>339</v>
      </c>
      <c r="C30" s="104" t="s">
        <v>142</v>
      </c>
      <c r="D30" s="104" t="s">
        <v>36</v>
      </c>
      <c r="E30" s="104"/>
      <c r="F30" s="35" t="s">
        <v>124</v>
      </c>
      <c r="G30" s="82">
        <v>89711</v>
      </c>
      <c r="H30" s="105">
        <v>1</v>
      </c>
      <c r="I30" s="105">
        <v>0</v>
      </c>
      <c r="J30" s="104">
        <v>3</v>
      </c>
      <c r="K30" s="104" t="s">
        <v>87</v>
      </c>
      <c r="L30" s="90">
        <v>42887</v>
      </c>
      <c r="M30" s="90">
        <v>43617</v>
      </c>
      <c r="N30" s="106"/>
      <c r="O30" s="140"/>
      <c r="P30" s="140"/>
      <c r="Q30" s="141"/>
      <c r="R30" s="140"/>
      <c r="S30" s="140"/>
      <c r="T30" s="140"/>
    </row>
    <row r="31" spans="1:20" ht="44.25" customHeight="1" x14ac:dyDescent="0.3">
      <c r="A31" s="62" t="s">
        <v>101</v>
      </c>
      <c r="B31" s="37" t="s">
        <v>125</v>
      </c>
      <c r="C31" s="104" t="s">
        <v>142</v>
      </c>
      <c r="D31" s="104" t="s">
        <v>36</v>
      </c>
      <c r="E31" s="104"/>
      <c r="F31" s="35" t="s">
        <v>126</v>
      </c>
      <c r="G31" s="82">
        <f>6000-838+2150</f>
        <v>7312</v>
      </c>
      <c r="H31" s="105">
        <v>1</v>
      </c>
      <c r="I31" s="105">
        <v>0</v>
      </c>
      <c r="J31" s="104">
        <v>3</v>
      </c>
      <c r="K31" s="104" t="s">
        <v>86</v>
      </c>
      <c r="L31" s="90">
        <v>42583</v>
      </c>
      <c r="M31" s="90">
        <v>43252</v>
      </c>
      <c r="N31" s="102"/>
      <c r="O31" s="94"/>
      <c r="P31" s="94"/>
      <c r="Q31" s="96"/>
      <c r="R31" s="94"/>
      <c r="S31" s="94"/>
      <c r="T31" s="94"/>
    </row>
    <row r="32" spans="1:20" ht="44.25" customHeight="1" x14ac:dyDescent="0.3">
      <c r="A32" s="62" t="s">
        <v>101</v>
      </c>
      <c r="B32" s="37" t="s">
        <v>125</v>
      </c>
      <c r="C32" s="104" t="s">
        <v>142</v>
      </c>
      <c r="D32" s="104" t="s">
        <v>32</v>
      </c>
      <c r="E32" s="104"/>
      <c r="F32" s="35" t="s">
        <v>228</v>
      </c>
      <c r="G32" s="82">
        <v>10000</v>
      </c>
      <c r="H32" s="105">
        <v>1</v>
      </c>
      <c r="I32" s="105">
        <v>0</v>
      </c>
      <c r="J32" s="104">
        <v>3</v>
      </c>
      <c r="K32" s="104" t="s">
        <v>87</v>
      </c>
      <c r="L32" s="90">
        <v>42675</v>
      </c>
      <c r="M32" s="90">
        <v>43252</v>
      </c>
      <c r="N32" s="102"/>
      <c r="O32" s="94"/>
      <c r="P32" s="94"/>
      <c r="Q32" s="96"/>
      <c r="R32" s="94"/>
      <c r="S32" s="94"/>
      <c r="T32" s="94"/>
    </row>
    <row r="33" spans="1:20" s="129" customFormat="1" ht="43.5" customHeight="1" x14ac:dyDescent="0.3">
      <c r="A33" s="103" t="s">
        <v>101</v>
      </c>
      <c r="B33" s="37" t="s">
        <v>340</v>
      </c>
      <c r="C33" s="104" t="s">
        <v>103</v>
      </c>
      <c r="D33" s="104" t="s">
        <v>36</v>
      </c>
      <c r="E33" s="104"/>
      <c r="F33" s="37" t="s">
        <v>127</v>
      </c>
      <c r="G33" s="82">
        <v>1059</v>
      </c>
      <c r="H33" s="105">
        <v>1</v>
      </c>
      <c r="I33" s="105">
        <v>0</v>
      </c>
      <c r="J33" s="104">
        <v>3</v>
      </c>
      <c r="K33" s="104" t="s">
        <v>86</v>
      </c>
      <c r="L33" s="90">
        <v>43101</v>
      </c>
      <c r="M33" s="90">
        <v>43344</v>
      </c>
      <c r="N33" s="106"/>
      <c r="O33" s="140"/>
      <c r="P33" s="140"/>
      <c r="Q33" s="141"/>
      <c r="R33" s="140"/>
      <c r="S33" s="140"/>
      <c r="T33" s="140"/>
    </row>
    <row r="34" spans="1:20" s="129" customFormat="1" ht="44.25" customHeight="1" x14ac:dyDescent="0.3">
      <c r="A34" s="103" t="s">
        <v>101</v>
      </c>
      <c r="B34" s="37" t="s">
        <v>341</v>
      </c>
      <c r="C34" s="104" t="s">
        <v>103</v>
      </c>
      <c r="D34" s="104" t="s">
        <v>36</v>
      </c>
      <c r="E34" s="104"/>
      <c r="F34" s="37" t="s">
        <v>128</v>
      </c>
      <c r="G34" s="82">
        <v>1059</v>
      </c>
      <c r="H34" s="105">
        <v>1</v>
      </c>
      <c r="I34" s="105">
        <v>0</v>
      </c>
      <c r="J34" s="104">
        <v>3</v>
      </c>
      <c r="K34" s="104" t="s">
        <v>86</v>
      </c>
      <c r="L34" s="90">
        <v>43101</v>
      </c>
      <c r="M34" s="90">
        <v>43617</v>
      </c>
      <c r="N34" s="106"/>
      <c r="O34" s="140"/>
      <c r="P34" s="140"/>
      <c r="Q34" s="141"/>
      <c r="R34" s="140"/>
      <c r="S34" s="140"/>
      <c r="T34" s="140"/>
    </row>
    <row r="35" spans="1:20" s="129" customFormat="1" ht="38.25" customHeight="1" x14ac:dyDescent="0.3">
      <c r="A35" s="103" t="s">
        <v>101</v>
      </c>
      <c r="B35" s="37" t="s">
        <v>129</v>
      </c>
      <c r="C35" s="104" t="s">
        <v>103</v>
      </c>
      <c r="D35" s="104" t="s">
        <v>36</v>
      </c>
      <c r="E35" s="104"/>
      <c r="F35" s="37" t="s">
        <v>130</v>
      </c>
      <c r="G35" s="82">
        <v>7800</v>
      </c>
      <c r="H35" s="105">
        <v>1</v>
      </c>
      <c r="I35" s="105">
        <v>0</v>
      </c>
      <c r="J35" s="104">
        <v>3</v>
      </c>
      <c r="K35" s="104" t="s">
        <v>86</v>
      </c>
      <c r="L35" s="90">
        <v>43101</v>
      </c>
      <c r="M35" s="90">
        <v>43252</v>
      </c>
      <c r="N35" s="106"/>
      <c r="O35" s="140"/>
      <c r="P35" s="140"/>
      <c r="Q35" s="141"/>
      <c r="R35" s="140"/>
      <c r="S35" s="140"/>
      <c r="T35" s="140"/>
    </row>
    <row r="36" spans="1:20" ht="55.5" customHeight="1" x14ac:dyDescent="0.3">
      <c r="A36" s="62" t="s">
        <v>101</v>
      </c>
      <c r="B36" s="37" t="s">
        <v>104</v>
      </c>
      <c r="C36" s="101" t="s">
        <v>103</v>
      </c>
      <c r="D36" s="101" t="s">
        <v>32</v>
      </c>
      <c r="E36" s="101"/>
      <c r="F36" s="37" t="s">
        <v>131</v>
      </c>
      <c r="G36" s="82">
        <v>7941</v>
      </c>
      <c r="H36" s="78">
        <v>1</v>
      </c>
      <c r="I36" s="78">
        <v>0</v>
      </c>
      <c r="J36" s="101">
        <v>3</v>
      </c>
      <c r="K36" s="101" t="s">
        <v>87</v>
      </c>
      <c r="L36" s="90">
        <v>43132</v>
      </c>
      <c r="M36" s="90">
        <v>43191</v>
      </c>
      <c r="N36" s="102"/>
      <c r="O36" s="94"/>
      <c r="P36" s="94"/>
      <c r="Q36" s="96"/>
      <c r="R36" s="94"/>
      <c r="S36" s="94"/>
      <c r="T36" s="94"/>
    </row>
    <row r="37" spans="1:20" ht="42" customHeight="1" x14ac:dyDescent="0.3">
      <c r="A37" s="62" t="s">
        <v>101</v>
      </c>
      <c r="B37" s="38" t="s">
        <v>291</v>
      </c>
      <c r="C37" s="104" t="s">
        <v>142</v>
      </c>
      <c r="D37" s="104" t="s">
        <v>32</v>
      </c>
      <c r="E37" s="104"/>
      <c r="F37" s="36" t="s">
        <v>132</v>
      </c>
      <c r="G37" s="82">
        <f>56471+(3928*5-10000)+20000</f>
        <v>86111</v>
      </c>
      <c r="H37" s="105">
        <v>1</v>
      </c>
      <c r="I37" s="105">
        <v>0</v>
      </c>
      <c r="J37" s="104">
        <v>3</v>
      </c>
      <c r="K37" s="104" t="s">
        <v>86</v>
      </c>
      <c r="L37" s="90">
        <v>42248</v>
      </c>
      <c r="M37" s="90">
        <v>43739</v>
      </c>
      <c r="N37" s="102"/>
      <c r="O37" s="94"/>
      <c r="P37" s="94"/>
      <c r="Q37" s="96"/>
      <c r="R37" s="94"/>
      <c r="S37" s="94"/>
      <c r="T37" s="94"/>
    </row>
    <row r="38" spans="1:20" ht="50.25" customHeight="1" x14ac:dyDescent="0.3">
      <c r="A38" s="103" t="s">
        <v>101</v>
      </c>
      <c r="B38" s="38" t="s">
        <v>342</v>
      </c>
      <c r="C38" s="104" t="s">
        <v>103</v>
      </c>
      <c r="D38" s="104" t="s">
        <v>36</v>
      </c>
      <c r="E38" s="104"/>
      <c r="F38" s="36" t="s">
        <v>133</v>
      </c>
      <c r="G38" s="82">
        <f>70000+200000-200000</f>
        <v>70000</v>
      </c>
      <c r="H38" s="105">
        <v>1</v>
      </c>
      <c r="I38" s="105">
        <v>0</v>
      </c>
      <c r="J38" s="104">
        <v>3</v>
      </c>
      <c r="K38" s="104" t="s">
        <v>87</v>
      </c>
      <c r="L38" s="90">
        <v>42979</v>
      </c>
      <c r="M38" s="90">
        <v>43252</v>
      </c>
      <c r="N38" s="106"/>
      <c r="O38" s="94"/>
      <c r="P38" s="94"/>
      <c r="Q38" s="96"/>
      <c r="R38" s="94"/>
      <c r="S38" s="94"/>
      <c r="T38" s="94"/>
    </row>
    <row r="39" spans="1:20" ht="30.6" x14ac:dyDescent="0.3">
      <c r="A39" s="103" t="s">
        <v>101</v>
      </c>
      <c r="B39" s="38" t="s">
        <v>343</v>
      </c>
      <c r="C39" s="104" t="s">
        <v>103</v>
      </c>
      <c r="D39" s="104" t="s">
        <v>36</v>
      </c>
      <c r="E39" s="104"/>
      <c r="F39" s="36" t="s">
        <v>134</v>
      </c>
      <c r="G39" s="82">
        <f>250000+40000-61278.72-76771.67</f>
        <v>151949.60999999999</v>
      </c>
      <c r="H39" s="105">
        <v>1</v>
      </c>
      <c r="I39" s="105">
        <v>0</v>
      </c>
      <c r="J39" s="104">
        <v>3</v>
      </c>
      <c r="K39" s="104" t="s">
        <v>86</v>
      </c>
      <c r="L39" s="90">
        <v>43282</v>
      </c>
      <c r="M39" s="90">
        <v>43435</v>
      </c>
      <c r="N39" s="106"/>
      <c r="O39" s="94"/>
      <c r="P39" s="94"/>
      <c r="Q39" s="96"/>
      <c r="R39" s="94"/>
      <c r="S39" s="94"/>
      <c r="T39" s="94"/>
    </row>
    <row r="40" spans="1:20" ht="49.5" customHeight="1" x14ac:dyDescent="0.3">
      <c r="A40" s="103" t="s">
        <v>101</v>
      </c>
      <c r="B40" s="38" t="s">
        <v>343</v>
      </c>
      <c r="C40" s="104" t="s">
        <v>103</v>
      </c>
      <c r="D40" s="104" t="s">
        <v>36</v>
      </c>
      <c r="E40" s="104"/>
      <c r="F40" s="36" t="s">
        <v>135</v>
      </c>
      <c r="G40" s="82">
        <f>53299+25000-3000-7315+30000+2016-10085.04</f>
        <v>89914.959999999992</v>
      </c>
      <c r="H40" s="105">
        <v>1</v>
      </c>
      <c r="I40" s="105">
        <v>0</v>
      </c>
      <c r="J40" s="104">
        <v>3</v>
      </c>
      <c r="K40" s="104" t="s">
        <v>87</v>
      </c>
      <c r="L40" s="90">
        <v>43405</v>
      </c>
      <c r="M40" s="90">
        <v>43617</v>
      </c>
      <c r="N40" s="106"/>
      <c r="O40" s="94"/>
      <c r="P40" s="94"/>
      <c r="Q40" s="96"/>
      <c r="R40" s="94"/>
      <c r="S40" s="94"/>
      <c r="T40" s="94"/>
    </row>
    <row r="41" spans="1:20" ht="49.5" customHeight="1" x14ac:dyDescent="0.3">
      <c r="A41" s="103" t="s">
        <v>101</v>
      </c>
      <c r="B41" s="38" t="s">
        <v>344</v>
      </c>
      <c r="C41" s="104" t="s">
        <v>103</v>
      </c>
      <c r="D41" s="104" t="s">
        <v>32</v>
      </c>
      <c r="E41" s="104"/>
      <c r="F41" s="36" t="s">
        <v>238</v>
      </c>
      <c r="G41" s="82">
        <v>10000</v>
      </c>
      <c r="H41" s="105">
        <v>1</v>
      </c>
      <c r="I41" s="105">
        <v>0</v>
      </c>
      <c r="J41" s="104">
        <v>3</v>
      </c>
      <c r="K41" s="104" t="s">
        <v>86</v>
      </c>
      <c r="L41" s="90">
        <v>42979</v>
      </c>
      <c r="M41" s="90">
        <v>43313</v>
      </c>
      <c r="N41" s="106"/>
      <c r="O41" s="94"/>
      <c r="P41" s="94"/>
      <c r="Q41" s="96"/>
      <c r="R41" s="94"/>
      <c r="S41" s="94"/>
      <c r="T41" s="94"/>
    </row>
    <row r="42" spans="1:20" ht="50.25" customHeight="1" x14ac:dyDescent="0.3">
      <c r="A42" s="62" t="s">
        <v>101</v>
      </c>
      <c r="B42" s="37" t="s">
        <v>345</v>
      </c>
      <c r="C42" s="104" t="s">
        <v>103</v>
      </c>
      <c r="D42" s="104" t="s">
        <v>36</v>
      </c>
      <c r="E42" s="104"/>
      <c r="F42" s="38" t="s">
        <v>137</v>
      </c>
      <c r="G42" s="85">
        <v>18391</v>
      </c>
      <c r="H42" s="105">
        <v>1</v>
      </c>
      <c r="I42" s="105">
        <v>0</v>
      </c>
      <c r="J42" s="104">
        <v>3</v>
      </c>
      <c r="K42" s="104" t="s">
        <v>87</v>
      </c>
      <c r="L42" s="90">
        <v>42979</v>
      </c>
      <c r="M42" s="90">
        <v>43070</v>
      </c>
      <c r="N42" s="102"/>
      <c r="O42" s="94"/>
      <c r="P42" s="94"/>
      <c r="Q42" s="96"/>
      <c r="R42" s="94"/>
      <c r="S42" s="94"/>
      <c r="T42" s="94"/>
    </row>
    <row r="43" spans="1:20" ht="56.25" customHeight="1" x14ac:dyDescent="0.3">
      <c r="A43" s="110" t="s">
        <v>101</v>
      </c>
      <c r="B43" s="37" t="s">
        <v>346</v>
      </c>
      <c r="C43" s="111" t="s">
        <v>103</v>
      </c>
      <c r="D43" s="111" t="s">
        <v>32</v>
      </c>
      <c r="E43" s="111"/>
      <c r="F43" s="37" t="s">
        <v>257</v>
      </c>
      <c r="G43" s="86">
        <v>770</v>
      </c>
      <c r="H43" s="112">
        <v>1</v>
      </c>
      <c r="I43" s="112">
        <v>0</v>
      </c>
      <c r="J43" s="111">
        <v>3</v>
      </c>
      <c r="K43" s="119" t="s">
        <v>86</v>
      </c>
      <c r="L43" s="88">
        <v>42979</v>
      </c>
      <c r="M43" s="88">
        <v>43070</v>
      </c>
      <c r="N43" s="113"/>
      <c r="O43" s="94"/>
      <c r="P43" s="94"/>
      <c r="Q43" s="96"/>
      <c r="R43" s="94"/>
      <c r="S43" s="94"/>
      <c r="T43" s="94"/>
    </row>
    <row r="44" spans="1:20" ht="51.75" customHeight="1" x14ac:dyDescent="0.3">
      <c r="A44" s="103" t="s">
        <v>101</v>
      </c>
      <c r="B44" s="142" t="s">
        <v>245</v>
      </c>
      <c r="C44" s="104" t="s">
        <v>103</v>
      </c>
      <c r="D44" s="104" t="s">
        <v>36</v>
      </c>
      <c r="E44" s="104"/>
      <c r="F44" s="37" t="s">
        <v>241</v>
      </c>
      <c r="G44" s="81">
        <f>3000-510</f>
        <v>2490</v>
      </c>
      <c r="H44" s="105">
        <v>1</v>
      </c>
      <c r="I44" s="105">
        <v>0</v>
      </c>
      <c r="J44" s="104">
        <v>4</v>
      </c>
      <c r="K44" s="104" t="s">
        <v>86</v>
      </c>
      <c r="L44" s="88">
        <v>43101</v>
      </c>
      <c r="M44" s="88">
        <v>43435</v>
      </c>
      <c r="N44" s="102"/>
      <c r="O44" s="94"/>
      <c r="P44" s="94"/>
      <c r="Q44" s="96"/>
      <c r="R44" s="94"/>
      <c r="S44" s="94"/>
      <c r="T44" s="94"/>
    </row>
    <row r="45" spans="1:20" ht="52.5" customHeight="1" x14ac:dyDescent="0.3">
      <c r="A45" s="103" t="s">
        <v>101</v>
      </c>
      <c r="B45" s="38" t="s">
        <v>108</v>
      </c>
      <c r="C45" s="104" t="s">
        <v>141</v>
      </c>
      <c r="D45" s="104" t="s">
        <v>36</v>
      </c>
      <c r="E45" s="104"/>
      <c r="F45" s="36" t="s">
        <v>109</v>
      </c>
      <c r="G45" s="82">
        <f>34000+7315</f>
        <v>41315</v>
      </c>
      <c r="H45" s="105">
        <v>1</v>
      </c>
      <c r="I45" s="105">
        <v>0</v>
      </c>
      <c r="J45" s="104">
        <v>3</v>
      </c>
      <c r="K45" s="104" t="s">
        <v>87</v>
      </c>
      <c r="L45" s="90">
        <v>42125</v>
      </c>
      <c r="M45" s="90">
        <v>42248</v>
      </c>
      <c r="N45" s="102"/>
      <c r="O45" s="94"/>
      <c r="P45" s="94"/>
      <c r="Q45" s="96"/>
      <c r="R45" s="94"/>
      <c r="S45" s="94"/>
      <c r="T45" s="94"/>
    </row>
    <row r="46" spans="1:20" ht="39" customHeight="1" x14ac:dyDescent="0.3">
      <c r="A46" s="103" t="s">
        <v>101</v>
      </c>
      <c r="B46" s="142" t="s">
        <v>110</v>
      </c>
      <c r="C46" s="104" t="s">
        <v>141</v>
      </c>
      <c r="D46" s="104" t="s">
        <v>36</v>
      </c>
      <c r="E46" s="104"/>
      <c r="F46" s="37" t="s">
        <v>111</v>
      </c>
      <c r="G46" s="82">
        <f>14000-5000</f>
        <v>9000</v>
      </c>
      <c r="H46" s="105">
        <v>1</v>
      </c>
      <c r="I46" s="105">
        <v>0</v>
      </c>
      <c r="J46" s="104">
        <v>4</v>
      </c>
      <c r="K46" s="104" t="s">
        <v>87</v>
      </c>
      <c r="L46" s="143">
        <v>42309</v>
      </c>
      <c r="M46" s="143">
        <v>42948</v>
      </c>
      <c r="N46" s="106"/>
      <c r="O46" s="94"/>
      <c r="P46" s="94"/>
      <c r="Q46" s="96"/>
      <c r="R46" s="94"/>
      <c r="S46" s="94"/>
      <c r="T46" s="94"/>
    </row>
    <row r="47" spans="1:20" ht="39" customHeight="1" x14ac:dyDescent="0.3">
      <c r="A47" s="103" t="s">
        <v>101</v>
      </c>
      <c r="B47" s="142" t="s">
        <v>275</v>
      </c>
      <c r="C47" s="104" t="s">
        <v>141</v>
      </c>
      <c r="D47" s="104" t="s">
        <v>36</v>
      </c>
      <c r="E47" s="104"/>
      <c r="F47" s="144" t="s">
        <v>273</v>
      </c>
      <c r="G47" s="81">
        <f>5000+4040.69</f>
        <v>9040.69</v>
      </c>
      <c r="H47" s="105">
        <v>1</v>
      </c>
      <c r="I47" s="105">
        <v>0</v>
      </c>
      <c r="J47" s="104">
        <v>5</v>
      </c>
      <c r="K47" s="104" t="s">
        <v>87</v>
      </c>
      <c r="L47" s="143">
        <v>42309</v>
      </c>
      <c r="M47" s="143">
        <v>42948</v>
      </c>
      <c r="N47" s="106"/>
      <c r="O47" s="94"/>
      <c r="P47" s="94"/>
      <c r="Q47" s="96"/>
      <c r="R47" s="94"/>
      <c r="S47" s="94"/>
      <c r="T47" s="94"/>
    </row>
    <row r="48" spans="1:20" ht="46.5" customHeight="1" x14ac:dyDescent="0.3">
      <c r="A48" s="62" t="s">
        <v>101</v>
      </c>
      <c r="B48" s="107" t="s">
        <v>240</v>
      </c>
      <c r="C48" s="101" t="s">
        <v>141</v>
      </c>
      <c r="D48" s="101" t="s">
        <v>36</v>
      </c>
      <c r="E48" s="101"/>
      <c r="F48" s="71" t="s">
        <v>112</v>
      </c>
      <c r="G48" s="84">
        <f>5207-3207</f>
        <v>2000</v>
      </c>
      <c r="H48" s="78">
        <v>1</v>
      </c>
      <c r="I48" s="78">
        <v>0</v>
      </c>
      <c r="J48" s="101">
        <v>4</v>
      </c>
      <c r="K48" s="101" t="s">
        <v>86</v>
      </c>
      <c r="L48" s="88">
        <v>42339</v>
      </c>
      <c r="M48" s="88">
        <v>42705</v>
      </c>
      <c r="N48" s="102"/>
      <c r="O48" s="94"/>
      <c r="P48" s="94"/>
      <c r="Q48" s="96"/>
      <c r="R48" s="94"/>
      <c r="S48" s="94"/>
      <c r="T48" s="94"/>
    </row>
    <row r="49" spans="1:20" ht="50.25" customHeight="1" x14ac:dyDescent="0.2">
      <c r="A49" s="62" t="s">
        <v>101</v>
      </c>
      <c r="B49" s="37" t="s">
        <v>136</v>
      </c>
      <c r="C49" s="101" t="s">
        <v>141</v>
      </c>
      <c r="D49" s="101" t="s">
        <v>36</v>
      </c>
      <c r="E49" s="101"/>
      <c r="F49" s="38" t="s">
        <v>137</v>
      </c>
      <c r="G49" s="72">
        <v>14643</v>
      </c>
      <c r="H49" s="78">
        <v>1</v>
      </c>
      <c r="I49" s="78">
        <v>0</v>
      </c>
      <c r="J49" s="101">
        <v>3</v>
      </c>
      <c r="K49" s="101" t="s">
        <v>87</v>
      </c>
      <c r="L49" s="90">
        <v>42095</v>
      </c>
      <c r="M49" s="90">
        <v>42339</v>
      </c>
      <c r="N49" s="102"/>
      <c r="O49" s="94"/>
      <c r="P49" s="94"/>
      <c r="Q49" s="96"/>
      <c r="R49" s="94"/>
      <c r="S49" s="94"/>
      <c r="T49" s="94"/>
    </row>
    <row r="50" spans="1:20" ht="53.25" customHeight="1" x14ac:dyDescent="0.3">
      <c r="A50" s="62" t="s">
        <v>101</v>
      </c>
      <c r="B50" s="37" t="s">
        <v>138</v>
      </c>
      <c r="C50" s="104" t="s">
        <v>141</v>
      </c>
      <c r="D50" s="104" t="s">
        <v>36</v>
      </c>
      <c r="E50" s="104"/>
      <c r="F50" s="36" t="s">
        <v>139</v>
      </c>
      <c r="G50" s="82">
        <f>350000/116</f>
        <v>3017.2413793103447</v>
      </c>
      <c r="H50" s="105">
        <v>1</v>
      </c>
      <c r="I50" s="105">
        <v>0</v>
      </c>
      <c r="J50" s="104">
        <v>3</v>
      </c>
      <c r="K50" s="104" t="s">
        <v>86</v>
      </c>
      <c r="L50" s="90">
        <v>42125</v>
      </c>
      <c r="M50" s="90">
        <v>42705</v>
      </c>
      <c r="N50" s="102"/>
      <c r="O50" s="94"/>
      <c r="P50" s="94"/>
      <c r="Q50" s="96"/>
      <c r="R50" s="94"/>
      <c r="S50" s="94"/>
      <c r="T50" s="94"/>
    </row>
    <row r="51" spans="1:20" ht="56.25" customHeight="1" x14ac:dyDescent="0.3">
      <c r="A51" s="62" t="s">
        <v>101</v>
      </c>
      <c r="B51" s="37" t="s">
        <v>140</v>
      </c>
      <c r="C51" s="104" t="s">
        <v>141</v>
      </c>
      <c r="D51" s="104" t="s">
        <v>32</v>
      </c>
      <c r="E51" s="104"/>
      <c r="F51" s="37" t="s">
        <v>239</v>
      </c>
      <c r="G51" s="86">
        <f>2000000/116-0.38+25000</f>
        <v>42240.999310344821</v>
      </c>
      <c r="H51" s="105">
        <v>1</v>
      </c>
      <c r="I51" s="105">
        <v>0</v>
      </c>
      <c r="J51" s="104">
        <v>3</v>
      </c>
      <c r="K51" s="104" t="s">
        <v>87</v>
      </c>
      <c r="L51" s="88">
        <v>42309</v>
      </c>
      <c r="M51" s="88">
        <v>42675</v>
      </c>
      <c r="N51" s="102"/>
      <c r="O51" s="94"/>
      <c r="P51" s="94"/>
      <c r="Q51" s="96"/>
      <c r="R51" s="94"/>
      <c r="S51" s="94"/>
      <c r="T51" s="94"/>
    </row>
    <row r="52" spans="1:20" ht="16.5" customHeight="1" thickBot="1" x14ac:dyDescent="0.35">
      <c r="A52" s="99"/>
      <c r="B52" s="76"/>
      <c r="C52" s="76"/>
      <c r="D52" s="76"/>
      <c r="E52" s="76"/>
      <c r="F52" s="76"/>
      <c r="G52" s="76"/>
      <c r="H52" s="76"/>
      <c r="I52" s="76"/>
      <c r="J52" s="76"/>
      <c r="K52" s="76"/>
      <c r="L52" s="76"/>
      <c r="M52" s="76"/>
      <c r="N52" s="100"/>
      <c r="O52" s="94"/>
      <c r="P52" s="94"/>
      <c r="Q52" s="96" t="s">
        <v>32</v>
      </c>
      <c r="R52" s="94"/>
      <c r="S52" s="94"/>
      <c r="T52" s="94"/>
    </row>
    <row r="53" spans="1:20" ht="24.75" customHeight="1" thickBot="1" x14ac:dyDescent="0.35">
      <c r="G53" s="87">
        <f>SUM(G15:G52)</f>
        <v>1082378.5006896551</v>
      </c>
      <c r="Q53" s="96" t="s">
        <v>89</v>
      </c>
    </row>
    <row r="54" spans="1:20" ht="32.25" customHeight="1" x14ac:dyDescent="0.3">
      <c r="A54" s="200" t="s">
        <v>6</v>
      </c>
      <c r="B54" s="201"/>
      <c r="C54" s="201"/>
      <c r="D54" s="201"/>
      <c r="E54" s="201"/>
      <c r="F54" s="201"/>
      <c r="G54" s="201"/>
      <c r="H54" s="201"/>
      <c r="I54" s="201"/>
      <c r="J54" s="201"/>
      <c r="K54" s="201"/>
      <c r="L54" s="201"/>
      <c r="M54" s="201"/>
      <c r="N54" s="202"/>
      <c r="Q54" s="96" t="s">
        <v>95</v>
      </c>
    </row>
    <row r="55" spans="1:20" ht="15" customHeight="1" x14ac:dyDescent="0.3">
      <c r="A55" s="189" t="s">
        <v>3</v>
      </c>
      <c r="B55" s="190" t="s">
        <v>10</v>
      </c>
      <c r="C55" s="190" t="s">
        <v>11</v>
      </c>
      <c r="D55" s="191" t="s">
        <v>12</v>
      </c>
      <c r="E55" s="190" t="s">
        <v>13</v>
      </c>
      <c r="F55" s="191" t="s">
        <v>14</v>
      </c>
      <c r="G55" s="193" t="s">
        <v>96</v>
      </c>
      <c r="H55" s="194"/>
      <c r="I55" s="195"/>
      <c r="J55" s="190" t="s">
        <v>15</v>
      </c>
      <c r="K55" s="191" t="s">
        <v>88</v>
      </c>
      <c r="L55" s="190" t="s">
        <v>19</v>
      </c>
      <c r="M55" s="190"/>
      <c r="N55" s="196" t="s">
        <v>91</v>
      </c>
      <c r="Q55" s="96" t="s">
        <v>35</v>
      </c>
    </row>
    <row r="56" spans="1:20" ht="25.5" customHeight="1" x14ac:dyDescent="0.3">
      <c r="A56" s="189"/>
      <c r="B56" s="190"/>
      <c r="C56" s="190"/>
      <c r="D56" s="192"/>
      <c r="E56" s="190"/>
      <c r="F56" s="203"/>
      <c r="G56" s="74" t="s">
        <v>92</v>
      </c>
      <c r="H56" s="73" t="s">
        <v>93</v>
      </c>
      <c r="I56" s="73" t="s">
        <v>94</v>
      </c>
      <c r="J56" s="190"/>
      <c r="K56" s="192"/>
      <c r="L56" s="73" t="s">
        <v>20</v>
      </c>
      <c r="M56" s="73" t="s">
        <v>17</v>
      </c>
      <c r="N56" s="196"/>
      <c r="Q56" s="96" t="s">
        <v>97</v>
      </c>
    </row>
    <row r="57" spans="1:20" x14ac:dyDescent="0.3">
      <c r="A57" s="97"/>
      <c r="B57" s="75"/>
      <c r="C57" s="75"/>
      <c r="D57" s="75"/>
      <c r="E57" s="75"/>
      <c r="F57" s="75"/>
      <c r="G57" s="75"/>
      <c r="H57" s="75"/>
      <c r="I57" s="75"/>
      <c r="J57" s="75"/>
      <c r="K57" s="75"/>
      <c r="L57" s="75"/>
      <c r="M57" s="75"/>
      <c r="N57" s="98"/>
      <c r="Q57" s="95" t="s">
        <v>98</v>
      </c>
    </row>
    <row r="58" spans="1:20" s="129" customFormat="1" ht="50.25" customHeight="1" x14ac:dyDescent="0.3">
      <c r="A58" s="103" t="s">
        <v>101</v>
      </c>
      <c r="B58" s="119" t="s">
        <v>263</v>
      </c>
      <c r="C58" s="104" t="s">
        <v>103</v>
      </c>
      <c r="D58" s="104" t="s">
        <v>36</v>
      </c>
      <c r="E58" s="145"/>
      <c r="F58" s="119" t="s">
        <v>261</v>
      </c>
      <c r="G58" s="119">
        <v>1000</v>
      </c>
      <c r="H58" s="105">
        <v>1</v>
      </c>
      <c r="I58" s="105">
        <v>0</v>
      </c>
      <c r="J58" s="145">
        <v>1</v>
      </c>
      <c r="K58" s="104" t="s">
        <v>86</v>
      </c>
      <c r="L58" s="59">
        <v>43009</v>
      </c>
      <c r="M58" s="59">
        <v>43009</v>
      </c>
      <c r="N58" s="146"/>
      <c r="Q58" s="147"/>
    </row>
    <row r="59" spans="1:20" s="129" customFormat="1" ht="69.599999999999994" customHeight="1" x14ac:dyDescent="0.3">
      <c r="A59" s="103" t="s">
        <v>101</v>
      </c>
      <c r="B59" s="34" t="s">
        <v>347</v>
      </c>
      <c r="C59" s="104" t="s">
        <v>142</v>
      </c>
      <c r="D59" s="104" t="s">
        <v>32</v>
      </c>
      <c r="E59" s="104"/>
      <c r="F59" s="34" t="s">
        <v>175</v>
      </c>
      <c r="G59" s="81">
        <f>600+1200</f>
        <v>1800</v>
      </c>
      <c r="H59" s="105">
        <v>1</v>
      </c>
      <c r="I59" s="105">
        <v>0</v>
      </c>
      <c r="J59" s="104" t="s">
        <v>360</v>
      </c>
      <c r="K59" s="104" t="s">
        <v>87</v>
      </c>
      <c r="L59" s="90">
        <v>42948</v>
      </c>
      <c r="M59" s="90">
        <v>42948</v>
      </c>
      <c r="N59" s="106"/>
      <c r="Q59" s="147"/>
    </row>
    <row r="60" spans="1:20" s="129" customFormat="1" ht="47.4" customHeight="1" x14ac:dyDescent="0.3">
      <c r="A60" s="103" t="s">
        <v>101</v>
      </c>
      <c r="B60" s="34" t="s">
        <v>348</v>
      </c>
      <c r="C60" s="104" t="s">
        <v>103</v>
      </c>
      <c r="D60" s="104" t="s">
        <v>36</v>
      </c>
      <c r="E60" s="104"/>
      <c r="F60" s="35" t="s">
        <v>176</v>
      </c>
      <c r="G60" s="82">
        <f>5000-500-2000</f>
        <v>2500</v>
      </c>
      <c r="H60" s="105">
        <v>1</v>
      </c>
      <c r="I60" s="105">
        <v>0</v>
      </c>
      <c r="J60" s="104">
        <v>1</v>
      </c>
      <c r="K60" s="104" t="s">
        <v>86</v>
      </c>
      <c r="L60" s="59">
        <v>43132</v>
      </c>
      <c r="M60" s="59">
        <v>43252</v>
      </c>
      <c r="N60" s="106"/>
      <c r="Q60" s="147"/>
    </row>
    <row r="61" spans="1:20" ht="47.4" customHeight="1" x14ac:dyDescent="0.3">
      <c r="A61" s="103" t="s">
        <v>101</v>
      </c>
      <c r="B61" s="34" t="s">
        <v>230</v>
      </c>
      <c r="C61" s="104" t="s">
        <v>103</v>
      </c>
      <c r="D61" s="104" t="s">
        <v>32</v>
      </c>
      <c r="E61" s="104"/>
      <c r="F61" s="35" t="s">
        <v>229</v>
      </c>
      <c r="G61" s="82">
        <v>1200</v>
      </c>
      <c r="H61" s="105">
        <v>1</v>
      </c>
      <c r="I61" s="105">
        <v>0</v>
      </c>
      <c r="J61" s="104">
        <v>1</v>
      </c>
      <c r="K61" s="104" t="s">
        <v>87</v>
      </c>
      <c r="L61" s="59">
        <v>43497</v>
      </c>
      <c r="M61" s="59">
        <v>43525</v>
      </c>
      <c r="N61" s="102"/>
      <c r="Q61" s="95"/>
    </row>
    <row r="62" spans="1:20" ht="60.75" customHeight="1" x14ac:dyDescent="0.3">
      <c r="A62" s="103" t="s">
        <v>101</v>
      </c>
      <c r="B62" s="34" t="s">
        <v>349</v>
      </c>
      <c r="C62" s="101" t="s">
        <v>103</v>
      </c>
      <c r="D62" s="101" t="s">
        <v>36</v>
      </c>
      <c r="E62" s="101"/>
      <c r="F62" s="35" t="s">
        <v>232</v>
      </c>
      <c r="G62" s="82">
        <f>10000-1000-1400+600</f>
        <v>8200</v>
      </c>
      <c r="H62" s="78">
        <v>1</v>
      </c>
      <c r="I62" s="78">
        <v>0</v>
      </c>
      <c r="J62" s="101">
        <v>1</v>
      </c>
      <c r="K62" s="101" t="s">
        <v>86</v>
      </c>
      <c r="L62" s="90">
        <v>43040</v>
      </c>
      <c r="M62" s="90">
        <v>43070</v>
      </c>
      <c r="N62" s="102"/>
      <c r="Q62" s="95"/>
    </row>
    <row r="63" spans="1:20" ht="39.75" customHeight="1" x14ac:dyDescent="0.3">
      <c r="A63" s="103" t="s">
        <v>101</v>
      </c>
      <c r="B63" s="34" t="s">
        <v>350</v>
      </c>
      <c r="C63" s="101" t="s">
        <v>103</v>
      </c>
      <c r="D63" s="101" t="s">
        <v>36</v>
      </c>
      <c r="E63" s="101"/>
      <c r="F63" s="36" t="s">
        <v>233</v>
      </c>
      <c r="G63" s="82">
        <v>9200</v>
      </c>
      <c r="H63" s="78">
        <v>1</v>
      </c>
      <c r="I63" s="78">
        <v>0</v>
      </c>
      <c r="J63" s="101">
        <v>1</v>
      </c>
      <c r="K63" s="101" t="s">
        <v>86</v>
      </c>
      <c r="L63" s="59">
        <v>43132</v>
      </c>
      <c r="M63" s="59">
        <v>43191</v>
      </c>
      <c r="N63" s="102"/>
      <c r="Q63" s="95"/>
    </row>
    <row r="64" spans="1:20" ht="66.75" customHeight="1" x14ac:dyDescent="0.3">
      <c r="A64" s="103" t="s">
        <v>101</v>
      </c>
      <c r="B64" s="34" t="s">
        <v>323</v>
      </c>
      <c r="C64" s="101" t="s">
        <v>142</v>
      </c>
      <c r="D64" s="114" t="s">
        <v>32</v>
      </c>
      <c r="E64" s="101"/>
      <c r="F64" s="64" t="s">
        <v>271</v>
      </c>
      <c r="G64" s="82">
        <f>1200+700+1200-1200</f>
        <v>1900</v>
      </c>
      <c r="H64" s="78">
        <v>1</v>
      </c>
      <c r="I64" s="78">
        <v>0</v>
      </c>
      <c r="J64" s="101">
        <v>1</v>
      </c>
      <c r="K64" s="101" t="s">
        <v>87</v>
      </c>
      <c r="L64" s="148">
        <v>42979</v>
      </c>
      <c r="M64" s="148">
        <v>43070</v>
      </c>
      <c r="N64" s="102"/>
      <c r="Q64" s="95"/>
    </row>
    <row r="65" spans="1:28" ht="63" customHeight="1" x14ac:dyDescent="0.3">
      <c r="A65" s="103" t="s">
        <v>101</v>
      </c>
      <c r="B65" s="108" t="s">
        <v>354</v>
      </c>
      <c r="C65" s="101" t="s">
        <v>103</v>
      </c>
      <c r="D65" s="114" t="s">
        <v>32</v>
      </c>
      <c r="E65" s="101"/>
      <c r="F65" s="64" t="s">
        <v>353</v>
      </c>
      <c r="G65" s="82">
        <v>1200</v>
      </c>
      <c r="H65" s="78">
        <v>1</v>
      </c>
      <c r="I65" s="78">
        <v>0</v>
      </c>
      <c r="J65" s="101">
        <v>3</v>
      </c>
      <c r="K65" s="101" t="s">
        <v>87</v>
      </c>
      <c r="L65" s="148">
        <v>43040</v>
      </c>
      <c r="M65" s="148">
        <v>43070</v>
      </c>
      <c r="N65" s="102"/>
      <c r="Q65" s="95"/>
    </row>
    <row r="66" spans="1:28" ht="33" customHeight="1" x14ac:dyDescent="0.3">
      <c r="A66" s="103" t="s">
        <v>101</v>
      </c>
      <c r="B66" s="37" t="s">
        <v>244</v>
      </c>
      <c r="C66" s="101" t="s">
        <v>103</v>
      </c>
      <c r="D66" s="101" t="s">
        <v>32</v>
      </c>
      <c r="E66" s="101"/>
      <c r="F66" s="37" t="s">
        <v>242</v>
      </c>
      <c r="G66" s="82">
        <v>1000</v>
      </c>
      <c r="H66" s="78">
        <v>1</v>
      </c>
      <c r="I66" s="78">
        <v>0</v>
      </c>
      <c r="J66" s="101">
        <v>4</v>
      </c>
      <c r="K66" s="101" t="s">
        <v>86</v>
      </c>
      <c r="L66" s="151">
        <v>43101</v>
      </c>
      <c r="M66" s="151">
        <v>43435</v>
      </c>
      <c r="N66" s="102"/>
      <c r="Q66" s="95"/>
    </row>
    <row r="67" spans="1:28" ht="30" customHeight="1" x14ac:dyDescent="0.3">
      <c r="A67" s="103" t="s">
        <v>101</v>
      </c>
      <c r="B67" s="37" t="s">
        <v>178</v>
      </c>
      <c r="C67" s="101" t="s">
        <v>103</v>
      </c>
      <c r="D67" s="101" t="s">
        <v>36</v>
      </c>
      <c r="E67" s="101"/>
      <c r="F67" s="37" t="s">
        <v>243</v>
      </c>
      <c r="G67" s="82">
        <v>510</v>
      </c>
      <c r="H67" s="78">
        <v>1</v>
      </c>
      <c r="I67" s="78">
        <v>0</v>
      </c>
      <c r="J67" s="101">
        <v>4</v>
      </c>
      <c r="K67" s="101" t="s">
        <v>86</v>
      </c>
      <c r="L67" s="151">
        <v>43101</v>
      </c>
      <c r="M67" s="151">
        <v>43617</v>
      </c>
      <c r="N67" s="102"/>
      <c r="Q67" s="95"/>
    </row>
    <row r="68" spans="1:28" ht="65.25" customHeight="1" x14ac:dyDescent="0.3">
      <c r="A68" s="103" t="s">
        <v>101</v>
      </c>
      <c r="B68" s="34" t="s">
        <v>351</v>
      </c>
      <c r="C68" s="101" t="s">
        <v>103</v>
      </c>
      <c r="D68" s="101" t="s">
        <v>36</v>
      </c>
      <c r="E68" s="101"/>
      <c r="F68" s="41" t="s">
        <v>177</v>
      </c>
      <c r="G68" s="82">
        <v>5000</v>
      </c>
      <c r="H68" s="78">
        <v>1</v>
      </c>
      <c r="I68" s="78">
        <v>0</v>
      </c>
      <c r="J68" s="101">
        <v>1</v>
      </c>
      <c r="K68" s="101" t="s">
        <v>86</v>
      </c>
      <c r="L68" s="148">
        <v>43252</v>
      </c>
      <c r="M68" s="148">
        <v>43282</v>
      </c>
      <c r="N68" s="102"/>
      <c r="Q68" s="95"/>
    </row>
    <row r="69" spans="1:28" ht="55.5" customHeight="1" x14ac:dyDescent="0.3">
      <c r="A69" s="103" t="s">
        <v>101</v>
      </c>
      <c r="B69" s="34" t="s">
        <v>267</v>
      </c>
      <c r="C69" s="101" t="s">
        <v>142</v>
      </c>
      <c r="D69" s="101" t="s">
        <v>36</v>
      </c>
      <c r="E69" s="101"/>
      <c r="F69" s="37" t="s">
        <v>227</v>
      </c>
      <c r="G69" s="82">
        <f>9000-3900</f>
        <v>5100</v>
      </c>
      <c r="H69" s="78">
        <v>1</v>
      </c>
      <c r="I69" s="78">
        <v>0</v>
      </c>
      <c r="J69" s="101">
        <v>1</v>
      </c>
      <c r="K69" s="101" t="s">
        <v>86</v>
      </c>
      <c r="L69" s="59">
        <v>42552</v>
      </c>
      <c r="M69" s="59">
        <v>43678</v>
      </c>
      <c r="N69" s="102"/>
      <c r="Q69" s="95"/>
    </row>
    <row r="70" spans="1:28" s="149" customFormat="1" ht="65.25" customHeight="1" x14ac:dyDescent="0.3">
      <c r="A70" s="62" t="s">
        <v>101</v>
      </c>
      <c r="B70" s="108" t="s">
        <v>313</v>
      </c>
      <c r="C70" s="101" t="s">
        <v>142</v>
      </c>
      <c r="D70" s="101" t="s">
        <v>32</v>
      </c>
      <c r="E70" s="101"/>
      <c r="F70" s="70" t="s">
        <v>314</v>
      </c>
      <c r="G70" s="84">
        <v>3900</v>
      </c>
      <c r="H70" s="78">
        <v>1</v>
      </c>
      <c r="I70" s="78">
        <v>0</v>
      </c>
      <c r="J70" s="101">
        <v>1</v>
      </c>
      <c r="K70" s="101" t="s">
        <v>87</v>
      </c>
      <c r="L70" s="148">
        <v>42917</v>
      </c>
      <c r="M70" s="148">
        <v>42948</v>
      </c>
      <c r="N70" s="102"/>
      <c r="Q70" s="150"/>
    </row>
    <row r="71" spans="1:28" ht="47.25" customHeight="1" x14ac:dyDescent="0.3">
      <c r="A71" s="103" t="s">
        <v>101</v>
      </c>
      <c r="B71" s="109" t="s">
        <v>352</v>
      </c>
      <c r="C71" s="101" t="s">
        <v>103</v>
      </c>
      <c r="D71" s="101" t="s">
        <v>32</v>
      </c>
      <c r="E71" s="101"/>
      <c r="F71" s="41" t="s">
        <v>269</v>
      </c>
      <c r="G71" s="82">
        <v>4000</v>
      </c>
      <c r="H71" s="78">
        <v>1</v>
      </c>
      <c r="I71" s="78">
        <v>0</v>
      </c>
      <c r="J71" s="101">
        <v>1</v>
      </c>
      <c r="K71" s="101" t="s">
        <v>86</v>
      </c>
      <c r="L71" s="151">
        <v>43009</v>
      </c>
      <c r="M71" s="90">
        <v>43678</v>
      </c>
      <c r="N71" s="102"/>
      <c r="Q71" s="95"/>
    </row>
    <row r="72" spans="1:28" ht="37.5" customHeight="1" x14ac:dyDescent="0.3">
      <c r="A72" s="62" t="s">
        <v>101</v>
      </c>
      <c r="B72" s="109" t="s">
        <v>181</v>
      </c>
      <c r="C72" s="101" t="s">
        <v>103</v>
      </c>
      <c r="D72" s="101" t="s">
        <v>36</v>
      </c>
      <c r="E72" s="101"/>
      <c r="F72" s="41" t="s">
        <v>182</v>
      </c>
      <c r="G72" s="84">
        <f>6250-625-250-1000</f>
        <v>4375</v>
      </c>
      <c r="H72" s="78">
        <v>1</v>
      </c>
      <c r="I72" s="78">
        <v>0</v>
      </c>
      <c r="J72" s="101">
        <v>2</v>
      </c>
      <c r="K72" s="101" t="s">
        <v>86</v>
      </c>
      <c r="L72" s="59">
        <v>43191</v>
      </c>
      <c r="M72" s="59">
        <v>43252</v>
      </c>
      <c r="N72" s="102"/>
      <c r="Q72" s="95"/>
    </row>
    <row r="73" spans="1:28" ht="43.5" customHeight="1" x14ac:dyDescent="0.3">
      <c r="A73" s="62" t="s">
        <v>101</v>
      </c>
      <c r="B73" s="109" t="s">
        <v>186</v>
      </c>
      <c r="C73" s="101" t="s">
        <v>103</v>
      </c>
      <c r="D73" s="101" t="s">
        <v>36</v>
      </c>
      <c r="E73" s="101"/>
      <c r="F73" s="41" t="s">
        <v>183</v>
      </c>
      <c r="G73" s="84">
        <f>6250-625-250-1000</f>
        <v>4375</v>
      </c>
      <c r="H73" s="78">
        <v>1</v>
      </c>
      <c r="I73" s="78">
        <v>0</v>
      </c>
      <c r="J73" s="101">
        <v>2</v>
      </c>
      <c r="K73" s="101" t="s">
        <v>86</v>
      </c>
      <c r="L73" s="59">
        <v>43282</v>
      </c>
      <c r="M73" s="59">
        <v>43344</v>
      </c>
      <c r="N73" s="102"/>
      <c r="Q73" s="95"/>
    </row>
    <row r="74" spans="1:28" ht="36.75" customHeight="1" x14ac:dyDescent="0.3">
      <c r="A74" s="62" t="s">
        <v>101</v>
      </c>
      <c r="B74" s="109" t="s">
        <v>187</v>
      </c>
      <c r="C74" s="101" t="s">
        <v>103</v>
      </c>
      <c r="D74" s="101" t="s">
        <v>36</v>
      </c>
      <c r="E74" s="101"/>
      <c r="F74" s="41" t="s">
        <v>184</v>
      </c>
      <c r="G74" s="84">
        <f>6250-625-250-1000</f>
        <v>4375</v>
      </c>
      <c r="H74" s="78">
        <v>1</v>
      </c>
      <c r="I74" s="78">
        <v>0</v>
      </c>
      <c r="J74" s="101">
        <v>2</v>
      </c>
      <c r="K74" s="101" t="s">
        <v>86</v>
      </c>
      <c r="L74" s="59">
        <v>43466</v>
      </c>
      <c r="M74" s="59">
        <v>43525</v>
      </c>
      <c r="N74" s="102"/>
      <c r="Q74" s="95"/>
    </row>
    <row r="75" spans="1:28" ht="37.5" customHeight="1" x14ac:dyDescent="0.3">
      <c r="A75" s="62" t="s">
        <v>101</v>
      </c>
      <c r="B75" s="109" t="s">
        <v>188</v>
      </c>
      <c r="C75" s="101" t="s">
        <v>103</v>
      </c>
      <c r="D75" s="101" t="s">
        <v>36</v>
      </c>
      <c r="E75" s="101"/>
      <c r="F75" s="41" t="s">
        <v>185</v>
      </c>
      <c r="G75" s="84">
        <f>6250-625-340-1000-0.43</f>
        <v>4284.57</v>
      </c>
      <c r="H75" s="78">
        <v>1</v>
      </c>
      <c r="I75" s="78">
        <v>0</v>
      </c>
      <c r="J75" s="101">
        <v>2</v>
      </c>
      <c r="K75" s="101" t="s">
        <v>86</v>
      </c>
      <c r="L75" s="59">
        <v>43525</v>
      </c>
      <c r="M75" s="59">
        <v>43586</v>
      </c>
      <c r="N75" s="102"/>
      <c r="Q75" s="95"/>
    </row>
    <row r="76" spans="1:28" ht="51" customHeight="1" x14ac:dyDescent="0.3">
      <c r="A76" s="62" t="s">
        <v>101</v>
      </c>
      <c r="B76" s="108" t="s">
        <v>327</v>
      </c>
      <c r="C76" s="101" t="s">
        <v>103</v>
      </c>
      <c r="D76" s="114" t="s">
        <v>32</v>
      </c>
      <c r="E76" s="101"/>
      <c r="F76" s="155" t="s">
        <v>322</v>
      </c>
      <c r="G76" s="84">
        <v>7500</v>
      </c>
      <c r="H76" s="78">
        <v>1</v>
      </c>
      <c r="I76" s="78">
        <v>0</v>
      </c>
      <c r="J76" s="101">
        <v>2</v>
      </c>
      <c r="K76" s="101" t="s">
        <v>87</v>
      </c>
      <c r="L76" s="148">
        <v>42979</v>
      </c>
      <c r="M76" s="148">
        <v>43040</v>
      </c>
      <c r="N76" s="102"/>
      <c r="O76" s="156"/>
      <c r="P76" s="156"/>
      <c r="Q76" s="150"/>
      <c r="R76" s="156"/>
      <c r="S76" s="156"/>
      <c r="T76" s="156"/>
      <c r="U76" s="156"/>
      <c r="V76" s="156"/>
      <c r="W76" s="156"/>
      <c r="X76" s="156"/>
      <c r="Y76" s="156"/>
      <c r="Z76" s="156"/>
      <c r="AA76" s="156"/>
      <c r="AB76" s="156"/>
    </row>
    <row r="77" spans="1:28" ht="33.75" customHeight="1" x14ac:dyDescent="0.3">
      <c r="A77" s="103" t="s">
        <v>101</v>
      </c>
      <c r="B77" s="70" t="s">
        <v>307</v>
      </c>
      <c r="C77" s="101" t="s">
        <v>103</v>
      </c>
      <c r="D77" s="104" t="s">
        <v>32</v>
      </c>
      <c r="E77" s="104"/>
      <c r="F77" s="35" t="s">
        <v>189</v>
      </c>
      <c r="G77" s="82">
        <f>18921+10000+11500</f>
        <v>40421</v>
      </c>
      <c r="H77" s="78">
        <v>1</v>
      </c>
      <c r="I77" s="78">
        <v>0</v>
      </c>
      <c r="J77" s="101">
        <v>3</v>
      </c>
      <c r="K77" s="101" t="s">
        <v>86</v>
      </c>
      <c r="L77" s="151">
        <v>43101</v>
      </c>
      <c r="M77" s="151">
        <v>43617</v>
      </c>
      <c r="N77" s="102"/>
      <c r="Q77" s="95"/>
    </row>
    <row r="78" spans="1:28" ht="57" customHeight="1" x14ac:dyDescent="0.3">
      <c r="A78" s="103" t="s">
        <v>101</v>
      </c>
      <c r="B78" s="70" t="s">
        <v>355</v>
      </c>
      <c r="C78" s="101" t="s">
        <v>142</v>
      </c>
      <c r="D78" s="104" t="s">
        <v>36</v>
      </c>
      <c r="E78" s="104"/>
      <c r="F78" s="35" t="s">
        <v>190</v>
      </c>
      <c r="G78" s="82">
        <f>25000+12500+2012+50000-30000-5000</f>
        <v>54512</v>
      </c>
      <c r="H78" s="78">
        <v>1</v>
      </c>
      <c r="I78" s="78">
        <v>0</v>
      </c>
      <c r="J78" s="101">
        <v>3</v>
      </c>
      <c r="K78" s="101" t="s">
        <v>87</v>
      </c>
      <c r="L78" s="151">
        <v>42309</v>
      </c>
      <c r="M78" s="151">
        <v>43160</v>
      </c>
      <c r="N78" s="102"/>
      <c r="Q78" s="95"/>
    </row>
    <row r="79" spans="1:28" ht="57" customHeight="1" x14ac:dyDescent="0.3">
      <c r="A79" s="103" t="s">
        <v>101</v>
      </c>
      <c r="B79" s="70" t="s">
        <v>308</v>
      </c>
      <c r="C79" s="101" t="s">
        <v>142</v>
      </c>
      <c r="D79" s="104" t="s">
        <v>32</v>
      </c>
      <c r="E79" s="104"/>
      <c r="F79" s="35" t="s">
        <v>270</v>
      </c>
      <c r="G79" s="82">
        <v>25000</v>
      </c>
      <c r="H79" s="78">
        <v>1</v>
      </c>
      <c r="I79" s="78">
        <v>0</v>
      </c>
      <c r="J79" s="101">
        <v>3</v>
      </c>
      <c r="K79" s="101" t="s">
        <v>86</v>
      </c>
      <c r="L79" s="151">
        <v>42826</v>
      </c>
      <c r="M79" s="151">
        <v>43678</v>
      </c>
      <c r="N79" s="102"/>
      <c r="Q79" s="95"/>
    </row>
    <row r="80" spans="1:28" ht="43.5" customHeight="1" x14ac:dyDescent="0.3">
      <c r="A80" s="103" t="s">
        <v>101</v>
      </c>
      <c r="B80" s="70" t="s">
        <v>359</v>
      </c>
      <c r="C80" s="101" t="s">
        <v>142</v>
      </c>
      <c r="D80" s="104" t="s">
        <v>32</v>
      </c>
      <c r="E80" s="104"/>
      <c r="F80" s="35" t="s">
        <v>191</v>
      </c>
      <c r="G80" s="82">
        <f>17500+50000+30000+7000</f>
        <v>104500</v>
      </c>
      <c r="H80" s="78">
        <v>1</v>
      </c>
      <c r="I80" s="78">
        <v>0</v>
      </c>
      <c r="J80" s="101">
        <v>3</v>
      </c>
      <c r="K80" s="101" t="s">
        <v>86</v>
      </c>
      <c r="L80" s="151">
        <v>42370</v>
      </c>
      <c r="M80" s="151">
        <v>43160</v>
      </c>
      <c r="N80" s="102"/>
      <c r="Q80" s="95"/>
    </row>
    <row r="81" spans="1:17" ht="39" customHeight="1" x14ac:dyDescent="0.3">
      <c r="A81" s="103" t="s">
        <v>101</v>
      </c>
      <c r="B81" s="70" t="s">
        <v>193</v>
      </c>
      <c r="C81" s="101" t="s">
        <v>142</v>
      </c>
      <c r="D81" s="104" t="s">
        <v>36</v>
      </c>
      <c r="E81" s="104"/>
      <c r="F81" s="35" t="s">
        <v>192</v>
      </c>
      <c r="G81" s="82">
        <f>20000+10000-8000-2000</f>
        <v>20000</v>
      </c>
      <c r="H81" s="78">
        <v>1</v>
      </c>
      <c r="I81" s="78">
        <v>0</v>
      </c>
      <c r="J81" s="101">
        <v>3</v>
      </c>
      <c r="K81" s="101" t="s">
        <v>87</v>
      </c>
      <c r="L81" s="151">
        <v>42309</v>
      </c>
      <c r="M81" s="151">
        <v>43160</v>
      </c>
      <c r="N81" s="102"/>
      <c r="Q81" s="95"/>
    </row>
    <row r="82" spans="1:17" ht="51" customHeight="1" x14ac:dyDescent="0.3">
      <c r="A82" s="62" t="s">
        <v>101</v>
      </c>
      <c r="B82" s="70" t="s">
        <v>194</v>
      </c>
      <c r="C82" s="101" t="s">
        <v>103</v>
      </c>
      <c r="D82" s="104" t="s">
        <v>36</v>
      </c>
      <c r="E82" s="104"/>
      <c r="F82" s="35" t="s">
        <v>195</v>
      </c>
      <c r="G82" s="82">
        <f>104760-40500+30000</f>
        <v>94260</v>
      </c>
      <c r="H82" s="78">
        <v>1</v>
      </c>
      <c r="I82" s="78">
        <v>0</v>
      </c>
      <c r="J82" s="101">
        <v>3</v>
      </c>
      <c r="K82" s="101" t="s">
        <v>87</v>
      </c>
      <c r="L82" s="151">
        <v>43101</v>
      </c>
      <c r="M82" s="151">
        <v>43617</v>
      </c>
      <c r="N82" s="102"/>
      <c r="Q82" s="95"/>
    </row>
    <row r="83" spans="1:17" ht="52.5" customHeight="1" x14ac:dyDescent="0.3">
      <c r="A83" s="103" t="s">
        <v>101</v>
      </c>
      <c r="B83" s="70" t="s">
        <v>309</v>
      </c>
      <c r="C83" s="101" t="s">
        <v>142</v>
      </c>
      <c r="D83" s="104" t="s">
        <v>32</v>
      </c>
      <c r="E83" s="104"/>
      <c r="F83" s="35" t="s">
        <v>197</v>
      </c>
      <c r="G83" s="81">
        <f>838+1000</f>
        <v>1838</v>
      </c>
      <c r="H83" s="105">
        <v>1</v>
      </c>
      <c r="I83" s="105">
        <v>0</v>
      </c>
      <c r="J83" s="101">
        <v>3</v>
      </c>
      <c r="K83" s="101" t="s">
        <v>86</v>
      </c>
      <c r="L83" s="151">
        <v>42644</v>
      </c>
      <c r="M83" s="151">
        <v>43252</v>
      </c>
      <c r="N83" s="102"/>
      <c r="Q83" s="95"/>
    </row>
    <row r="84" spans="1:17" ht="37.5" customHeight="1" x14ac:dyDescent="0.3">
      <c r="A84" s="62" t="s">
        <v>101</v>
      </c>
      <c r="B84" s="70" t="s">
        <v>310</v>
      </c>
      <c r="C84" s="101" t="s">
        <v>103</v>
      </c>
      <c r="D84" s="104" t="s">
        <v>32</v>
      </c>
      <c r="E84" s="101"/>
      <c r="F84" s="35" t="s">
        <v>198</v>
      </c>
      <c r="G84" s="82">
        <f>5929+1421</f>
        <v>7350</v>
      </c>
      <c r="H84" s="78">
        <v>1</v>
      </c>
      <c r="I84" s="78">
        <v>0</v>
      </c>
      <c r="J84" s="101">
        <v>3</v>
      </c>
      <c r="K84" s="101" t="s">
        <v>86</v>
      </c>
      <c r="L84" s="151">
        <v>43101</v>
      </c>
      <c r="M84" s="151">
        <v>43101</v>
      </c>
      <c r="N84" s="102"/>
      <c r="Q84" s="95"/>
    </row>
    <row r="85" spans="1:17" ht="47.25" customHeight="1" x14ac:dyDescent="0.3">
      <c r="A85" s="103" t="s">
        <v>101</v>
      </c>
      <c r="B85" s="70" t="s">
        <v>196</v>
      </c>
      <c r="C85" s="101" t="s">
        <v>103</v>
      </c>
      <c r="D85" s="104" t="s">
        <v>32</v>
      </c>
      <c r="E85" s="101"/>
      <c r="F85" s="35" t="s">
        <v>199</v>
      </c>
      <c r="G85" s="82">
        <v>1200</v>
      </c>
      <c r="H85" s="78">
        <v>1</v>
      </c>
      <c r="I85" s="78">
        <v>0</v>
      </c>
      <c r="J85" s="101">
        <v>3</v>
      </c>
      <c r="K85" s="101" t="s">
        <v>87</v>
      </c>
      <c r="L85" s="151">
        <v>43132</v>
      </c>
      <c r="M85" s="151">
        <v>43191</v>
      </c>
      <c r="N85" s="102"/>
      <c r="Q85" s="95"/>
    </row>
    <row r="86" spans="1:17" ht="42.75" customHeight="1" x14ac:dyDescent="0.3">
      <c r="A86" s="62" t="s">
        <v>101</v>
      </c>
      <c r="B86" s="71" t="s">
        <v>311</v>
      </c>
      <c r="C86" s="101" t="s">
        <v>142</v>
      </c>
      <c r="D86" s="104" t="s">
        <v>32</v>
      </c>
      <c r="E86" s="104"/>
      <c r="F86" s="36" t="s">
        <v>200</v>
      </c>
      <c r="G86" s="82">
        <f>882+10000</f>
        <v>10882</v>
      </c>
      <c r="H86" s="105">
        <v>1</v>
      </c>
      <c r="I86" s="105">
        <v>0</v>
      </c>
      <c r="J86" s="101">
        <v>3</v>
      </c>
      <c r="K86" s="101" t="s">
        <v>86</v>
      </c>
      <c r="L86" s="151">
        <v>42278</v>
      </c>
      <c r="M86" s="151">
        <v>43739</v>
      </c>
      <c r="N86" s="102"/>
      <c r="Q86" s="95"/>
    </row>
    <row r="87" spans="1:17" ht="42.75" customHeight="1" x14ac:dyDescent="0.3">
      <c r="A87" s="62" t="s">
        <v>101</v>
      </c>
      <c r="B87" s="71" t="s">
        <v>312</v>
      </c>
      <c r="C87" s="101" t="s">
        <v>142</v>
      </c>
      <c r="D87" s="104" t="s">
        <v>32</v>
      </c>
      <c r="E87" s="104"/>
      <c r="F87" s="36" t="s">
        <v>201</v>
      </c>
      <c r="G87" s="82">
        <f>10588+(3928.39)-7000+7000+13907</f>
        <v>28423.39</v>
      </c>
      <c r="H87" s="105">
        <v>1</v>
      </c>
      <c r="I87" s="105">
        <v>0</v>
      </c>
      <c r="J87" s="101">
        <v>3</v>
      </c>
      <c r="K87" s="101" t="s">
        <v>86</v>
      </c>
      <c r="L87" s="151">
        <v>42370</v>
      </c>
      <c r="M87" s="151">
        <v>43739</v>
      </c>
      <c r="N87" s="102"/>
      <c r="Q87" s="95"/>
    </row>
    <row r="88" spans="1:17" ht="53.25" customHeight="1" x14ac:dyDescent="0.3">
      <c r="A88" s="62" t="s">
        <v>101</v>
      </c>
      <c r="B88" s="70" t="s">
        <v>306</v>
      </c>
      <c r="C88" s="101" t="s">
        <v>103</v>
      </c>
      <c r="D88" s="104" t="s">
        <v>32</v>
      </c>
      <c r="E88" s="104"/>
      <c r="F88" s="35" t="s">
        <v>202</v>
      </c>
      <c r="G88" s="82">
        <f>20000+9222+40000+100000</f>
        <v>169222</v>
      </c>
      <c r="H88" s="105">
        <v>1</v>
      </c>
      <c r="I88" s="105">
        <v>0</v>
      </c>
      <c r="J88" s="101">
        <v>3</v>
      </c>
      <c r="K88" s="101" t="s">
        <v>86</v>
      </c>
      <c r="L88" s="151">
        <v>43101</v>
      </c>
      <c r="M88" s="151">
        <v>43617</v>
      </c>
      <c r="N88" s="116" t="s">
        <v>290</v>
      </c>
      <c r="Q88" s="95"/>
    </row>
    <row r="89" spans="1:17" ht="53.25" customHeight="1" x14ac:dyDescent="0.3">
      <c r="A89" s="103" t="s">
        <v>101</v>
      </c>
      <c r="B89" s="70" t="s">
        <v>305</v>
      </c>
      <c r="C89" s="101" t="s">
        <v>103</v>
      </c>
      <c r="D89" s="104" t="s">
        <v>32</v>
      </c>
      <c r="E89" s="104"/>
      <c r="F89" s="35" t="s">
        <v>246</v>
      </c>
      <c r="G89" s="82">
        <v>1015</v>
      </c>
      <c r="H89" s="105">
        <v>1</v>
      </c>
      <c r="I89" s="105">
        <v>0</v>
      </c>
      <c r="J89" s="101">
        <v>3</v>
      </c>
      <c r="K89" s="101" t="s">
        <v>86</v>
      </c>
      <c r="L89" s="151">
        <v>43132</v>
      </c>
      <c r="M89" s="151">
        <v>43191</v>
      </c>
      <c r="N89" s="102"/>
      <c r="Q89" s="95"/>
    </row>
    <row r="90" spans="1:17" ht="53.25" customHeight="1" x14ac:dyDescent="0.3">
      <c r="A90" s="103" t="s">
        <v>101</v>
      </c>
      <c r="B90" s="70" t="s">
        <v>304</v>
      </c>
      <c r="C90" s="101" t="s">
        <v>236</v>
      </c>
      <c r="D90" s="104" t="s">
        <v>32</v>
      </c>
      <c r="E90" s="104"/>
      <c r="F90" s="35" t="s">
        <v>247</v>
      </c>
      <c r="G90" s="82">
        <v>280</v>
      </c>
      <c r="H90" s="105">
        <v>1</v>
      </c>
      <c r="I90" s="105">
        <v>0</v>
      </c>
      <c r="J90" s="101">
        <v>3</v>
      </c>
      <c r="K90" s="101" t="s">
        <v>86</v>
      </c>
      <c r="L90" s="151">
        <v>43132</v>
      </c>
      <c r="M90" s="151">
        <v>43191</v>
      </c>
      <c r="N90" s="102"/>
      <c r="Q90" s="95"/>
    </row>
    <row r="91" spans="1:17" ht="51" customHeight="1" x14ac:dyDescent="0.3">
      <c r="A91" s="103" t="s">
        <v>101</v>
      </c>
      <c r="B91" s="70" t="s">
        <v>303</v>
      </c>
      <c r="C91" s="101" t="s">
        <v>142</v>
      </c>
      <c r="D91" s="104" t="s">
        <v>32</v>
      </c>
      <c r="E91" s="117"/>
      <c r="F91" s="37" t="s">
        <v>253</v>
      </c>
      <c r="G91" s="82">
        <f>(466225.88+21792.2)/119.25</f>
        <v>4092.3948008385746</v>
      </c>
      <c r="H91" s="78">
        <v>1</v>
      </c>
      <c r="I91" s="78">
        <v>0</v>
      </c>
      <c r="J91" s="101">
        <v>3</v>
      </c>
      <c r="K91" s="101" t="s">
        <v>86</v>
      </c>
      <c r="L91" s="148">
        <v>42125</v>
      </c>
      <c r="M91" s="148">
        <v>42705</v>
      </c>
      <c r="N91" s="102"/>
      <c r="Q91" s="95"/>
    </row>
    <row r="92" spans="1:17" ht="51" customHeight="1" x14ac:dyDescent="0.3">
      <c r="A92" s="103" t="s">
        <v>101</v>
      </c>
      <c r="B92" s="70" t="s">
        <v>302</v>
      </c>
      <c r="C92" s="101" t="s">
        <v>142</v>
      </c>
      <c r="D92" s="104" t="s">
        <v>32</v>
      </c>
      <c r="E92" s="117"/>
      <c r="F92" s="37" t="s">
        <v>254</v>
      </c>
      <c r="G92" s="82">
        <f>365198.92/124.95+10000</f>
        <v>12922.760464185674</v>
      </c>
      <c r="H92" s="78">
        <v>1</v>
      </c>
      <c r="I92" s="78">
        <v>0</v>
      </c>
      <c r="J92" s="101">
        <v>3</v>
      </c>
      <c r="K92" s="101" t="s">
        <v>86</v>
      </c>
      <c r="L92" s="148">
        <v>42125</v>
      </c>
      <c r="M92" s="148">
        <v>43070</v>
      </c>
      <c r="N92" s="102"/>
      <c r="Q92" s="95"/>
    </row>
    <row r="93" spans="1:17" ht="51" customHeight="1" x14ac:dyDescent="0.3">
      <c r="A93" s="103" t="s">
        <v>101</v>
      </c>
      <c r="B93" s="70" t="s">
        <v>301</v>
      </c>
      <c r="C93" s="101" t="s">
        <v>142</v>
      </c>
      <c r="D93" s="104" t="s">
        <v>32</v>
      </c>
      <c r="E93" s="117"/>
      <c r="F93" s="37" t="s">
        <v>255</v>
      </c>
      <c r="G93" s="82">
        <f>66000+130000/119.25</f>
        <v>67090.146750524116</v>
      </c>
      <c r="H93" s="78">
        <v>1</v>
      </c>
      <c r="I93" s="78">
        <v>0</v>
      </c>
      <c r="J93" s="101">
        <v>3</v>
      </c>
      <c r="K93" s="101" t="s">
        <v>86</v>
      </c>
      <c r="L93" s="148">
        <v>42552</v>
      </c>
      <c r="M93" s="148">
        <v>43070</v>
      </c>
      <c r="N93" s="102"/>
      <c r="Q93" s="95"/>
    </row>
    <row r="94" spans="1:17" ht="51" customHeight="1" x14ac:dyDescent="0.3">
      <c r="A94" s="118" t="s">
        <v>101</v>
      </c>
      <c r="B94" s="70" t="s">
        <v>300</v>
      </c>
      <c r="C94" s="111" t="s">
        <v>103</v>
      </c>
      <c r="D94" s="119" t="s">
        <v>32</v>
      </c>
      <c r="E94" s="120"/>
      <c r="F94" s="37" t="s">
        <v>256</v>
      </c>
      <c r="G94" s="81">
        <v>1785</v>
      </c>
      <c r="H94" s="112">
        <v>1</v>
      </c>
      <c r="I94" s="112">
        <v>0</v>
      </c>
      <c r="J94" s="111">
        <v>3</v>
      </c>
      <c r="K94" s="111" t="s">
        <v>86</v>
      </c>
      <c r="L94" s="167">
        <v>43160</v>
      </c>
      <c r="M94" s="167">
        <v>43221</v>
      </c>
      <c r="N94" s="113"/>
      <c r="Q94" s="95"/>
    </row>
    <row r="95" spans="1:17" ht="51" customHeight="1" x14ac:dyDescent="0.3">
      <c r="A95" s="118" t="s">
        <v>101</v>
      </c>
      <c r="B95" s="70" t="s">
        <v>299</v>
      </c>
      <c r="C95" s="111" t="s">
        <v>142</v>
      </c>
      <c r="D95" s="119" t="s">
        <v>32</v>
      </c>
      <c r="E95" s="120"/>
      <c r="F95" s="37" t="s">
        <v>249</v>
      </c>
      <c r="G95" s="81">
        <f>9278500/124.75</f>
        <v>74376.753507014029</v>
      </c>
      <c r="H95" s="112">
        <v>1</v>
      </c>
      <c r="I95" s="112">
        <v>0</v>
      </c>
      <c r="J95" s="111">
        <v>3</v>
      </c>
      <c r="K95" s="111" t="s">
        <v>86</v>
      </c>
      <c r="L95" s="167">
        <v>42491</v>
      </c>
      <c r="M95" s="167">
        <v>43070</v>
      </c>
      <c r="N95" s="113"/>
      <c r="Q95" s="95"/>
    </row>
    <row r="96" spans="1:17" ht="51" customHeight="1" x14ac:dyDescent="0.3">
      <c r="A96" s="118" t="s">
        <v>101</v>
      </c>
      <c r="B96" s="70" t="s">
        <v>298</v>
      </c>
      <c r="C96" s="111" t="s">
        <v>142</v>
      </c>
      <c r="D96" s="119" t="s">
        <v>32</v>
      </c>
      <c r="E96" s="120"/>
      <c r="F96" s="37" t="s">
        <v>248</v>
      </c>
      <c r="G96" s="81">
        <f>2829000/124.75</f>
        <v>22677.354709418836</v>
      </c>
      <c r="H96" s="112">
        <v>1</v>
      </c>
      <c r="I96" s="112">
        <v>0</v>
      </c>
      <c r="J96" s="111">
        <v>3</v>
      </c>
      <c r="K96" s="111" t="s">
        <v>86</v>
      </c>
      <c r="L96" s="167">
        <v>42705</v>
      </c>
      <c r="M96" s="167">
        <v>43070</v>
      </c>
      <c r="N96" s="113"/>
      <c r="Q96" s="95"/>
    </row>
    <row r="97" spans="1:17" ht="51" customHeight="1" x14ac:dyDescent="0.3">
      <c r="A97" s="118" t="s">
        <v>101</v>
      </c>
      <c r="B97" s="70" t="s">
        <v>297</v>
      </c>
      <c r="C97" s="111" t="s">
        <v>142</v>
      </c>
      <c r="D97" s="119" t="s">
        <v>32</v>
      </c>
      <c r="E97" s="120"/>
      <c r="F97" s="37" t="s">
        <v>203</v>
      </c>
      <c r="G97" s="81">
        <f>(102579.99+127773+317965.2)/119.25</f>
        <v>4598.0561006289299</v>
      </c>
      <c r="H97" s="112">
        <v>1</v>
      </c>
      <c r="I97" s="112">
        <v>0</v>
      </c>
      <c r="J97" s="111">
        <v>3</v>
      </c>
      <c r="K97" s="111" t="s">
        <v>86</v>
      </c>
      <c r="L97" s="167">
        <v>42186</v>
      </c>
      <c r="M97" s="167">
        <v>43617</v>
      </c>
      <c r="N97" s="113"/>
      <c r="Q97" s="95"/>
    </row>
    <row r="98" spans="1:17" ht="51" customHeight="1" x14ac:dyDescent="0.3">
      <c r="A98" s="118" t="s">
        <v>101</v>
      </c>
      <c r="B98" s="70" t="s">
        <v>296</v>
      </c>
      <c r="C98" s="111" t="s">
        <v>142</v>
      </c>
      <c r="D98" s="119" t="s">
        <v>32</v>
      </c>
      <c r="E98" s="120"/>
      <c r="F98" s="37" t="s">
        <v>251</v>
      </c>
      <c r="G98" s="81">
        <f>38400/119.25+10000+30146</f>
        <v>40468.012578616355</v>
      </c>
      <c r="H98" s="112">
        <v>1</v>
      </c>
      <c r="I98" s="112">
        <v>0</v>
      </c>
      <c r="J98" s="111">
        <v>3</v>
      </c>
      <c r="K98" s="111" t="s">
        <v>86</v>
      </c>
      <c r="L98" s="167">
        <v>42614</v>
      </c>
      <c r="M98" s="167">
        <v>43617</v>
      </c>
      <c r="N98" s="113"/>
      <c r="Q98" s="95"/>
    </row>
    <row r="99" spans="1:17" ht="51" customHeight="1" x14ac:dyDescent="0.3">
      <c r="A99" s="118" t="s">
        <v>101</v>
      </c>
      <c r="B99" s="70" t="s">
        <v>295</v>
      </c>
      <c r="C99" s="111" t="s">
        <v>142</v>
      </c>
      <c r="D99" s="119" t="s">
        <v>32</v>
      </c>
      <c r="E99" s="120"/>
      <c r="F99" s="37" t="s">
        <v>250</v>
      </c>
      <c r="G99" s="81">
        <f>25977603/124.75-59897.08+1186.14</f>
        <v>149526.35859719443</v>
      </c>
      <c r="H99" s="112">
        <v>1</v>
      </c>
      <c r="I99" s="112">
        <v>0</v>
      </c>
      <c r="J99" s="111">
        <v>3</v>
      </c>
      <c r="K99" s="111" t="s">
        <v>86</v>
      </c>
      <c r="L99" s="167">
        <v>43101</v>
      </c>
      <c r="M99" s="167">
        <v>43678</v>
      </c>
      <c r="N99" s="113"/>
      <c r="Q99" s="95"/>
    </row>
    <row r="100" spans="1:17" ht="51" customHeight="1" x14ac:dyDescent="0.3">
      <c r="A100" s="118" t="s">
        <v>101</v>
      </c>
      <c r="B100" s="70" t="s">
        <v>294</v>
      </c>
      <c r="C100" s="111" t="s">
        <v>103</v>
      </c>
      <c r="D100" s="119" t="s">
        <v>32</v>
      </c>
      <c r="E100" s="120"/>
      <c r="F100" s="37" t="s">
        <v>258</v>
      </c>
      <c r="G100" s="81">
        <f>(22632000/124.75)</f>
        <v>181418.83767535069</v>
      </c>
      <c r="H100" s="112">
        <v>1</v>
      </c>
      <c r="I100" s="112">
        <v>0</v>
      </c>
      <c r="J100" s="111">
        <v>3</v>
      </c>
      <c r="K100" s="111" t="s">
        <v>86</v>
      </c>
      <c r="L100" s="167">
        <v>42736</v>
      </c>
      <c r="M100" s="167">
        <v>43678</v>
      </c>
      <c r="N100" s="113"/>
      <c r="Q100" s="95"/>
    </row>
    <row r="101" spans="1:17" ht="51" customHeight="1" x14ac:dyDescent="0.3">
      <c r="A101" s="118" t="s">
        <v>101</v>
      </c>
      <c r="B101" s="70" t="s">
        <v>293</v>
      </c>
      <c r="C101" s="111" t="s">
        <v>142</v>
      </c>
      <c r="D101" s="119" t="s">
        <v>32</v>
      </c>
      <c r="E101" s="120"/>
      <c r="F101" s="37" t="s">
        <v>251</v>
      </c>
      <c r="G101" s="81">
        <f>896000/124.75</f>
        <v>7182.3647294589182</v>
      </c>
      <c r="H101" s="112">
        <v>1</v>
      </c>
      <c r="I101" s="112">
        <v>0</v>
      </c>
      <c r="J101" s="111">
        <v>3</v>
      </c>
      <c r="K101" s="111" t="s">
        <v>86</v>
      </c>
      <c r="L101" s="167">
        <v>42614</v>
      </c>
      <c r="M101" s="167">
        <v>42979</v>
      </c>
      <c r="N101" s="113"/>
      <c r="Q101" s="95"/>
    </row>
    <row r="102" spans="1:17" ht="51" customHeight="1" x14ac:dyDescent="0.3">
      <c r="A102" s="118" t="s">
        <v>101</v>
      </c>
      <c r="B102" s="70" t="s">
        <v>292</v>
      </c>
      <c r="C102" s="111" t="s">
        <v>142</v>
      </c>
      <c r="D102" s="119" t="s">
        <v>32</v>
      </c>
      <c r="E102" s="120"/>
      <c r="F102" s="37" t="s">
        <v>252</v>
      </c>
      <c r="G102" s="81">
        <f>749356.16/124.75</f>
        <v>6006.863006012024</v>
      </c>
      <c r="H102" s="112">
        <v>1</v>
      </c>
      <c r="I102" s="112">
        <v>0</v>
      </c>
      <c r="J102" s="111">
        <v>3</v>
      </c>
      <c r="K102" s="111" t="s">
        <v>86</v>
      </c>
      <c r="L102" s="167">
        <v>42736</v>
      </c>
      <c r="M102" s="167">
        <v>43617</v>
      </c>
      <c r="N102" s="113"/>
      <c r="Q102" s="95"/>
    </row>
    <row r="103" spans="1:17" ht="41.25" customHeight="1" x14ac:dyDescent="0.3">
      <c r="A103" s="62" t="s">
        <v>101</v>
      </c>
      <c r="B103" s="71" t="s">
        <v>179</v>
      </c>
      <c r="C103" s="101" t="s">
        <v>141</v>
      </c>
      <c r="D103" s="104" t="s">
        <v>32</v>
      </c>
      <c r="E103" s="101"/>
      <c r="F103" s="39" t="s">
        <v>180</v>
      </c>
      <c r="G103" s="82">
        <f>2400-1700-75.89</f>
        <v>624.11</v>
      </c>
      <c r="H103" s="78">
        <v>1</v>
      </c>
      <c r="I103" s="78">
        <v>0</v>
      </c>
      <c r="J103" s="101">
        <v>2</v>
      </c>
      <c r="K103" s="101" t="s">
        <v>87</v>
      </c>
      <c r="L103" s="151">
        <v>42491</v>
      </c>
      <c r="M103" s="151">
        <v>42491</v>
      </c>
      <c r="N103" s="102"/>
      <c r="Q103" s="95"/>
    </row>
    <row r="104" spans="1:17" ht="37.5" customHeight="1" x14ac:dyDescent="0.3">
      <c r="A104" s="62" t="s">
        <v>101</v>
      </c>
      <c r="B104" s="108" t="s">
        <v>316</v>
      </c>
      <c r="C104" s="101" t="s">
        <v>141</v>
      </c>
      <c r="D104" s="114" t="s">
        <v>36</v>
      </c>
      <c r="E104" s="101"/>
      <c r="F104" s="155" t="s">
        <v>315</v>
      </c>
      <c r="G104" s="84">
        <f>277.62+812.81</f>
        <v>1090.4299999999998</v>
      </c>
      <c r="H104" s="78">
        <v>1</v>
      </c>
      <c r="I104" s="78">
        <v>0</v>
      </c>
      <c r="J104" s="101">
        <v>2</v>
      </c>
      <c r="K104" s="101" t="s">
        <v>86</v>
      </c>
      <c r="L104" s="148">
        <v>42917</v>
      </c>
      <c r="M104" s="148">
        <v>42948</v>
      </c>
      <c r="N104" s="102"/>
      <c r="Q104" s="95"/>
    </row>
    <row r="105" spans="1:17" ht="62.25" customHeight="1" x14ac:dyDescent="0.3">
      <c r="A105" s="103" t="s">
        <v>101</v>
      </c>
      <c r="B105" s="70" t="s">
        <v>321</v>
      </c>
      <c r="C105" s="101" t="s">
        <v>141</v>
      </c>
      <c r="D105" s="115" t="s">
        <v>32</v>
      </c>
      <c r="E105" s="104"/>
      <c r="F105" s="35" t="s">
        <v>171</v>
      </c>
      <c r="G105" s="82">
        <v>1200</v>
      </c>
      <c r="H105" s="78">
        <v>1</v>
      </c>
      <c r="I105" s="78">
        <v>0</v>
      </c>
      <c r="J105" s="101">
        <v>3</v>
      </c>
      <c r="K105" s="101" t="s">
        <v>87</v>
      </c>
      <c r="L105" s="151">
        <v>42644</v>
      </c>
      <c r="M105" s="151">
        <v>42675</v>
      </c>
      <c r="N105" s="102"/>
      <c r="Q105" s="95"/>
    </row>
    <row r="106" spans="1:17" ht="20.25" customHeight="1" thickBot="1" x14ac:dyDescent="0.35">
      <c r="A106" s="99"/>
      <c r="B106" s="76"/>
      <c r="C106" s="76"/>
      <c r="D106" s="76"/>
      <c r="E106" s="76"/>
      <c r="F106" s="76"/>
      <c r="G106" s="76"/>
      <c r="H106" s="76"/>
      <c r="I106" s="76"/>
      <c r="J106" s="76"/>
      <c r="K106" s="76"/>
      <c r="L106" s="76"/>
      <c r="M106" s="76"/>
      <c r="N106" s="100"/>
      <c r="Q106" s="96" t="s">
        <v>37</v>
      </c>
    </row>
    <row r="107" spans="1:17" ht="53.25" customHeight="1" thickBot="1" x14ac:dyDescent="0.35">
      <c r="G107" s="87">
        <f>SUM(G58:G106)</f>
        <v>1205382.4029192426</v>
      </c>
      <c r="I107" s="87"/>
      <c r="Q107" s="96" t="s">
        <v>38</v>
      </c>
    </row>
    <row r="108" spans="1:17" ht="33.75" customHeight="1" x14ac:dyDescent="0.3">
      <c r="A108" s="200" t="s">
        <v>7</v>
      </c>
      <c r="B108" s="201"/>
      <c r="C108" s="201"/>
      <c r="D108" s="201"/>
      <c r="E108" s="201"/>
      <c r="F108" s="201"/>
      <c r="G108" s="201"/>
      <c r="H108" s="201"/>
      <c r="I108" s="201"/>
      <c r="J108" s="201"/>
      <c r="K108" s="201"/>
      <c r="L108" s="202"/>
      <c r="M108" s="121"/>
      <c r="Q108" s="96" t="s">
        <v>40</v>
      </c>
    </row>
    <row r="109" spans="1:17" ht="15" customHeight="1" x14ac:dyDescent="0.3">
      <c r="A109" s="189" t="s">
        <v>3</v>
      </c>
      <c r="B109" s="190" t="s">
        <v>10</v>
      </c>
      <c r="C109" s="190" t="s">
        <v>11</v>
      </c>
      <c r="D109" s="191" t="s">
        <v>12</v>
      </c>
      <c r="E109" s="191" t="s">
        <v>14</v>
      </c>
      <c r="F109" s="193" t="s">
        <v>96</v>
      </c>
      <c r="G109" s="194"/>
      <c r="H109" s="195"/>
      <c r="I109" s="190" t="s">
        <v>15</v>
      </c>
      <c r="J109" s="191" t="s">
        <v>88</v>
      </c>
      <c r="K109" s="190" t="s">
        <v>19</v>
      </c>
      <c r="L109" s="190"/>
      <c r="M109" s="196" t="s">
        <v>91</v>
      </c>
      <c r="Q109" s="96" t="s">
        <v>89</v>
      </c>
    </row>
    <row r="110" spans="1:17" ht="48" customHeight="1" x14ac:dyDescent="0.3">
      <c r="A110" s="189"/>
      <c r="B110" s="190"/>
      <c r="C110" s="190"/>
      <c r="D110" s="192"/>
      <c r="E110" s="192"/>
      <c r="F110" s="74" t="s">
        <v>92</v>
      </c>
      <c r="G110" s="73" t="s">
        <v>93</v>
      </c>
      <c r="H110" s="73" t="s">
        <v>94</v>
      </c>
      <c r="I110" s="190"/>
      <c r="J110" s="192"/>
      <c r="K110" s="73" t="s">
        <v>18</v>
      </c>
      <c r="L110" s="73" t="s">
        <v>17</v>
      </c>
      <c r="M110" s="196"/>
      <c r="Q110" s="96" t="s">
        <v>99</v>
      </c>
    </row>
    <row r="111" spans="1:17" ht="18" customHeight="1" x14ac:dyDescent="0.3">
      <c r="A111" s="97"/>
      <c r="B111" s="75"/>
      <c r="C111" s="75"/>
      <c r="D111" s="75"/>
      <c r="E111" s="75"/>
      <c r="F111" s="75"/>
      <c r="G111" s="77"/>
      <c r="H111" s="77"/>
      <c r="I111" s="75"/>
      <c r="J111" s="75"/>
      <c r="K111" s="75"/>
      <c r="L111" s="98"/>
      <c r="M111" s="122"/>
      <c r="Q111" s="96" t="s">
        <v>39</v>
      </c>
    </row>
    <row r="112" spans="1:17" ht="36.75" customHeight="1" x14ac:dyDescent="0.3">
      <c r="A112" s="110" t="s">
        <v>101</v>
      </c>
      <c r="B112" s="108" t="s">
        <v>325</v>
      </c>
      <c r="C112" s="101" t="s">
        <v>103</v>
      </c>
      <c r="D112" s="101" t="s">
        <v>38</v>
      </c>
      <c r="E112" s="108" t="s">
        <v>167</v>
      </c>
      <c r="F112" s="84">
        <f>26000-600-600+500</f>
        <v>25300</v>
      </c>
      <c r="G112" s="78">
        <v>1</v>
      </c>
      <c r="H112" s="78">
        <v>0</v>
      </c>
      <c r="I112" s="101">
        <v>1</v>
      </c>
      <c r="J112" s="101" t="s">
        <v>87</v>
      </c>
      <c r="K112" s="166">
        <v>43009</v>
      </c>
      <c r="L112" s="166">
        <v>43101</v>
      </c>
      <c r="M112" s="123"/>
      <c r="Q112" s="96"/>
    </row>
    <row r="113" spans="1:18" ht="52.95" customHeight="1" x14ac:dyDescent="0.3">
      <c r="A113" s="110" t="s">
        <v>101</v>
      </c>
      <c r="B113" s="108" t="s">
        <v>356</v>
      </c>
      <c r="C113" s="101" t="s">
        <v>174</v>
      </c>
      <c r="D113" s="101" t="s">
        <v>38</v>
      </c>
      <c r="E113" s="108" t="s">
        <v>168</v>
      </c>
      <c r="F113" s="84">
        <f>25000-600-5000-2000-3000+71800-56200+38200</f>
        <v>68200</v>
      </c>
      <c r="G113" s="78">
        <v>1</v>
      </c>
      <c r="H113" s="78">
        <v>0</v>
      </c>
      <c r="I113" s="101">
        <v>1</v>
      </c>
      <c r="J113" s="101" t="s">
        <v>87</v>
      </c>
      <c r="K113" s="151">
        <v>42948</v>
      </c>
      <c r="L113" s="151">
        <v>43056</v>
      </c>
      <c r="M113" s="124"/>
      <c r="Q113" s="96"/>
    </row>
    <row r="114" spans="1:18" ht="94.95" customHeight="1" x14ac:dyDescent="0.3">
      <c r="A114" s="118" t="s">
        <v>101</v>
      </c>
      <c r="B114" s="34" t="s">
        <v>234</v>
      </c>
      <c r="C114" s="101" t="s">
        <v>103</v>
      </c>
      <c r="D114" s="119" t="s">
        <v>38</v>
      </c>
      <c r="E114" s="34" t="s">
        <v>155</v>
      </c>
      <c r="F114" s="82">
        <f>33800+27600-1400+28800</f>
        <v>88800</v>
      </c>
      <c r="G114" s="78">
        <v>1</v>
      </c>
      <c r="H114" s="78">
        <v>0</v>
      </c>
      <c r="I114" s="101">
        <v>1</v>
      </c>
      <c r="J114" s="101" t="s">
        <v>87</v>
      </c>
      <c r="K114" s="88">
        <v>42979</v>
      </c>
      <c r="L114" s="90">
        <v>43070</v>
      </c>
      <c r="M114" s="125"/>
      <c r="Q114" s="96"/>
    </row>
    <row r="115" spans="1:18" ht="36" customHeight="1" x14ac:dyDescent="0.3">
      <c r="A115" s="118" t="s">
        <v>101</v>
      </c>
      <c r="B115" s="34" t="s">
        <v>264</v>
      </c>
      <c r="C115" s="104" t="s">
        <v>174</v>
      </c>
      <c r="D115" s="119" t="s">
        <v>37</v>
      </c>
      <c r="E115" s="34" t="s">
        <v>265</v>
      </c>
      <c r="F115" s="82">
        <f>60250+35000+61700+159650+25000+75.89+48200+206529.14-1186.14</f>
        <v>595218.89</v>
      </c>
      <c r="G115" s="78">
        <v>1</v>
      </c>
      <c r="H115" s="78">
        <v>0</v>
      </c>
      <c r="I115" s="101">
        <v>2</v>
      </c>
      <c r="J115" s="101" t="s">
        <v>87</v>
      </c>
      <c r="K115" s="158">
        <v>42461</v>
      </c>
      <c r="L115" s="151">
        <v>43009</v>
      </c>
      <c r="M115" s="125"/>
      <c r="Q115" s="96"/>
    </row>
    <row r="116" spans="1:18" ht="45.75" customHeight="1" x14ac:dyDescent="0.3">
      <c r="A116" s="118" t="s">
        <v>101</v>
      </c>
      <c r="B116" s="70" t="s">
        <v>319</v>
      </c>
      <c r="C116" s="101" t="s">
        <v>174</v>
      </c>
      <c r="D116" s="101" t="s">
        <v>38</v>
      </c>
      <c r="E116" s="157" t="s">
        <v>170</v>
      </c>
      <c r="F116" s="84">
        <v>37370</v>
      </c>
      <c r="G116" s="78">
        <v>1</v>
      </c>
      <c r="H116" s="78">
        <v>0</v>
      </c>
      <c r="I116" s="101">
        <v>3</v>
      </c>
      <c r="J116" s="101" t="s">
        <v>87</v>
      </c>
      <c r="K116" s="151">
        <v>42644</v>
      </c>
      <c r="L116" s="151">
        <v>42979</v>
      </c>
      <c r="M116" s="123"/>
      <c r="N116" s="149"/>
      <c r="Q116" s="96"/>
    </row>
    <row r="117" spans="1:18" ht="48.75" customHeight="1" x14ac:dyDescent="0.3">
      <c r="A117" s="118" t="s">
        <v>101</v>
      </c>
      <c r="B117" s="70" t="s">
        <v>320</v>
      </c>
      <c r="C117" s="101" t="s">
        <v>103</v>
      </c>
      <c r="D117" s="101" t="s">
        <v>38</v>
      </c>
      <c r="E117" s="157" t="s">
        <v>171</v>
      </c>
      <c r="F117" s="84">
        <v>39080</v>
      </c>
      <c r="G117" s="78">
        <v>1</v>
      </c>
      <c r="H117" s="78">
        <v>0</v>
      </c>
      <c r="I117" s="101">
        <v>3</v>
      </c>
      <c r="J117" s="101" t="s">
        <v>87</v>
      </c>
      <c r="K117" s="151">
        <v>43466</v>
      </c>
      <c r="L117" s="151">
        <v>43556</v>
      </c>
      <c r="M117" s="123"/>
      <c r="N117" s="149"/>
      <c r="Q117" s="96"/>
    </row>
    <row r="118" spans="1:18" ht="60.75" customHeight="1" x14ac:dyDescent="0.3">
      <c r="A118" s="118" t="s">
        <v>101</v>
      </c>
      <c r="B118" s="37" t="s">
        <v>357</v>
      </c>
      <c r="C118" s="101" t="s">
        <v>103</v>
      </c>
      <c r="D118" s="101" t="s">
        <v>40</v>
      </c>
      <c r="E118" s="35" t="s">
        <v>158</v>
      </c>
      <c r="F118" s="82">
        <v>40500</v>
      </c>
      <c r="G118" s="78">
        <v>1</v>
      </c>
      <c r="H118" s="78">
        <v>0</v>
      </c>
      <c r="I118" s="101">
        <v>3</v>
      </c>
      <c r="J118" s="101" t="s">
        <v>87</v>
      </c>
      <c r="K118" s="151">
        <v>43101</v>
      </c>
      <c r="L118" s="151">
        <v>43132</v>
      </c>
      <c r="M118" s="123"/>
      <c r="Q118" s="96"/>
    </row>
    <row r="119" spans="1:18" ht="55.5" customHeight="1" x14ac:dyDescent="0.3">
      <c r="A119" s="118" t="s">
        <v>101</v>
      </c>
      <c r="B119" s="39" t="s">
        <v>358</v>
      </c>
      <c r="C119" s="101" t="s">
        <v>103</v>
      </c>
      <c r="D119" s="101" t="s">
        <v>40</v>
      </c>
      <c r="E119" s="92" t="s">
        <v>317</v>
      </c>
      <c r="F119" s="82">
        <v>25000</v>
      </c>
      <c r="G119" s="78">
        <v>1</v>
      </c>
      <c r="H119" s="78">
        <v>0</v>
      </c>
      <c r="I119" s="101">
        <v>4</v>
      </c>
      <c r="J119" s="101" t="s">
        <v>87</v>
      </c>
      <c r="K119" s="151">
        <v>43101</v>
      </c>
      <c r="L119" s="151">
        <v>43617</v>
      </c>
      <c r="M119" s="104"/>
      <c r="Q119" s="96"/>
    </row>
    <row r="120" spans="1:18" ht="47.25" customHeight="1" x14ac:dyDescent="0.3">
      <c r="A120" s="118" t="s">
        <v>101</v>
      </c>
      <c r="B120" s="39" t="s">
        <v>169</v>
      </c>
      <c r="C120" s="101" t="s">
        <v>141</v>
      </c>
      <c r="D120" s="101" t="s">
        <v>40</v>
      </c>
      <c r="E120" s="39" t="s">
        <v>172</v>
      </c>
      <c r="F120" s="92">
        <v>5000</v>
      </c>
      <c r="G120" s="78">
        <v>1</v>
      </c>
      <c r="H120" s="78">
        <v>0</v>
      </c>
      <c r="I120" s="101">
        <v>4</v>
      </c>
      <c r="J120" s="101" t="s">
        <v>87</v>
      </c>
      <c r="K120" s="93">
        <v>42309</v>
      </c>
      <c r="L120" s="93">
        <v>42430</v>
      </c>
      <c r="M120" s="123"/>
      <c r="Q120" s="96"/>
    </row>
    <row r="121" spans="1:18" ht="47.25" customHeight="1" x14ac:dyDescent="0.3">
      <c r="A121" s="110" t="s">
        <v>101</v>
      </c>
      <c r="B121" s="109" t="s">
        <v>326</v>
      </c>
      <c r="C121" s="101" t="s">
        <v>141</v>
      </c>
      <c r="D121" s="101" t="s">
        <v>40</v>
      </c>
      <c r="E121" s="109" t="s">
        <v>173</v>
      </c>
      <c r="F121" s="159">
        <v>5000</v>
      </c>
      <c r="G121" s="78">
        <v>1</v>
      </c>
      <c r="H121" s="78">
        <v>0</v>
      </c>
      <c r="I121" s="101">
        <v>4</v>
      </c>
      <c r="J121" s="101" t="s">
        <v>87</v>
      </c>
      <c r="K121" s="160">
        <v>42736</v>
      </c>
      <c r="L121" s="160">
        <v>42856</v>
      </c>
      <c r="M121" s="161"/>
      <c r="Q121" s="96"/>
    </row>
    <row r="122" spans="1:18" ht="18" customHeight="1" x14ac:dyDescent="0.3">
      <c r="A122" s="97"/>
      <c r="B122" s="75"/>
      <c r="C122" s="75"/>
      <c r="D122" s="75"/>
      <c r="E122" s="75"/>
      <c r="F122" s="75"/>
      <c r="G122" s="77"/>
      <c r="H122" s="77"/>
      <c r="I122" s="75"/>
      <c r="J122" s="75"/>
      <c r="K122" s="75"/>
      <c r="L122" s="98"/>
      <c r="M122" s="122"/>
      <c r="Q122" s="96"/>
    </row>
    <row r="123" spans="1:18" ht="29.25" customHeight="1" thickBot="1" x14ac:dyDescent="0.35">
      <c r="F123" s="87">
        <f>SUM(F112:F119)</f>
        <v>919468.89</v>
      </c>
      <c r="Q123" s="96" t="s">
        <v>44</v>
      </c>
      <c r="R123" s="126" t="s">
        <v>4</v>
      </c>
    </row>
    <row r="124" spans="1:18" ht="15.75" customHeight="1" x14ac:dyDescent="0.3">
      <c r="A124" s="197" t="s">
        <v>8</v>
      </c>
      <c r="B124" s="198"/>
      <c r="C124" s="198"/>
      <c r="D124" s="198"/>
      <c r="E124" s="198"/>
      <c r="F124" s="198"/>
      <c r="G124" s="198"/>
      <c r="H124" s="198"/>
      <c r="I124" s="198"/>
      <c r="J124" s="198"/>
      <c r="K124" s="198"/>
      <c r="L124" s="198"/>
      <c r="M124" s="198"/>
      <c r="N124" s="199"/>
      <c r="Q124" s="96" t="s">
        <v>45</v>
      </c>
      <c r="R124" s="126" t="s">
        <v>4</v>
      </c>
    </row>
    <row r="125" spans="1:18" ht="15" customHeight="1" x14ac:dyDescent="0.3">
      <c r="A125" s="189" t="s">
        <v>3</v>
      </c>
      <c r="B125" s="190" t="s">
        <v>10</v>
      </c>
      <c r="C125" s="190" t="s">
        <v>11</v>
      </c>
      <c r="D125" s="191" t="s">
        <v>12</v>
      </c>
      <c r="E125" s="191" t="s">
        <v>14</v>
      </c>
      <c r="F125" s="193" t="s">
        <v>90</v>
      </c>
      <c r="G125" s="194"/>
      <c r="H125" s="195"/>
      <c r="I125" s="190" t="s">
        <v>16</v>
      </c>
      <c r="J125" s="190" t="s">
        <v>15</v>
      </c>
      <c r="K125" s="191" t="s">
        <v>88</v>
      </c>
      <c r="L125" s="190" t="s">
        <v>19</v>
      </c>
      <c r="M125" s="190"/>
      <c r="N125" s="196" t="s">
        <v>91</v>
      </c>
      <c r="Q125" s="96" t="s">
        <v>43</v>
      </c>
      <c r="R125" s="126" t="s">
        <v>46</v>
      </c>
    </row>
    <row r="126" spans="1:18" ht="25.5" customHeight="1" x14ac:dyDescent="0.3">
      <c r="A126" s="189"/>
      <c r="B126" s="190"/>
      <c r="C126" s="190"/>
      <c r="D126" s="192"/>
      <c r="E126" s="192"/>
      <c r="F126" s="74" t="s">
        <v>92</v>
      </c>
      <c r="G126" s="73" t="s">
        <v>93</v>
      </c>
      <c r="H126" s="73" t="s">
        <v>94</v>
      </c>
      <c r="I126" s="190"/>
      <c r="J126" s="190"/>
      <c r="K126" s="192"/>
      <c r="L126" s="73" t="s">
        <v>21</v>
      </c>
      <c r="M126" s="73" t="s">
        <v>17</v>
      </c>
      <c r="N126" s="196"/>
      <c r="Q126" s="96" t="s">
        <v>44</v>
      </c>
      <c r="R126" s="126" t="s">
        <v>46</v>
      </c>
    </row>
    <row r="127" spans="1:18" ht="71.25" customHeight="1" x14ac:dyDescent="0.3">
      <c r="A127" s="118" t="s">
        <v>101</v>
      </c>
      <c r="B127" s="162" t="s">
        <v>262</v>
      </c>
      <c r="C127" s="101" t="s">
        <v>142</v>
      </c>
      <c r="D127" s="101" t="s">
        <v>0</v>
      </c>
      <c r="E127" s="163" t="s">
        <v>260</v>
      </c>
      <c r="F127" s="164">
        <v>14000</v>
      </c>
      <c r="G127" s="78">
        <v>1</v>
      </c>
      <c r="H127" s="78">
        <v>0</v>
      </c>
      <c r="I127" s="101">
        <v>1</v>
      </c>
      <c r="J127" s="101">
        <v>1</v>
      </c>
      <c r="K127" s="101" t="s">
        <v>87</v>
      </c>
      <c r="L127" s="151">
        <v>42767</v>
      </c>
      <c r="M127" s="151">
        <v>43009</v>
      </c>
      <c r="N127" s="102"/>
      <c r="Q127" s="96"/>
      <c r="R127" s="126"/>
    </row>
    <row r="128" spans="1:18" ht="71.25" customHeight="1" x14ac:dyDescent="0.3">
      <c r="A128" s="118" t="s">
        <v>101</v>
      </c>
      <c r="B128" s="162" t="s">
        <v>272</v>
      </c>
      <c r="C128" s="101" t="s">
        <v>142</v>
      </c>
      <c r="D128" s="101" t="s">
        <v>40</v>
      </c>
      <c r="E128" s="163" t="s">
        <v>259</v>
      </c>
      <c r="F128" s="164">
        <v>7500</v>
      </c>
      <c r="G128" s="78">
        <v>1</v>
      </c>
      <c r="H128" s="78">
        <v>0</v>
      </c>
      <c r="I128" s="101">
        <v>1</v>
      </c>
      <c r="J128" s="101">
        <v>1</v>
      </c>
      <c r="K128" s="101" t="s">
        <v>87</v>
      </c>
      <c r="L128" s="151">
        <v>42826</v>
      </c>
      <c r="M128" s="151">
        <v>42979</v>
      </c>
      <c r="N128" s="102"/>
      <c r="Q128" s="96"/>
      <c r="R128" s="126"/>
    </row>
    <row r="129" spans="1:18" ht="71.25" customHeight="1" x14ac:dyDescent="0.3">
      <c r="A129" s="118" t="s">
        <v>101</v>
      </c>
      <c r="B129" s="162" t="s">
        <v>318</v>
      </c>
      <c r="C129" s="101" t="s">
        <v>142</v>
      </c>
      <c r="D129" s="101" t="s">
        <v>0</v>
      </c>
      <c r="E129" s="163" t="s">
        <v>166</v>
      </c>
      <c r="F129" s="164">
        <v>75000</v>
      </c>
      <c r="G129" s="78">
        <v>1</v>
      </c>
      <c r="H129" s="78">
        <v>0</v>
      </c>
      <c r="I129" s="101">
        <v>2</v>
      </c>
      <c r="J129" s="101">
        <v>1</v>
      </c>
      <c r="K129" s="101" t="s">
        <v>87</v>
      </c>
      <c r="L129" s="151">
        <v>42552</v>
      </c>
      <c r="M129" s="151">
        <v>42979</v>
      </c>
      <c r="N129" s="102" t="s">
        <v>274</v>
      </c>
      <c r="Q129" s="96"/>
      <c r="R129" s="126"/>
    </row>
    <row r="130" spans="1:18" ht="60" customHeight="1" x14ac:dyDescent="0.3">
      <c r="A130" s="118" t="s">
        <v>101</v>
      </c>
      <c r="B130" s="109" t="s">
        <v>266</v>
      </c>
      <c r="C130" s="101" t="s">
        <v>103</v>
      </c>
      <c r="D130" s="101" t="s">
        <v>40</v>
      </c>
      <c r="E130" s="109" t="s">
        <v>154</v>
      </c>
      <c r="F130" s="164">
        <v>42000</v>
      </c>
      <c r="G130" s="78">
        <v>1</v>
      </c>
      <c r="H130" s="78">
        <v>0</v>
      </c>
      <c r="I130" s="101">
        <v>1</v>
      </c>
      <c r="J130" s="101">
        <v>1</v>
      </c>
      <c r="K130" s="101" t="s">
        <v>87</v>
      </c>
      <c r="L130" s="151">
        <v>42979</v>
      </c>
      <c r="M130" s="151">
        <v>43040</v>
      </c>
      <c r="N130" s="102"/>
      <c r="Q130" s="96"/>
      <c r="R130" s="126"/>
    </row>
    <row r="131" spans="1:18" ht="45" customHeight="1" x14ac:dyDescent="0.3">
      <c r="A131" s="118" t="s">
        <v>101</v>
      </c>
      <c r="B131" s="34" t="s">
        <v>156</v>
      </c>
      <c r="C131" s="104" t="s">
        <v>28</v>
      </c>
      <c r="D131" s="101" t="s">
        <v>41</v>
      </c>
      <c r="E131" s="34" t="s">
        <v>157</v>
      </c>
      <c r="F131" s="84">
        <v>113000</v>
      </c>
      <c r="G131" s="78">
        <v>1</v>
      </c>
      <c r="H131" s="78">
        <v>0</v>
      </c>
      <c r="I131" s="101">
        <v>1</v>
      </c>
      <c r="J131" s="101">
        <v>1</v>
      </c>
      <c r="K131" s="101" t="s">
        <v>87</v>
      </c>
      <c r="L131" s="90">
        <v>42248</v>
      </c>
      <c r="M131" s="90">
        <v>42552</v>
      </c>
      <c r="N131" s="102"/>
      <c r="Q131" s="96"/>
      <c r="R131" s="126"/>
    </row>
    <row r="132" spans="1:18" ht="35.25" customHeight="1" x14ac:dyDescent="0.3">
      <c r="A132" s="118" t="s">
        <v>101</v>
      </c>
      <c r="B132" s="37" t="s">
        <v>159</v>
      </c>
      <c r="C132" s="104" t="s">
        <v>103</v>
      </c>
      <c r="D132" s="101" t="s">
        <v>41</v>
      </c>
      <c r="E132" s="35" t="s">
        <v>160</v>
      </c>
      <c r="F132" s="84">
        <f>29166.67-1200</f>
        <v>27966.67</v>
      </c>
      <c r="G132" s="78">
        <v>1</v>
      </c>
      <c r="H132" s="78">
        <v>0</v>
      </c>
      <c r="I132" s="101">
        <v>1</v>
      </c>
      <c r="J132" s="101">
        <v>3</v>
      </c>
      <c r="K132" s="101" t="s">
        <v>87</v>
      </c>
      <c r="L132" s="90">
        <v>43132</v>
      </c>
      <c r="M132" s="90">
        <v>43221</v>
      </c>
      <c r="N132" s="102"/>
      <c r="Q132" s="96"/>
      <c r="R132" s="126"/>
    </row>
    <row r="133" spans="1:18" ht="35.25" customHeight="1" x14ac:dyDescent="0.3">
      <c r="A133" s="118" t="s">
        <v>101</v>
      </c>
      <c r="B133" s="127" t="s">
        <v>161</v>
      </c>
      <c r="C133" s="104" t="s">
        <v>28</v>
      </c>
      <c r="D133" s="101" t="s">
        <v>41</v>
      </c>
      <c r="E133" s="40" t="s">
        <v>162</v>
      </c>
      <c r="F133" s="84">
        <f>195000+15070.21</f>
        <v>210070.21</v>
      </c>
      <c r="G133" s="78">
        <v>1</v>
      </c>
      <c r="H133" s="78">
        <v>0</v>
      </c>
      <c r="I133" s="101">
        <v>1</v>
      </c>
      <c r="J133" s="101">
        <v>5</v>
      </c>
      <c r="K133" s="101" t="s">
        <v>87</v>
      </c>
      <c r="L133" s="90">
        <v>42036</v>
      </c>
      <c r="M133" s="90">
        <v>42736</v>
      </c>
      <c r="N133" s="102"/>
      <c r="Q133" s="96"/>
      <c r="R133" s="126"/>
    </row>
    <row r="134" spans="1:18" ht="42" customHeight="1" x14ac:dyDescent="0.3">
      <c r="A134" s="118" t="s">
        <v>101</v>
      </c>
      <c r="B134" s="127" t="s">
        <v>163</v>
      </c>
      <c r="C134" s="101" t="s">
        <v>28</v>
      </c>
      <c r="D134" s="101" t="s">
        <v>41</v>
      </c>
      <c r="E134" s="40" t="s">
        <v>164</v>
      </c>
      <c r="F134" s="83">
        <f>105000+10250</f>
        <v>115250</v>
      </c>
      <c r="G134" s="78">
        <v>1</v>
      </c>
      <c r="H134" s="78">
        <v>0</v>
      </c>
      <c r="I134" s="101">
        <v>1</v>
      </c>
      <c r="J134" s="101">
        <v>5</v>
      </c>
      <c r="K134" s="101" t="s">
        <v>87</v>
      </c>
      <c r="L134" s="88">
        <v>42095</v>
      </c>
      <c r="M134" s="88">
        <v>42552</v>
      </c>
      <c r="N134" s="102"/>
      <c r="Q134" s="96"/>
      <c r="R134" s="126"/>
    </row>
    <row r="135" spans="1:18" ht="45" customHeight="1" x14ac:dyDescent="0.3">
      <c r="A135" s="118" t="s">
        <v>101</v>
      </c>
      <c r="B135" s="109" t="s">
        <v>215</v>
      </c>
      <c r="C135" s="101" t="s">
        <v>103</v>
      </c>
      <c r="D135" s="101" t="s">
        <v>0</v>
      </c>
      <c r="E135" s="109" t="s">
        <v>165</v>
      </c>
      <c r="F135" s="165">
        <f>30000+20000</f>
        <v>50000</v>
      </c>
      <c r="G135" s="78">
        <v>1</v>
      </c>
      <c r="H135" s="78">
        <v>0</v>
      </c>
      <c r="I135" s="101">
        <v>1</v>
      </c>
      <c r="J135" s="101">
        <v>4</v>
      </c>
      <c r="K135" s="101" t="s">
        <v>87</v>
      </c>
      <c r="L135" s="151">
        <v>42979</v>
      </c>
      <c r="M135" s="151">
        <v>43617</v>
      </c>
      <c r="N135" s="102"/>
      <c r="Q135" s="96"/>
      <c r="R135" s="126" t="s">
        <v>47</v>
      </c>
    </row>
    <row r="136" spans="1:18" ht="71.25" customHeight="1" x14ac:dyDescent="0.3">
      <c r="A136" s="118" t="s">
        <v>101</v>
      </c>
      <c r="B136" s="162" t="s">
        <v>152</v>
      </c>
      <c r="C136" s="101" t="s">
        <v>141</v>
      </c>
      <c r="D136" s="101" t="s">
        <v>40</v>
      </c>
      <c r="E136" s="163" t="s">
        <v>153</v>
      </c>
      <c r="F136" s="164">
        <v>5000</v>
      </c>
      <c r="G136" s="78">
        <v>1</v>
      </c>
      <c r="H136" s="78">
        <v>0</v>
      </c>
      <c r="I136" s="101">
        <v>1</v>
      </c>
      <c r="J136" s="101">
        <v>1</v>
      </c>
      <c r="K136" s="101" t="s">
        <v>87</v>
      </c>
      <c r="L136" s="151">
        <v>42156</v>
      </c>
      <c r="M136" s="151">
        <v>42186</v>
      </c>
      <c r="N136" s="102"/>
      <c r="Q136" s="96"/>
      <c r="R136" s="126"/>
    </row>
    <row r="137" spans="1:18" x14ac:dyDescent="0.3">
      <c r="A137" s="97"/>
      <c r="B137" s="75"/>
      <c r="C137" s="75"/>
      <c r="D137" s="75"/>
      <c r="E137" s="75"/>
      <c r="F137" s="75"/>
      <c r="G137" s="75"/>
      <c r="H137" s="75"/>
      <c r="I137" s="75"/>
      <c r="J137" s="75"/>
      <c r="K137" s="75"/>
      <c r="L137" s="75"/>
      <c r="M137" s="75"/>
      <c r="N137" s="98"/>
      <c r="Q137" s="96"/>
      <c r="R137" s="126" t="s">
        <v>47</v>
      </c>
    </row>
    <row r="138" spans="1:18" ht="24" customHeight="1" thickBot="1" x14ac:dyDescent="0.35">
      <c r="A138" s="79"/>
      <c r="B138" s="79"/>
      <c r="C138" s="79"/>
      <c r="D138" s="79"/>
      <c r="E138" s="79"/>
      <c r="F138" s="128">
        <f>SUM(F127:F135)</f>
        <v>654786.88</v>
      </c>
      <c r="G138" s="79"/>
      <c r="H138" s="79"/>
      <c r="I138" s="79"/>
      <c r="J138" s="79"/>
      <c r="K138" s="79"/>
      <c r="L138" s="79"/>
      <c r="M138" s="79"/>
      <c r="N138" s="79"/>
      <c r="Q138" s="96"/>
      <c r="R138" s="126"/>
    </row>
    <row r="139" spans="1:18" ht="24" customHeight="1" x14ac:dyDescent="0.3">
      <c r="A139" s="197" t="s">
        <v>9</v>
      </c>
      <c r="B139" s="198"/>
      <c r="C139" s="198"/>
      <c r="D139" s="198"/>
      <c r="E139" s="198"/>
      <c r="F139" s="198"/>
      <c r="G139" s="198"/>
      <c r="H139" s="198"/>
      <c r="I139" s="198"/>
      <c r="J139" s="198"/>
      <c r="K139" s="198"/>
      <c r="L139" s="198"/>
      <c r="M139" s="198"/>
      <c r="N139" s="199"/>
      <c r="Q139" s="96"/>
      <c r="R139" s="126"/>
    </row>
    <row r="140" spans="1:18" ht="21.75" customHeight="1" x14ac:dyDescent="0.3">
      <c r="A140" s="189" t="s">
        <v>3</v>
      </c>
      <c r="B140" s="190" t="s">
        <v>10</v>
      </c>
      <c r="C140" s="190" t="s">
        <v>11</v>
      </c>
      <c r="D140" s="191" t="s">
        <v>12</v>
      </c>
      <c r="E140" s="190" t="s">
        <v>14</v>
      </c>
      <c r="F140" s="214" t="s">
        <v>92</v>
      </c>
      <c r="G140" s="211" t="s">
        <v>96</v>
      </c>
      <c r="H140" s="216"/>
      <c r="I140" s="217"/>
      <c r="J140" s="214" t="s">
        <v>88</v>
      </c>
      <c r="K140" s="211" t="s">
        <v>19</v>
      </c>
      <c r="L140" s="212"/>
      <c r="M140" s="213"/>
      <c r="N140" s="210"/>
      <c r="Q140" s="96" t="s">
        <v>49</v>
      </c>
      <c r="R140" s="126" t="s">
        <v>48</v>
      </c>
    </row>
    <row r="141" spans="1:18" ht="39.75" customHeight="1" x14ac:dyDescent="0.3">
      <c r="A141" s="189"/>
      <c r="B141" s="190"/>
      <c r="C141" s="190"/>
      <c r="D141" s="192"/>
      <c r="E141" s="190"/>
      <c r="F141" s="215"/>
      <c r="G141" s="152" t="s">
        <v>93</v>
      </c>
      <c r="H141" s="152" t="s">
        <v>90</v>
      </c>
      <c r="I141" s="152" t="s">
        <v>15</v>
      </c>
      <c r="J141" s="218"/>
      <c r="K141" s="153" t="s">
        <v>22</v>
      </c>
      <c r="L141" s="154" t="s">
        <v>143</v>
      </c>
      <c r="M141" s="154" t="s">
        <v>91</v>
      </c>
      <c r="N141" s="210"/>
      <c r="Q141" s="96" t="s">
        <v>50</v>
      </c>
      <c r="R141" s="126" t="s">
        <v>48</v>
      </c>
    </row>
    <row r="142" spans="1:18" ht="15" customHeight="1" x14ac:dyDescent="0.3">
      <c r="A142" s="97"/>
      <c r="B142" s="75"/>
      <c r="C142" s="75"/>
      <c r="D142" s="75"/>
      <c r="E142" s="75"/>
      <c r="F142" s="75"/>
      <c r="G142" s="75"/>
      <c r="H142" s="75"/>
      <c r="I142" s="75"/>
      <c r="J142" s="75"/>
      <c r="K142" s="75"/>
      <c r="L142" s="75"/>
      <c r="M142" s="75"/>
      <c r="N142" s="98"/>
      <c r="Q142" s="96"/>
      <c r="R142" s="126" t="s">
        <v>51</v>
      </c>
    </row>
    <row r="143" spans="1:18" ht="71.25" customHeight="1" x14ac:dyDescent="0.3">
      <c r="A143" s="118" t="s">
        <v>101</v>
      </c>
      <c r="B143" s="37" t="s">
        <v>144</v>
      </c>
      <c r="C143" s="101" t="s">
        <v>103</v>
      </c>
      <c r="D143" s="104" t="s">
        <v>38</v>
      </c>
      <c r="E143" s="35" t="s">
        <v>148</v>
      </c>
      <c r="F143" s="82">
        <v>3433.33</v>
      </c>
      <c r="G143" s="78">
        <v>1</v>
      </c>
      <c r="H143" s="78">
        <v>0</v>
      </c>
      <c r="I143" s="101">
        <v>3</v>
      </c>
      <c r="J143" s="101" t="s">
        <v>87</v>
      </c>
      <c r="K143" s="90">
        <v>43252</v>
      </c>
      <c r="L143" s="90">
        <v>43617</v>
      </c>
      <c r="M143" s="106"/>
      <c r="N143" s="102"/>
      <c r="Q143" s="96"/>
      <c r="R143" s="126" t="s">
        <v>51</v>
      </c>
    </row>
    <row r="144" spans="1:18" ht="42.75" customHeight="1" x14ac:dyDescent="0.3">
      <c r="A144" s="118" t="s">
        <v>101</v>
      </c>
      <c r="B144" s="37" t="s">
        <v>145</v>
      </c>
      <c r="C144" s="101" t="s">
        <v>103</v>
      </c>
      <c r="D144" s="104" t="s">
        <v>40</v>
      </c>
      <c r="E144" s="35" t="s">
        <v>149</v>
      </c>
      <c r="F144" s="82">
        <v>3450</v>
      </c>
      <c r="G144" s="78">
        <v>1</v>
      </c>
      <c r="H144" s="78">
        <v>0</v>
      </c>
      <c r="I144" s="101">
        <v>3</v>
      </c>
      <c r="J144" s="101" t="s">
        <v>87</v>
      </c>
      <c r="K144" s="151">
        <v>43101</v>
      </c>
      <c r="L144" s="90">
        <v>43617</v>
      </c>
      <c r="M144" s="101"/>
      <c r="N144" s="102"/>
      <c r="O144" s="129"/>
      <c r="Q144" s="95"/>
      <c r="R144" s="130"/>
    </row>
    <row r="145" spans="1:18" ht="42.75" customHeight="1" x14ac:dyDescent="0.3">
      <c r="A145" s="118" t="s">
        <v>101</v>
      </c>
      <c r="B145" s="37" t="s">
        <v>146</v>
      </c>
      <c r="C145" s="101" t="s">
        <v>103</v>
      </c>
      <c r="D145" s="101" t="s">
        <v>36</v>
      </c>
      <c r="E145" s="35" t="s">
        <v>210</v>
      </c>
      <c r="F145" s="82">
        <v>600</v>
      </c>
      <c r="G145" s="78">
        <v>1</v>
      </c>
      <c r="H145" s="78">
        <v>0</v>
      </c>
      <c r="I145" s="101">
        <v>3</v>
      </c>
      <c r="J145" s="101" t="s">
        <v>86</v>
      </c>
      <c r="K145" s="151">
        <v>43101</v>
      </c>
      <c r="L145" s="90">
        <v>43647</v>
      </c>
      <c r="M145" s="101"/>
      <c r="N145" s="102"/>
      <c r="Q145" s="95"/>
      <c r="R145" s="130"/>
    </row>
    <row r="146" spans="1:18" ht="69.75" customHeight="1" x14ac:dyDescent="0.3">
      <c r="A146" s="118" t="s">
        <v>101</v>
      </c>
      <c r="B146" s="37" t="s">
        <v>147</v>
      </c>
      <c r="C146" s="101" t="s">
        <v>103</v>
      </c>
      <c r="D146" s="101" t="s">
        <v>40</v>
      </c>
      <c r="E146" s="35" t="s">
        <v>150</v>
      </c>
      <c r="F146" s="82">
        <v>5000</v>
      </c>
      <c r="G146" s="78">
        <v>1</v>
      </c>
      <c r="H146" s="78">
        <v>0</v>
      </c>
      <c r="I146" s="101">
        <v>3</v>
      </c>
      <c r="J146" s="101" t="s">
        <v>87</v>
      </c>
      <c r="K146" s="151">
        <v>43101</v>
      </c>
      <c r="L146" s="90">
        <v>43647</v>
      </c>
      <c r="M146" s="106" t="s">
        <v>209</v>
      </c>
      <c r="N146" s="102"/>
      <c r="Q146" s="95"/>
      <c r="R146" s="130"/>
    </row>
    <row r="147" spans="1:18" ht="36.75" customHeight="1" x14ac:dyDescent="0.3">
      <c r="A147" s="104" t="s">
        <v>101</v>
      </c>
      <c r="B147" s="38" t="s">
        <v>324</v>
      </c>
      <c r="C147" s="101" t="s">
        <v>103</v>
      </c>
      <c r="D147" s="101" t="s">
        <v>36</v>
      </c>
      <c r="E147" s="36" t="s">
        <v>151</v>
      </c>
      <c r="F147" s="82">
        <v>4941</v>
      </c>
      <c r="G147" s="78">
        <v>1</v>
      </c>
      <c r="H147" s="78">
        <v>0</v>
      </c>
      <c r="I147" s="101">
        <v>3</v>
      </c>
      <c r="J147" s="101" t="s">
        <v>86</v>
      </c>
      <c r="K147" s="151">
        <v>43132</v>
      </c>
      <c r="L147" s="90">
        <v>43617</v>
      </c>
      <c r="M147" s="101"/>
      <c r="N147" s="102"/>
      <c r="Q147" s="95"/>
      <c r="R147" s="130"/>
    </row>
    <row r="148" spans="1:18" ht="50.4" customHeight="1" x14ac:dyDescent="0.3">
      <c r="A148" s="104" t="s">
        <v>101</v>
      </c>
      <c r="B148" s="38" t="s">
        <v>237</v>
      </c>
      <c r="C148" s="101" t="s">
        <v>236</v>
      </c>
      <c r="D148" s="101" t="s">
        <v>36</v>
      </c>
      <c r="E148" s="36" t="s">
        <v>200</v>
      </c>
      <c r="F148" s="82">
        <v>30000</v>
      </c>
      <c r="G148" s="78">
        <v>1</v>
      </c>
      <c r="H148" s="78">
        <v>0</v>
      </c>
      <c r="I148" s="101">
        <v>3</v>
      </c>
      <c r="J148" s="101" t="s">
        <v>87</v>
      </c>
      <c r="K148" s="151">
        <v>43101</v>
      </c>
      <c r="L148" s="90">
        <v>43435</v>
      </c>
      <c r="M148" s="101"/>
      <c r="N148" s="101"/>
      <c r="Q148" s="95"/>
      <c r="R148" s="130"/>
    </row>
    <row r="149" spans="1:18" x14ac:dyDescent="0.3">
      <c r="A149" s="79"/>
      <c r="B149" s="79"/>
      <c r="C149" s="79"/>
      <c r="D149" s="79"/>
      <c r="E149" s="79"/>
      <c r="F149" s="128">
        <f>SUM(F143:F148)</f>
        <v>47424.33</v>
      </c>
      <c r="G149" s="79"/>
      <c r="H149" s="79"/>
      <c r="I149" s="79"/>
      <c r="J149" s="79"/>
      <c r="K149" s="79"/>
      <c r="L149" s="79"/>
      <c r="M149" s="79"/>
      <c r="N149" s="79"/>
      <c r="Q149" s="95"/>
      <c r="R149" s="130"/>
    </row>
    <row r="150" spans="1:18" ht="15" thickBot="1" x14ac:dyDescent="0.35">
      <c r="D150" s="131"/>
      <c r="Q150" s="95"/>
      <c r="R150" s="130"/>
    </row>
    <row r="151" spans="1:18" ht="16.5" customHeight="1" x14ac:dyDescent="0.3">
      <c r="A151" s="186" t="s">
        <v>204</v>
      </c>
      <c r="B151" s="187"/>
      <c r="C151" s="187"/>
      <c r="D151" s="187"/>
      <c r="E151" s="187"/>
      <c r="F151" s="187"/>
      <c r="G151" s="187"/>
      <c r="H151" s="187"/>
      <c r="I151" s="187"/>
      <c r="J151" s="187"/>
      <c r="K151" s="187"/>
      <c r="L151" s="188"/>
      <c r="Q151" s="96" t="s">
        <v>50</v>
      </c>
      <c r="R151" s="130"/>
    </row>
    <row r="152" spans="1:18" x14ac:dyDescent="0.3">
      <c r="A152" s="189" t="s">
        <v>205</v>
      </c>
      <c r="B152" s="190" t="s">
        <v>206</v>
      </c>
      <c r="C152" s="190" t="s">
        <v>11</v>
      </c>
      <c r="D152" s="191" t="s">
        <v>14</v>
      </c>
      <c r="E152" s="193" t="s">
        <v>96</v>
      </c>
      <c r="F152" s="194"/>
      <c r="G152" s="195"/>
      <c r="H152" s="190" t="s">
        <v>15</v>
      </c>
      <c r="I152" s="190" t="s">
        <v>207</v>
      </c>
      <c r="J152" s="190" t="s">
        <v>19</v>
      </c>
      <c r="K152" s="190"/>
      <c r="L152" s="196" t="s">
        <v>91</v>
      </c>
    </row>
    <row r="153" spans="1:18" ht="25.5" customHeight="1" x14ac:dyDescent="0.3">
      <c r="A153" s="189"/>
      <c r="B153" s="190"/>
      <c r="C153" s="190"/>
      <c r="D153" s="192"/>
      <c r="E153" s="74" t="s">
        <v>92</v>
      </c>
      <c r="F153" s="73" t="s">
        <v>93</v>
      </c>
      <c r="G153" s="73" t="s">
        <v>94</v>
      </c>
      <c r="H153" s="190"/>
      <c r="I153" s="190"/>
      <c r="J153" s="73" t="s">
        <v>17</v>
      </c>
      <c r="K153" s="73" t="s">
        <v>208</v>
      </c>
      <c r="L153" s="196"/>
      <c r="Q153" s="132" t="s">
        <v>40</v>
      </c>
      <c r="R153" s="130"/>
    </row>
    <row r="154" spans="1:18" ht="22.5" customHeight="1" x14ac:dyDescent="0.3">
      <c r="A154" s="97"/>
      <c r="B154" s="75"/>
      <c r="C154" s="75"/>
      <c r="D154" s="75"/>
      <c r="E154" s="75"/>
      <c r="F154" s="75"/>
      <c r="G154" s="75"/>
      <c r="H154" s="75"/>
      <c r="I154" s="75"/>
      <c r="J154" s="75"/>
      <c r="K154" s="75"/>
      <c r="L154" s="98"/>
      <c r="Q154" s="132" t="s">
        <v>41</v>
      </c>
      <c r="R154" s="130"/>
    </row>
    <row r="155" spans="1:18" ht="14.25" customHeight="1" x14ac:dyDescent="0.3">
      <c r="A155" s="97"/>
      <c r="B155" s="75"/>
      <c r="C155" s="75"/>
      <c r="D155" s="75"/>
      <c r="E155" s="75"/>
      <c r="F155" s="75"/>
      <c r="G155" s="75"/>
      <c r="H155" s="75"/>
      <c r="I155" s="75"/>
      <c r="J155" s="75"/>
      <c r="K155" s="75"/>
      <c r="L155" s="98"/>
      <c r="Q155" s="132" t="s">
        <v>42</v>
      </c>
      <c r="R155" s="130"/>
    </row>
    <row r="156" spans="1:18" ht="16.5" customHeight="1" x14ac:dyDescent="0.3">
      <c r="A156" s="97"/>
      <c r="B156" s="75"/>
      <c r="C156" s="75"/>
      <c r="D156" s="75"/>
      <c r="E156" s="75"/>
      <c r="F156" s="75"/>
      <c r="G156" s="75"/>
      <c r="H156" s="75"/>
      <c r="I156" s="75"/>
      <c r="J156" s="75"/>
      <c r="K156" s="75"/>
      <c r="L156" s="98"/>
      <c r="Q156" s="132" t="s">
        <v>0</v>
      </c>
      <c r="R156" s="130"/>
    </row>
    <row r="157" spans="1:18" x14ac:dyDescent="0.3">
      <c r="A157" s="97"/>
      <c r="B157" s="75"/>
      <c r="C157" s="75"/>
      <c r="D157" s="75"/>
      <c r="E157" s="75"/>
      <c r="F157" s="75"/>
      <c r="G157" s="75"/>
      <c r="H157" s="75"/>
      <c r="I157" s="75"/>
      <c r="J157" s="75"/>
      <c r="K157" s="75"/>
      <c r="L157" s="98"/>
    </row>
    <row r="158" spans="1:18" ht="15" thickBot="1" x14ac:dyDescent="0.35">
      <c r="A158" s="99"/>
      <c r="B158" s="76"/>
      <c r="C158" s="76"/>
      <c r="D158" s="76"/>
      <c r="E158" s="76"/>
      <c r="F158" s="76"/>
      <c r="G158" s="76"/>
      <c r="H158" s="76"/>
      <c r="I158" s="76"/>
      <c r="J158" s="76"/>
      <c r="K158" s="76"/>
      <c r="L158" s="100"/>
    </row>
    <row r="160" spans="1:18" x14ac:dyDescent="0.3">
      <c r="A160" s="133"/>
      <c r="B160" s="80" t="s">
        <v>328</v>
      </c>
    </row>
    <row r="161" spans="1:6" x14ac:dyDescent="0.3">
      <c r="A161" s="134"/>
      <c r="B161" s="80" t="s">
        <v>329</v>
      </c>
    </row>
    <row r="162" spans="1:6" x14ac:dyDescent="0.3">
      <c r="A162" s="135"/>
      <c r="B162" s="80" t="s">
        <v>330</v>
      </c>
    </row>
    <row r="163" spans="1:6" x14ac:dyDescent="0.3">
      <c r="F163" s="136">
        <f>+F149+F138+F123+G107+G53</f>
        <v>3909441.0036088978</v>
      </c>
    </row>
    <row r="164" spans="1:6" x14ac:dyDescent="0.3">
      <c r="F164" s="87">
        <f>3909441-F163</f>
        <v>-3.6088977940380573E-3</v>
      </c>
    </row>
    <row r="165" spans="1:6" x14ac:dyDescent="0.3">
      <c r="F165" s="137"/>
    </row>
    <row r="166" spans="1:6" x14ac:dyDescent="0.3">
      <c r="F166" s="137"/>
    </row>
    <row r="167" spans="1:6" x14ac:dyDescent="0.3">
      <c r="F167" s="138"/>
    </row>
    <row r="169" spans="1:6" x14ac:dyDescent="0.3">
      <c r="F169" s="139"/>
    </row>
    <row r="170" spans="1:6" x14ac:dyDescent="0.3">
      <c r="F170" s="138"/>
    </row>
    <row r="174" spans="1:6" x14ac:dyDescent="0.3">
      <c r="F174" s="137"/>
    </row>
  </sheetData>
  <autoFilter ref="D1:D174" xr:uid="{00000000-0009-0000-0000-000002000000}"/>
  <mergeCells count="81">
    <mergeCell ref="N140:N141"/>
    <mergeCell ref="F3:F4"/>
    <mergeCell ref="K140:M140"/>
    <mergeCell ref="D140:D141"/>
    <mergeCell ref="E140:E141"/>
    <mergeCell ref="F140:F141"/>
    <mergeCell ref="G140:I140"/>
    <mergeCell ref="J140:J141"/>
    <mergeCell ref="A139:N139"/>
    <mergeCell ref="A140:A141"/>
    <mergeCell ref="B140:B141"/>
    <mergeCell ref="C140:C141"/>
    <mergeCell ref="N3:N4"/>
    <mergeCell ref="L3:M3"/>
    <mergeCell ref="K3:K4"/>
    <mergeCell ref="J3:J4"/>
    <mergeCell ref="G3:I3"/>
    <mergeCell ref="B3:B4"/>
    <mergeCell ref="C3:C4"/>
    <mergeCell ref="D3:D4"/>
    <mergeCell ref="E3:E4"/>
    <mergeCell ref="G12:I12"/>
    <mergeCell ref="A1:AJ1"/>
    <mergeCell ref="A54:N54"/>
    <mergeCell ref="A11:N11"/>
    <mergeCell ref="A12:A13"/>
    <mergeCell ref="B12:B13"/>
    <mergeCell ref="C12:C13"/>
    <mergeCell ref="D12:D13"/>
    <mergeCell ref="E12:E13"/>
    <mergeCell ref="F12:F13"/>
    <mergeCell ref="J12:J13"/>
    <mergeCell ref="K12:K13"/>
    <mergeCell ref="L12:M12"/>
    <mergeCell ref="N12:N13"/>
    <mergeCell ref="A2:N2"/>
    <mergeCell ref="A3:A4"/>
    <mergeCell ref="F109:H109"/>
    <mergeCell ref="F55:F56"/>
    <mergeCell ref="J55:J56"/>
    <mergeCell ref="A55:A56"/>
    <mergeCell ref="B55:B56"/>
    <mergeCell ref="C55:C56"/>
    <mergeCell ref="K55:K56"/>
    <mergeCell ref="L55:M55"/>
    <mergeCell ref="N55:N56"/>
    <mergeCell ref="A109:A110"/>
    <mergeCell ref="B109:B110"/>
    <mergeCell ref="C109:C110"/>
    <mergeCell ref="D109:D110"/>
    <mergeCell ref="E109:E110"/>
    <mergeCell ref="I109:I110"/>
    <mergeCell ref="J109:J110"/>
    <mergeCell ref="K109:L109"/>
    <mergeCell ref="M109:M110"/>
    <mergeCell ref="A108:L108"/>
    <mergeCell ref="D55:D56"/>
    <mergeCell ref="E55:E56"/>
    <mergeCell ref="G55:I55"/>
    <mergeCell ref="K125:K126"/>
    <mergeCell ref="L125:M125"/>
    <mergeCell ref="N125:N126"/>
    <mergeCell ref="A124:N124"/>
    <mergeCell ref="A125:A126"/>
    <mergeCell ref="B125:B126"/>
    <mergeCell ref="C125:C126"/>
    <mergeCell ref="D125:D126"/>
    <mergeCell ref="E125:E126"/>
    <mergeCell ref="I125:I126"/>
    <mergeCell ref="J125:J126"/>
    <mergeCell ref="F125:H125"/>
    <mergeCell ref="A151:L151"/>
    <mergeCell ref="A152:A153"/>
    <mergeCell ref="B152:B153"/>
    <mergeCell ref="C152:C153"/>
    <mergeCell ref="D152:D153"/>
    <mergeCell ref="E152:G152"/>
    <mergeCell ref="H152:H153"/>
    <mergeCell ref="I152:I153"/>
    <mergeCell ref="J152:K152"/>
    <mergeCell ref="L152:L153"/>
  </mergeCells>
  <dataValidations count="7">
    <dataValidation type="list" allowBlank="1" showInputMessage="1" showErrorMessage="1" sqref="K5:K9 K142 J143:J148 K149 K14:K52 K57:K106 J111:J122 K127:K138" xr:uid="{00000000-0002-0000-0200-000000000000}">
      <formula1>$Q$2:$Q$4</formula1>
    </dataValidation>
    <dataValidation type="list" allowBlank="1" showInputMessage="1" showErrorMessage="1" sqref="D149 D127:D138" xr:uid="{00000000-0002-0000-0200-000001000000}">
      <formula1>$Q$153:$Q$156</formula1>
    </dataValidation>
    <dataValidation type="list" allowBlank="1" showInputMessage="1" showErrorMessage="1" sqref="D84:D85" xr:uid="{00000000-0002-0000-0200-000002000000}">
      <formula1>$Q$182:$Q$185</formula1>
    </dataValidation>
    <dataValidation type="list" allowBlank="1" showInputMessage="1" showErrorMessage="1" sqref="D111:D122" xr:uid="{00000000-0002-0000-0200-000003000000}">
      <formula1>$Q$106:$Q$111</formula1>
    </dataValidation>
    <dataValidation type="list" allowBlank="1" showInputMessage="1" showErrorMessage="1" sqref="D59 D80 D86:D87 D91:D103 D105 D77" xr:uid="{00000000-0002-0000-0200-000004000000}">
      <formula1>$Q$51:$Q$56</formula1>
    </dataValidation>
    <dataValidation type="list" allowBlank="1" showInputMessage="1" showErrorMessage="1" sqref="D145:D148 D81:D83 D88:D90 D78:D79 D57:D58 D142 D5:D9 D106 D60:D76 D104 D14:D52" xr:uid="{00000000-0002-0000-0200-000005000000}">
      <formula1>$Q$15:$Q$57</formula1>
    </dataValidation>
    <dataValidation type="list" allowBlank="1" showInputMessage="1" showErrorMessage="1" sqref="D143:D144" xr:uid="{00000000-0002-0000-0200-000006000000}">
      <formula1>$Q$127:$Q$131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53"/>
  <sheetViews>
    <sheetView workbookViewId="0">
      <selection activeCell="H17" sqref="H17:H19"/>
    </sheetView>
  </sheetViews>
  <sheetFormatPr defaultRowHeight="14.4" x14ac:dyDescent="0.3"/>
  <cols>
    <col min="1" max="1" width="13.5546875" customWidth="1"/>
    <col min="2" max="2" width="15" customWidth="1"/>
    <col min="3" max="3" width="15.44140625" customWidth="1"/>
    <col min="4" max="4" width="14.33203125" customWidth="1"/>
    <col min="5" max="5" width="15.109375" customWidth="1"/>
    <col min="6" max="6" width="13.109375" customWidth="1"/>
    <col min="7" max="7" width="13" customWidth="1"/>
    <col min="8" max="8" width="15.88671875" customWidth="1"/>
    <col min="10" max="10" width="13.33203125" bestFit="1" customWidth="1"/>
    <col min="11" max="11" width="10.5546875" bestFit="1" customWidth="1"/>
  </cols>
  <sheetData>
    <row r="3" spans="2:12" ht="28.8" x14ac:dyDescent="0.3">
      <c r="B3" s="42" t="s">
        <v>211</v>
      </c>
      <c r="C3" s="42" t="s">
        <v>4</v>
      </c>
      <c r="D3" s="43" t="s">
        <v>212</v>
      </c>
      <c r="E3" s="43" t="s">
        <v>213</v>
      </c>
      <c r="F3" s="43" t="s">
        <v>214</v>
      </c>
      <c r="G3" s="42" t="s">
        <v>76</v>
      </c>
      <c r="H3" s="44" t="s">
        <v>1</v>
      </c>
    </row>
    <row r="4" spans="2:12" x14ac:dyDescent="0.3">
      <c r="B4" s="42"/>
      <c r="C4" s="42"/>
      <c r="D4" s="42"/>
      <c r="E4" s="42"/>
      <c r="F4" s="45"/>
      <c r="G4" s="48"/>
      <c r="H4" s="44"/>
    </row>
    <row r="5" spans="2:12" x14ac:dyDescent="0.3">
      <c r="B5" s="51">
        <v>1</v>
      </c>
      <c r="C5" s="45">
        <f>+'Detailed Procurement Plan'!G15+'Detailed Procurement Plan'!G16+'Detailed Procurement Plan'!G17+'Detailed Procurement Plan'!G18+'Detailed Procurement Plan'!G19+'Detailed Procurement Plan'!G20+'Detailed Procurement Plan'!G21+'Detailed Procurement Plan'!G22</f>
        <v>131800</v>
      </c>
      <c r="D5" s="45">
        <f>+'Detailed Procurement Plan'!G58+'Detailed Procurement Plan'!G59+'Detailed Procurement Plan'!G60+'Detailed Procurement Plan'!G61+'Detailed Procurement Plan'!G62+'Detailed Procurement Plan'!G63+'Detailed Procurement Plan'!G64+'Detailed Procurement Plan'!G68+'Detailed Procurement Plan'!G69+'Detailed Procurement Plan'!G70+'Detailed Procurement Plan'!G71</f>
        <v>43800</v>
      </c>
      <c r="E5" s="45">
        <f>+'Detailed Procurement Plan'!F112+'Detailed Procurement Plan'!F113++'Detailed Procurement Plan'!F114</f>
        <v>182300</v>
      </c>
      <c r="F5" s="48">
        <f>+'Detailed Procurement Plan'!F136+'Detailed Procurement Plan'!F127+'Detailed Procurement Plan'!F128+'Detailed Procurement Plan'!F130+'Detailed Procurement Plan'!F131+'Detailed Procurement Plan'!F132+'Detailed Procurement Plan'!F133+'Detailed Procurement Plan'!F134+'Detailed Procurement Plan'!F135</f>
        <v>584786.88</v>
      </c>
      <c r="G5" s="48"/>
      <c r="H5" s="58">
        <f>SUM(C5:G5)</f>
        <v>942686.88</v>
      </c>
      <c r="J5" s="55"/>
    </row>
    <row r="6" spans="2:12" x14ac:dyDescent="0.3">
      <c r="B6" s="51"/>
      <c r="C6" s="45"/>
      <c r="D6" s="56"/>
      <c r="E6" s="45"/>
      <c r="F6" s="48"/>
      <c r="G6" s="48"/>
      <c r="H6" s="58"/>
    </row>
    <row r="7" spans="2:12" x14ac:dyDescent="0.3">
      <c r="B7" s="52">
        <v>2</v>
      </c>
      <c r="C7" s="45">
        <f>+'Detailed Procurement Plan'!G23+'Detailed Procurement Plan'!G24+'Detailed Procurement Plan'!G25+'Detailed Procurement Plan'!G26</f>
        <v>2500</v>
      </c>
      <c r="D7" s="46">
        <f>+'Detailed Procurement Plan'!G103+'Detailed Procurement Plan'!G72+'Detailed Procurement Plan'!G73+'Detailed Procurement Plan'!G74+'Detailed Procurement Plan'!G75+'Detailed Procurement Plan'!G104+'Detailed Procurement Plan'!G76</f>
        <v>26624.11</v>
      </c>
      <c r="E7" s="45">
        <f>+'Detailed Procurement Plan'!F115</f>
        <v>595218.89</v>
      </c>
      <c r="F7" s="48">
        <f>+'Detailed Procurement Plan'!F129</f>
        <v>75000</v>
      </c>
      <c r="G7" s="48"/>
      <c r="H7" s="58">
        <f t="shared" ref="H7:H13" si="0">SUM(C7:G7)</f>
        <v>699343</v>
      </c>
      <c r="J7" s="55"/>
      <c r="L7" s="61"/>
    </row>
    <row r="8" spans="2:12" x14ac:dyDescent="0.3">
      <c r="B8" s="53"/>
      <c r="C8" s="45"/>
      <c r="D8" s="56"/>
      <c r="E8" s="45"/>
      <c r="F8" s="48"/>
      <c r="G8" s="48"/>
      <c r="H8" s="58"/>
    </row>
    <row r="9" spans="2:12" x14ac:dyDescent="0.3">
      <c r="B9" s="51">
        <v>3</v>
      </c>
      <c r="C9" s="45">
        <f>+'Detailed Procurement Plan'!G45+'Detailed Procurement Plan'!G27+'Detailed Procurement Plan'!G28+'Detailed Procurement Plan'!G29+'Detailed Procurement Plan'!G30+'Detailed Procurement Plan'!G31+'Detailed Procurement Plan'!G32+'Detailed Procurement Plan'!G33+'Detailed Procurement Plan'!G34+'Detailed Procurement Plan'!G35+'Detailed Procurement Plan'!G36+'Detailed Procurement Plan'!G37+'Detailed Procurement Plan'!G38+'Detailed Procurement Plan'!G39+'Detailed Procurement Plan'!G40+'Detailed Procurement Plan'!G41+'Detailed Procurement Plan'!G49+'Detailed Procurement Plan'!G42+'Detailed Procurement Plan'!G50+'Detailed Procurement Plan'!G51+'Detailed Procurement Plan'!G43</f>
        <v>925547.81068965513</v>
      </c>
      <c r="D9" s="46">
        <f>+'Detailed Procurement Plan'!G65+'Detailed Procurement Plan'!G105+'Detailed Procurement Plan'!G77+'Detailed Procurement Plan'!G78+'Detailed Procurement Plan'!G79+'Detailed Procurement Plan'!G80+'Detailed Procurement Plan'!G81+'Detailed Procurement Plan'!G82+'Detailed Procurement Plan'!G83+'Detailed Procurement Plan'!G84+'Detailed Procurement Plan'!G85+'Detailed Procurement Plan'!G86+'Detailed Procurement Plan'!G87+'Detailed Procurement Plan'!G88+'Detailed Procurement Plan'!G89+'Detailed Procurement Plan'!G90+'Detailed Procurement Plan'!G91+'Detailed Procurement Plan'!G92+'Detailed Procurement Plan'!G93+'Detailed Procurement Plan'!G94+'Detailed Procurement Plan'!G95+'Detailed Procurement Plan'!G96+'Detailed Procurement Plan'!G97+'Detailed Procurement Plan'!G98+'Detailed Procurement Plan'!G99+'Detailed Procurement Plan'!G100+'Detailed Procurement Plan'!G101+'Detailed Procurement Plan'!G102</f>
        <v>1133448.2929192428</v>
      </c>
      <c r="E9" s="45">
        <f>+'Detailed Procurement Plan'!F116+'Detailed Procurement Plan'!F117+'Detailed Procurement Plan'!F118</f>
        <v>116950</v>
      </c>
      <c r="F9" s="48"/>
      <c r="G9" s="48">
        <f>+'Detailed Procurement Plan'!F143+'Detailed Procurement Plan'!F144+'Detailed Procurement Plan'!F145+'Detailed Procurement Plan'!F146+'Detailed Procurement Plan'!F147+'Detailed Procurement Plan'!F148</f>
        <v>47424.33</v>
      </c>
      <c r="H9" s="58">
        <f t="shared" si="0"/>
        <v>2223370.433608898</v>
      </c>
      <c r="J9" s="55"/>
      <c r="L9" s="61"/>
    </row>
    <row r="10" spans="2:12" x14ac:dyDescent="0.3">
      <c r="B10" s="51"/>
      <c r="C10" s="48"/>
      <c r="D10" s="56"/>
      <c r="E10" s="45"/>
      <c r="F10" s="48"/>
      <c r="G10" s="48"/>
      <c r="H10" s="58"/>
    </row>
    <row r="11" spans="2:12" x14ac:dyDescent="0.3">
      <c r="B11" s="51">
        <v>4</v>
      </c>
      <c r="C11" s="48">
        <f>+'Detailed Procurement Plan'!G46+'Detailed Procurement Plan'!G44+'Detailed Procurement Plan'!G48</f>
        <v>13490</v>
      </c>
      <c r="D11" s="45">
        <f>+'Detailed Procurement Plan'!G66+'Detailed Procurement Plan'!G67</f>
        <v>1510</v>
      </c>
      <c r="E11" s="45">
        <f>+'Detailed Procurement Plan'!F120+'Detailed Procurement Plan'!F121+'Detailed Procurement Plan'!F119</f>
        <v>35000</v>
      </c>
      <c r="F11" s="48"/>
      <c r="G11" s="48"/>
      <c r="H11" s="58">
        <f>SUM(C11:G11)</f>
        <v>50000</v>
      </c>
      <c r="J11" s="54"/>
      <c r="L11" s="61"/>
    </row>
    <row r="12" spans="2:12" x14ac:dyDescent="0.3">
      <c r="B12" s="51"/>
      <c r="C12" s="48"/>
      <c r="D12" s="56"/>
      <c r="E12" s="45"/>
      <c r="F12" s="48"/>
      <c r="G12" s="48"/>
      <c r="H12" s="58"/>
    </row>
    <row r="13" spans="2:12" x14ac:dyDescent="0.3">
      <c r="B13" s="51">
        <v>5</v>
      </c>
      <c r="C13" s="48">
        <f>+'Detailed Procurement Plan'!G47</f>
        <v>9040.69</v>
      </c>
      <c r="D13" s="45"/>
      <c r="E13" s="45"/>
      <c r="F13" s="48"/>
      <c r="G13" s="48"/>
      <c r="H13" s="58">
        <f t="shared" si="0"/>
        <v>9040.69</v>
      </c>
      <c r="J13" s="54"/>
      <c r="L13" s="61"/>
    </row>
    <row r="14" spans="2:12" x14ac:dyDescent="0.3">
      <c r="B14" s="51"/>
      <c r="C14" s="48"/>
      <c r="D14" s="56"/>
      <c r="E14" s="45"/>
      <c r="F14" s="48"/>
      <c r="G14" s="48"/>
      <c r="H14" s="58"/>
    </row>
    <row r="15" spans="2:12" x14ac:dyDescent="0.3">
      <c r="B15" s="44"/>
      <c r="C15" s="49">
        <f>SUM(C5:C14)</f>
        <v>1082378.5006896551</v>
      </c>
      <c r="D15" s="57">
        <f>SUM(D5:D14)</f>
        <v>1205382.4029192429</v>
      </c>
      <c r="E15" s="47">
        <f>SUM(E4:E14)</f>
        <v>929468.89</v>
      </c>
      <c r="F15" s="49">
        <f>SUM(F5:F14)</f>
        <v>659786.88</v>
      </c>
      <c r="G15" s="49">
        <f>SUM(G4:G14)</f>
        <v>47424.33</v>
      </c>
      <c r="H15" s="58">
        <f>SUM(H5:H14)</f>
        <v>3924441.0036088978</v>
      </c>
      <c r="J15" s="54"/>
      <c r="K15" s="50"/>
    </row>
    <row r="17" spans="2:8" x14ac:dyDescent="0.3">
      <c r="H17" s="54"/>
    </row>
    <row r="18" spans="2:8" x14ac:dyDescent="0.3">
      <c r="C18" s="50"/>
      <c r="E18" s="55"/>
      <c r="H18" s="61"/>
    </row>
    <row r="19" spans="2:8" x14ac:dyDescent="0.3">
      <c r="D19" s="61"/>
      <c r="H19" s="55"/>
    </row>
    <row r="21" spans="2:8" x14ac:dyDescent="0.3">
      <c r="D21" s="54"/>
      <c r="H21" s="54"/>
    </row>
    <row r="22" spans="2:8" x14ac:dyDescent="0.3">
      <c r="D22" s="54"/>
    </row>
    <row r="23" spans="2:8" x14ac:dyDescent="0.3">
      <c r="C23" s="69"/>
      <c r="D23" s="54"/>
      <c r="F23" s="54"/>
      <c r="H23" s="55"/>
    </row>
    <row r="24" spans="2:8" x14ac:dyDescent="0.3">
      <c r="D24" s="54"/>
      <c r="F24" s="54"/>
    </row>
    <row r="25" spans="2:8" x14ac:dyDescent="0.3">
      <c r="D25" s="54"/>
      <c r="F25" s="54"/>
    </row>
    <row r="26" spans="2:8" x14ac:dyDescent="0.3">
      <c r="D26" s="54"/>
      <c r="F26" s="54"/>
    </row>
    <row r="27" spans="2:8" x14ac:dyDescent="0.3">
      <c r="D27" s="54"/>
      <c r="F27" s="54"/>
    </row>
    <row r="28" spans="2:8" x14ac:dyDescent="0.3">
      <c r="D28" s="54"/>
      <c r="F28" s="54"/>
    </row>
    <row r="29" spans="2:8" x14ac:dyDescent="0.3">
      <c r="B29" s="54"/>
      <c r="D29" s="54"/>
      <c r="F29" s="54"/>
    </row>
    <row r="30" spans="2:8" x14ac:dyDescent="0.3">
      <c r="B30" s="54"/>
      <c r="D30" s="54"/>
      <c r="F30" s="54"/>
    </row>
    <row r="31" spans="2:8" x14ac:dyDescent="0.3">
      <c r="B31" s="54"/>
      <c r="D31" s="54"/>
      <c r="F31" s="54"/>
    </row>
    <row r="32" spans="2:8" x14ac:dyDescent="0.3">
      <c r="B32" s="54"/>
      <c r="F32" s="54"/>
    </row>
    <row r="33" spans="1:8" x14ac:dyDescent="0.3">
      <c r="B33" s="54"/>
      <c r="F33" s="54"/>
    </row>
    <row r="34" spans="1:8" x14ac:dyDescent="0.3">
      <c r="B34" s="54"/>
      <c r="D34" s="55"/>
      <c r="F34" s="54"/>
    </row>
    <row r="35" spans="1:8" x14ac:dyDescent="0.3">
      <c r="B35" s="54"/>
      <c r="F35" s="54"/>
    </row>
    <row r="36" spans="1:8" x14ac:dyDescent="0.3">
      <c r="B36" s="54"/>
      <c r="F36" s="54"/>
    </row>
    <row r="37" spans="1:8" x14ac:dyDescent="0.3">
      <c r="B37" s="54"/>
      <c r="F37" s="54"/>
    </row>
    <row r="38" spans="1:8" x14ac:dyDescent="0.3">
      <c r="B38" s="54"/>
      <c r="F38" s="54"/>
      <c r="H38" s="55"/>
    </row>
    <row r="39" spans="1:8" x14ac:dyDescent="0.3">
      <c r="H39" s="54"/>
    </row>
    <row r="40" spans="1:8" x14ac:dyDescent="0.3">
      <c r="A40" s="65"/>
      <c r="B40" s="54"/>
      <c r="F40" s="54"/>
    </row>
    <row r="41" spans="1:8" x14ac:dyDescent="0.3">
      <c r="H41" s="55"/>
    </row>
    <row r="43" spans="1:8" x14ac:dyDescent="0.3">
      <c r="B43" s="54"/>
    </row>
    <row r="46" spans="1:8" x14ac:dyDescent="0.3">
      <c r="E46" s="219"/>
    </row>
    <row r="47" spans="1:8" x14ac:dyDescent="0.3">
      <c r="E47" s="219"/>
    </row>
    <row r="49" spans="1:5" x14ac:dyDescent="0.3">
      <c r="A49" s="54"/>
    </row>
    <row r="53" spans="1:5" x14ac:dyDescent="0.3">
      <c r="E53" s="1"/>
    </row>
  </sheetData>
  <mergeCells count="1">
    <mergeCell ref="E46:E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R36"/>
  <sheetViews>
    <sheetView topLeftCell="A34" workbookViewId="0">
      <selection activeCell="E11" sqref="E11:E12"/>
    </sheetView>
  </sheetViews>
  <sheetFormatPr defaultRowHeight="14.4" x14ac:dyDescent="0.3"/>
  <cols>
    <col min="2" max="2" width="13.5546875" customWidth="1"/>
    <col min="3" max="3" width="13.33203125" bestFit="1" customWidth="1"/>
    <col min="4" max="4" width="14.109375" customWidth="1"/>
    <col min="5" max="5" width="14.44140625" customWidth="1"/>
    <col min="6" max="6" width="10.5546875" bestFit="1" customWidth="1"/>
    <col min="8" max="9" width="13.33203125" bestFit="1" customWidth="1"/>
    <col min="11" max="11" width="11.5546875" bestFit="1" customWidth="1"/>
    <col min="18" max="18" width="10.5546875" bestFit="1" customWidth="1"/>
  </cols>
  <sheetData>
    <row r="4" spans="1:18" x14ac:dyDescent="0.3">
      <c r="B4" t="s">
        <v>4</v>
      </c>
      <c r="C4" t="s">
        <v>277</v>
      </c>
      <c r="D4" t="s">
        <v>278</v>
      </c>
      <c r="E4" t="s">
        <v>279</v>
      </c>
      <c r="F4" t="s">
        <v>76</v>
      </c>
    </row>
    <row r="7" spans="1:18" x14ac:dyDescent="0.3">
      <c r="D7" s="1"/>
      <c r="E7" s="1"/>
      <c r="F7" s="1"/>
    </row>
    <row r="9" spans="1:18" x14ac:dyDescent="0.3">
      <c r="A9" t="s">
        <v>276</v>
      </c>
      <c r="B9" s="54">
        <f>+'Detailed Procurement Plan'!G49+'Detailed Procurement Plan'!G42+'Detailed Procurement Plan'!G50+'Detailed Procurement Plan'!G51+'Detailed Procurement Plan'!G43</f>
        <v>79062.240689655169</v>
      </c>
      <c r="C9" s="54">
        <f>+'Detailed Procurement Plan'!G89+'Detailed Procurement Plan'!G90+'Detailed Procurement Plan'!G91+'Detailed Procurement Plan'!G92+'Detailed Procurement Plan'!G93+'Detailed Procurement Plan'!G94+'Detailed Procurement Plan'!G95+'Detailed Procurement Plan'!G96+'Detailed Procurement Plan'!G97+'Detailed Procurement Plan'!G98+'Detailed Procurement Plan'!G99+'Detailed Procurement Plan'!G100+'Detailed Procurement Plan'!G101+'Detailed Procurement Plan'!G102</f>
        <v>573439.90291924262</v>
      </c>
      <c r="D9" s="54">
        <v>0</v>
      </c>
      <c r="E9" s="54">
        <v>0</v>
      </c>
      <c r="F9" s="54">
        <v>0</v>
      </c>
      <c r="H9" s="66">
        <f>SUM(B9:G9)</f>
        <v>652502.14360889781</v>
      </c>
      <c r="I9" s="54">
        <v>-748002.58</v>
      </c>
      <c r="K9" s="55">
        <f>SUM(H9:J9)</f>
        <v>-95500.43639110215</v>
      </c>
      <c r="R9" s="55"/>
    </row>
    <row r="10" spans="1:18" x14ac:dyDescent="0.3">
      <c r="H10" s="67"/>
    </row>
    <row r="11" spans="1:18" x14ac:dyDescent="0.3">
      <c r="A11" t="s">
        <v>280</v>
      </c>
      <c r="B11" s="54">
        <f>+'Detailed Procurement Plan'!G37+'Detailed Procurement Plan'!G38+'Detailed Procurement Plan'!G39+'Detailed Procurement Plan'!G40+'Detailed Procurement Plan'!G41</f>
        <v>407975.56999999995</v>
      </c>
      <c r="C11" s="54">
        <f>+'Detailed Procurement Plan'!G65+'Detailed Procurement Plan'!G86+'Detailed Procurement Plan'!G87+'Detailed Procurement Plan'!G88</f>
        <v>209727.39</v>
      </c>
      <c r="D11" s="54">
        <v>0</v>
      </c>
      <c r="E11" s="54">
        <v>0</v>
      </c>
      <c r="F11" s="54">
        <f>+'Detailed Procurement Plan'!F148</f>
        <v>30000</v>
      </c>
      <c r="H11" s="66">
        <f>SUM(B11:G11)</f>
        <v>647702.96</v>
      </c>
      <c r="I11" s="54">
        <v>-905190.5</v>
      </c>
      <c r="K11" s="55">
        <f>SUM(H11:J11)</f>
        <v>-257487.54000000004</v>
      </c>
    </row>
    <row r="12" spans="1:18" x14ac:dyDescent="0.3">
      <c r="D12" s="54"/>
      <c r="E12" s="54"/>
      <c r="H12" s="67"/>
    </row>
    <row r="13" spans="1:18" x14ac:dyDescent="0.3">
      <c r="A13" t="s">
        <v>281</v>
      </c>
      <c r="B13" s="54">
        <f>+'Detailed Procurement Plan'!G27+'Detailed Procurement Plan'!G28+'Detailed Procurement Plan'!G29</f>
        <v>272313</v>
      </c>
      <c r="C13" s="54">
        <f>+'Detailed Procurement Plan'!G78+'Detailed Procurement Plan'!G79+'Detailed Procurement Plan'!G80+'Detailed Procurement Plan'!G81</f>
        <v>204012</v>
      </c>
      <c r="D13" s="55">
        <v>0</v>
      </c>
      <c r="E13" s="55">
        <v>0</v>
      </c>
      <c r="F13" s="54">
        <v>0</v>
      </c>
      <c r="H13" s="66">
        <f>SUM(B13:G13)</f>
        <v>476325</v>
      </c>
      <c r="I13" s="54">
        <v>-179792</v>
      </c>
      <c r="K13" s="55">
        <f>SUM(H13:J13)</f>
        <v>296533</v>
      </c>
    </row>
    <row r="14" spans="1:18" x14ac:dyDescent="0.3">
      <c r="H14" s="67"/>
    </row>
    <row r="17" spans="1:11" x14ac:dyDescent="0.3">
      <c r="H17" s="55"/>
      <c r="I17" s="55"/>
      <c r="K17" s="55"/>
    </row>
    <row r="18" spans="1:11" s="1" customFormat="1" x14ac:dyDescent="0.3">
      <c r="A18" t="s">
        <v>287</v>
      </c>
      <c r="C18" s="54">
        <f>+'Detailed Procurement Plan'!G105+'Detailed Procurement Plan'!G77</f>
        <v>41621</v>
      </c>
      <c r="D18" s="54">
        <f>+'Detailed Procurement Plan'!F116+'Detailed Procurement Plan'!F117</f>
        <v>76450</v>
      </c>
      <c r="H18" s="55"/>
      <c r="I18" s="55"/>
      <c r="K18" s="55"/>
    </row>
    <row r="19" spans="1:11" s="1" customFormat="1" x14ac:dyDescent="0.3">
      <c r="H19" s="55"/>
      <c r="I19" s="55"/>
      <c r="K19" s="55"/>
    </row>
    <row r="20" spans="1:11" x14ac:dyDescent="0.3">
      <c r="A20" t="s">
        <v>288</v>
      </c>
      <c r="C20" s="54">
        <f>+'Detailed Procurement Plan'!G82</f>
        <v>94260</v>
      </c>
      <c r="D20" s="54">
        <f>+'Detailed Procurement Plan'!F118</f>
        <v>40500</v>
      </c>
      <c r="H20" s="55"/>
    </row>
    <row r="22" spans="1:11" x14ac:dyDescent="0.3">
      <c r="A22" t="s">
        <v>283</v>
      </c>
      <c r="B22" s="54">
        <f>+'Detailed Procurement Plan'!G45</f>
        <v>41315</v>
      </c>
      <c r="H22" s="55"/>
    </row>
    <row r="23" spans="1:11" x14ac:dyDescent="0.3">
      <c r="B23" s="54"/>
    </row>
    <row r="24" spans="1:11" x14ac:dyDescent="0.3">
      <c r="A24" t="s">
        <v>282</v>
      </c>
      <c r="B24" s="54">
        <f>+'Detailed Procurement Plan'!G31+'Detailed Procurement Plan'!G32</f>
        <v>17312</v>
      </c>
      <c r="C24" s="54">
        <f>+'Detailed Procurement Plan'!G83</f>
        <v>1838</v>
      </c>
      <c r="H24" s="55"/>
    </row>
    <row r="25" spans="1:11" s="1" customFormat="1" x14ac:dyDescent="0.3">
      <c r="B25" s="54"/>
    </row>
    <row r="26" spans="1:11" s="1" customFormat="1" x14ac:dyDescent="0.3">
      <c r="A26" s="1" t="s">
        <v>285</v>
      </c>
      <c r="B26" s="54">
        <f>+'Detailed Procurement Plan'!G30</f>
        <v>89711</v>
      </c>
      <c r="H26" s="55"/>
    </row>
    <row r="27" spans="1:11" x14ac:dyDescent="0.3">
      <c r="B27" s="54"/>
    </row>
    <row r="28" spans="1:11" x14ac:dyDescent="0.3">
      <c r="A28" t="s">
        <v>284</v>
      </c>
      <c r="B28" s="54">
        <f>+'Detailed Procurement Plan'!G33+'Detailed Procurement Plan'!G34+'Detailed Procurement Plan'!G35+'Detailed Procurement Plan'!G36</f>
        <v>17859</v>
      </c>
      <c r="C28" s="54">
        <f>+'Detailed Procurement Plan'!G84+'Detailed Procurement Plan'!G85</f>
        <v>8550</v>
      </c>
      <c r="E28" s="54">
        <f>+'Detailed Procurement Plan'!F132</f>
        <v>27966.67</v>
      </c>
      <c r="F28" s="54">
        <f>+'Detailed Procurement Plan'!F143+'Detailed Procurement Plan'!F144+'Detailed Procurement Plan'!F145+'Detailed Procurement Plan'!F146+'Detailed Procurement Plan'!F147</f>
        <v>17424.330000000002</v>
      </c>
      <c r="H28" s="55"/>
      <c r="I28" s="55"/>
    </row>
    <row r="31" spans="1:11" x14ac:dyDescent="0.3">
      <c r="A31" t="s">
        <v>286</v>
      </c>
      <c r="B31" s="54">
        <f>+'Detailed Procurement Plan'!G15+'Detailed Procurement Plan'!G16+'Detailed Procurement Plan'!G17+'Detailed Procurement Plan'!G18+'Detailed Procurement Plan'!G19+'Detailed Procurement Plan'!G46+'Detailed Procurement Plan'!G47+'Detailed Procurement Plan'!G44+'Detailed Procurement Plan'!G48+'Detailed Procurement Plan'!G20+'Detailed Procurement Plan'!G21+'Detailed Procurement Plan'!G22+'Detailed Procurement Plan'!G23+'Detailed Procurement Plan'!G24+'Detailed Procurement Plan'!G25+'Detailed Procurement Plan'!G26</f>
        <v>156830.69</v>
      </c>
      <c r="C31" s="54">
        <f>+'Detailed Procurement Plan'!G58+'Detailed Procurement Plan'!G59+'Detailed Procurement Plan'!G60+'Detailed Procurement Plan'!G61+'Detailed Procurement Plan'!G62+'Detailed Procurement Plan'!G63+'Detailed Procurement Plan'!G64+'Detailed Procurement Plan'!G66+'Detailed Procurement Plan'!G67+'Detailed Procurement Plan'!G68+'Detailed Procurement Plan'!G69+'Detailed Procurement Plan'!G71+'Detailed Procurement Plan'!G103+'Detailed Procurement Plan'!G72+'Detailed Procurement Plan'!G73+'Detailed Procurement Plan'!G74+'Detailed Procurement Plan'!G75</f>
        <v>59443.68</v>
      </c>
      <c r="D31" s="54">
        <f>+'Detailed Procurement Plan'!F112+'Detailed Procurement Plan'!F113+'Detailed Procurement Plan'!F114+'Detailed Procurement Plan'!F115+'Detailed Procurement Plan'!F120+'Detailed Procurement Plan'!F119</f>
        <v>807518.89</v>
      </c>
      <c r="E31" s="54" t="e">
        <f>+'Detailed Procurement Plan'!#REF!+'Detailed Procurement Plan'!#REF!+'Detailed Procurement Plan'!#REF!+'Detailed Procurement Plan'!F130+'Detailed Procurement Plan'!#REF!+'Detailed Procurement Plan'!F131+'Detailed Procurement Plan'!F133+'Detailed Procurement Plan'!F134+'Detailed Procurement Plan'!F135</f>
        <v>#REF!</v>
      </c>
    </row>
    <row r="33" spans="2:8" x14ac:dyDescent="0.3">
      <c r="B33" s="66">
        <f>SUM(B9:B32)</f>
        <v>1082378.5006896551</v>
      </c>
      <c r="C33" s="68">
        <f>SUM(C8:C32)</f>
        <v>1192891.9729192427</v>
      </c>
      <c r="D33" s="68">
        <f>SUM(D6:D32)</f>
        <v>924468.89</v>
      </c>
      <c r="E33" s="68" t="e">
        <f>SUM(E6:E32)</f>
        <v>#REF!</v>
      </c>
      <c r="F33" s="68">
        <f>SUM(F8:F32)</f>
        <v>47424.33</v>
      </c>
      <c r="H33" s="66" t="e">
        <f>SUM(B33:G33)</f>
        <v>#REF!</v>
      </c>
    </row>
    <row r="36" spans="2:8" x14ac:dyDescent="0.3">
      <c r="C36" s="6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7:D8"/>
  <sheetViews>
    <sheetView workbookViewId="0">
      <selection activeCell="E11" sqref="E11"/>
    </sheetView>
  </sheetViews>
  <sheetFormatPr defaultRowHeight="14.4" x14ac:dyDescent="0.3"/>
  <cols>
    <col min="2" max="2" width="14.5546875" customWidth="1"/>
    <col min="3" max="3" width="12.33203125" customWidth="1"/>
    <col min="4" max="4" width="10.33203125" bestFit="1" customWidth="1"/>
  </cols>
  <sheetData>
    <row r="7" spans="4:4" x14ac:dyDescent="0.3">
      <c r="D7" s="54"/>
    </row>
    <row r="8" spans="4:4" x14ac:dyDescent="0.3">
      <c r="D8" s="5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C51166A7F6380944B694C448116EDAC2" ma:contentTypeVersion="20" ma:contentTypeDescription="A content type to manage public (operations) IDB documents" ma:contentTypeScope="" ma:versionID="78df8610f7b36f663b4acad7fa180802">
  <xsd:schema xmlns:xsd="http://www.w3.org/2001/XMLSchema" xmlns:xs="http://www.w3.org/2001/XMLSchema" xmlns:p="http://schemas.microsoft.com/office/2006/metadata/properties" xmlns:ns2="cdc7663a-08f0-4737-9e8c-148ce897a09c" targetNamespace="http://schemas.microsoft.com/office/2006/metadata/properties" ma:root="true" ma:fieldsID="7148bbd2547d5f1784cb61ea1835f70f"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_catalogs/masterpage/ECMForms/OperationsCT/View.aspx</Display>
  <Edit>_catalogs/masterpage/ECMForms/OperationsCT/Edit.aspx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Jamaica</TermName>
          <TermId xmlns="http://schemas.microsoft.com/office/infopath/2007/PartnerControls">284b90e7-9693-4db7-a23e-8f79c831fe9a</TermId>
        </TermInfo>
      </Terms>
    </ic46d7e087fd4a108fb86518ca413cc6>
    <IDBDocs_x0020_Number xmlns="cdc7663a-08f0-4737-9e8c-148ce897a09c" xsi:nil="true"/>
    <Division_x0020_or_x0020_Unit xmlns="cdc7663a-08f0-4737-9e8c-148ce897a09c">CCB/CJA</Division_x0020_or_x0020_Unit>
    <Fiscal_x0020_Year_x0020_IDB xmlns="cdc7663a-08f0-4737-9e8c-148ce897a09c">2017</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Other_x0020_Author xmlns="cdc7663a-08f0-4737-9e8c-148ce897a09c" xsi:nil="true"/>
    <Migration_x0020_Info xmlns="cdc7663a-08f0-4737-9e8c-148ce897a09c" xsi:nil="true"/>
    <Approval_x0020_Number xmlns="cdc7663a-08f0-4737-9e8c-148ce897a09c">GRT/FM-14607-JA;</Approval_x0020_Number>
    <Phase xmlns="cdc7663a-08f0-4737-9e8c-148ce897a09c">ACTIVE</Phase>
    <Document_x0020_Author xmlns="cdc7663a-08f0-4737-9e8c-148ce897a09c">Ruddock Simpson,Sheries</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COASTAL ZONE MANAGEMENT</TermName>
          <TermId xmlns="http://schemas.microsoft.com/office/infopath/2007/PartnerControls">cb428c99-b988-41aa-80b9-24a0fd3433eb</TermId>
        </TermInfo>
      </Terms>
    </b2ec7cfb18674cb8803df6b262e8b107>
    <Business_x0020_Area xmlns="cdc7663a-08f0-4737-9e8c-148ce897a09c">ESG</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FMM</TermName>
          <TermId xmlns="http://schemas.microsoft.com/office/infopath/2007/PartnerControls">5a0e158a-fa1d-4667-b8cd-3b546c0b06f2</TermId>
        </TermInfo>
      </Terms>
    </g511464f9e53401d84b16fa9b379a574>
    <TaxCatchAll xmlns="cdc7663a-08f0-4737-9e8c-148ce897a09c">
      <Value>6</Value>
      <Value>24</Value>
      <Value>27</Value>
      <Value>22</Value>
      <Value>28</Value>
    </TaxCatchAll>
    <Operation_x0020_Type xmlns="cdc7663a-08f0-4737-9e8c-148ce897a09c">Investment Grants</Operation_x0020_Type>
    <Package_x0020_Code xmlns="cdc7663a-08f0-4737-9e8c-148ce897a09c" xsi:nil="true"/>
    <Identifier xmlns="cdc7663a-08f0-4737-9e8c-148ce897a09c" xsi:nil="true"/>
    <Project_x0020_Number xmlns="cdc7663a-08f0-4737-9e8c-148ce897a09c">JA-G1001</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ENVIRONMENT AND NATURAL DISASTERS</TermName>
          <TermId xmlns="http://schemas.microsoft.com/office/infopath/2007/PartnerControls">261e2b33-090b-4ab0-8e06-3aa3e7f32d57</TermId>
        </TermInfo>
      </Terms>
    </nddeef1749674d76abdbe4b239a70bc6>
    <Record_x0020_Number xmlns="cdc7663a-08f0-4737-9e8c-148ce897a09c">R0001333684</Record_x0020_Number>
    <_dlc_DocId xmlns="cdc7663a-08f0-4737-9e8c-148ce897a09c">EZSHARE-401295961-4</_dlc_DocId>
    <_dlc_DocIdUrl xmlns="cdc7663a-08f0-4737-9e8c-148ce897a09c">
      <Url>https://idbg.sharepoint.com/teams/EZ-JA-IGR/JA-G1001/_layouts/15/DocIdRedir.aspx?ID=EZSHARE-401295961-4</Url>
      <Description>EZSHARE-401295961-4</Description>
    </_dlc_DocIdUrl>
    <Disclosure_x0020_Activity xmlns="cdc7663a-08f0-4737-9e8c-148ce897a09c">Procurement Plan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0B4EC026-CC55-4FB0-8465-5DD9BBF801F4}"/>
</file>

<file path=customXml/itemProps2.xml><?xml version="1.0" encoding="utf-8"?>
<ds:datastoreItem xmlns:ds="http://schemas.openxmlformats.org/officeDocument/2006/customXml" ds:itemID="{F1708C62-39D1-403D-B4F7-3C96A70E7ACA}"/>
</file>

<file path=customXml/itemProps3.xml><?xml version="1.0" encoding="utf-8"?>
<ds:datastoreItem xmlns:ds="http://schemas.openxmlformats.org/officeDocument/2006/customXml" ds:itemID="{593E9E94-364E-4283-9A0E-F1A0DFC04D58}"/>
</file>

<file path=customXml/itemProps4.xml><?xml version="1.0" encoding="utf-8"?>
<ds:datastoreItem xmlns:ds="http://schemas.openxmlformats.org/officeDocument/2006/customXml" ds:itemID="{3791AF73-73B1-470D-81C8-5D5112847BA2}"/>
</file>

<file path=customXml/itemProps5.xml><?xml version="1.0" encoding="utf-8"?>
<ds:datastoreItem xmlns:ds="http://schemas.openxmlformats.org/officeDocument/2006/customXml" ds:itemID="{B7264564-AA68-457F-98C2-0440AD00AA0E}"/>
</file>

<file path=customXml/itemProps6.xml><?xml version="1.0" encoding="utf-8"?>
<ds:datastoreItem xmlns:ds="http://schemas.openxmlformats.org/officeDocument/2006/customXml" ds:itemID="{9277C338-D83B-42D4-A777-913432F91D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Project Structure</vt:lpstr>
      <vt:lpstr>Procurement Plan</vt:lpstr>
      <vt:lpstr>Detailed Procurement Plan</vt:lpstr>
      <vt:lpstr>Sheet 1</vt:lpstr>
      <vt:lpstr>Sheet2</vt:lpstr>
      <vt:lpstr>Sheet1</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Costa</dc:creator>
  <cp:keywords/>
  <cp:lastModifiedBy>Ruddock Simpson,Sheries</cp:lastModifiedBy>
  <dcterms:created xsi:type="dcterms:W3CDTF">2011-03-30T14:45:37Z</dcterms:created>
  <dcterms:modified xsi:type="dcterms:W3CDTF">2017-10-31T01:33:40Z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Function Operations IDB">
    <vt:lpwstr>6;#Goods and Services|5bfebf1b-9f1f-4411-b1dd-4c19b807b799</vt:lpwstr>
  </property>
  <property fmtid="{D5CDD505-2E9C-101B-9397-08002B2CF9AE}" pid="4" name="TaxKeyword">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28;#COASTAL ZONE MANAGEMENT|cb428c99-b988-41aa-80b9-24a0fd3433eb</vt:lpwstr>
  </property>
  <property fmtid="{D5CDD505-2E9C-101B-9397-08002B2CF9AE}" pid="8" name="Fund IDB">
    <vt:lpwstr>27;#FMM|5a0e158a-fa1d-4667-b8cd-3b546c0b06f2</vt:lpwstr>
  </property>
  <property fmtid="{D5CDD505-2E9C-101B-9397-08002B2CF9AE}" pid="9" name="Country">
    <vt:lpwstr>22;#Jamaica|284b90e7-9693-4db7-a23e-8f79c831fe9a</vt:lpwstr>
  </property>
  <property fmtid="{D5CDD505-2E9C-101B-9397-08002B2CF9AE}" pid="10" name="Sector IDB">
    <vt:lpwstr>24;#ENVIRONMENT AND NATURAL DISASTERS|261e2b33-090b-4ab0-8e06-3aa3e7f32d57</vt:lpwstr>
  </property>
  <property fmtid="{D5CDD505-2E9C-101B-9397-08002B2CF9AE}" pid="11" name="_dlc_DocIdItemGuid">
    <vt:lpwstr>40a87e3c-7ef2-4721-adb5-5b6920f801d3</vt:lpwstr>
  </property>
  <property fmtid="{D5CDD505-2E9C-101B-9397-08002B2CF9AE}" pid="12" name="Disclosure Activity">
    <vt:lpwstr>Procurement Plan</vt:lpwstr>
  </property>
  <property fmtid="{D5CDD505-2E9C-101B-9397-08002B2CF9AE}" pid="13" name="ContentTypeId">
    <vt:lpwstr>0x0101001A458A224826124E8B45B1D613300CFC00C51166A7F6380944B694C448116EDAC2</vt:lpwstr>
  </property>
</Properties>
</file>