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075" windowHeight="8205" firstSheet="3" activeTab="7"/>
  </bookViews>
  <sheets>
    <sheet name="PRESUP.CONS." sheetId="1" r:id="rId1"/>
    <sheet name="ADMINIST.SAL." sheetId="2" r:id="rId2"/>
    <sheet name="ADMINIST.EQUIP." sheetId="3" r:id="rId3"/>
    <sheet name="ADMINIST.OPER." sheetId="4" r:id="rId4"/>
    <sheet name="PRESUP.ANUAL" sheetId="5" r:id="rId5"/>
    <sheet name="PLAN.ADQ." sheetId="6" state="hidden" r:id="rId6"/>
    <sheet name="PLAN.OP.ANUAL" sheetId="7" state="hidden" r:id="rId7"/>
    <sheet name="ENTIDADES PARTICIPANTES" sheetId="8" r:id="rId8"/>
    <sheet name="ESTADO DISEÑO OBRAS COMPONENTE1" sheetId="9" r:id="rId9"/>
  </sheets>
  <definedNames/>
  <calcPr fullCalcOnLoad="1"/>
</workbook>
</file>

<file path=xl/sharedStrings.xml><?xml version="1.0" encoding="utf-8"?>
<sst xmlns="http://schemas.openxmlformats.org/spreadsheetml/2006/main" count="1749" uniqueCount="736">
  <si>
    <t>2.3-4-2</t>
  </si>
  <si>
    <t>2.3-4-2   Consultoría nacional para llevar a cabo el diseño del sistema de "matching grants" o ayudas a fondo perdido dirigidas a microempresarios locales.  Incluye actividades de difusión</t>
  </si>
  <si>
    <t>2.3   Asistencia técnica y capacitación a MIPYMES para mejorar la calidad de servicio</t>
  </si>
  <si>
    <t>Pobladores locales y empresarios capacitados en aspectos varios institucionales, legales, técnicos y de gestión que, por un lado hagan frente a los retos de la formalización y, por otro lado, fortalezcan su capacidad de ofertar y administrar adecuadamente  la provisión de bienes y servicios al mercado turístico nacional y extranjero.  Mecanismo de canalización de aportes financieros no reembolsables a microempresarios turísticos o asociaciones locales concluido, incluyendo el reglamento operativo para su gestión efectiva y transparente</t>
  </si>
  <si>
    <t>ESTADO DE DISEÑO DE OBRAS</t>
  </si>
  <si>
    <t>ENTIDADES PARTICIPANTES POR COMPONENTE E INVERSIÓN</t>
  </si>
  <si>
    <t>Inversión</t>
  </si>
  <si>
    <t>CORSATUR</t>
  </si>
  <si>
    <t>ISTU</t>
  </si>
  <si>
    <t>POLITUR</t>
  </si>
  <si>
    <t>MARN</t>
  </si>
  <si>
    <t>ANDA</t>
  </si>
  <si>
    <t>MUNICIPIO</t>
  </si>
  <si>
    <t>Mobiliario adquirido para uso por parte del personal de la Unidad Coordinadora del Programa (UCP)</t>
  </si>
  <si>
    <t>Vehículo adquirido para uso por parte del personal de la Unidad Coordinadora del Programa (UCP)</t>
  </si>
  <si>
    <t>(a) Pliegos de especificación; (b) listas de proveedores; (c) acta de selección y adjudicación.</t>
  </si>
  <si>
    <t>A.1-4-1  Consultoría nacional.  Contratación del "Coordinador General del Programa" para formar parte de la Unidad Coordinadora del Programa (UCP).</t>
  </si>
  <si>
    <t>A.1-4-2  Consultoría nacional.  Contratación del "Especialista en Proyectos" para formar parte de la Unidad Coordinadora del Programa (UCP).</t>
  </si>
  <si>
    <t>A.1-4-3  Consultoría nacional.  Contratación del "Especialista en Administración Financiera" para formar parte de la Unidad Coordinadora del Programa (UCP).</t>
  </si>
  <si>
    <t>A.1-4-4  Consultoría nacional.  Contratación del "Especialista en Adquisiciones" para formar parte de la Unidad Coordinadora del Programa (UCP).</t>
  </si>
  <si>
    <t>A.1-4-5  Consultoría nacional.  Contratación del "Especialista Jurídico" para formar parte de la Unidad Coordinadora del Programa (UCP).</t>
  </si>
  <si>
    <t>A.1-4-6  Consultoría nacional.  Contratación de la "Asistente Administrativa" para formar parte de la Unidad Coordinadora del Programa (UCP).</t>
  </si>
  <si>
    <t>A.1-4-7  Consultoría nacional.  Contratación del "Responsable de Monitoreo y Evaluación" para formar parte de la Unidad Coordinadora del Programa (UCP).</t>
  </si>
  <si>
    <t>A.1-4-8  Consultoría nacional.  Contratación del "Especialista Ambiental" para formar parte de la Unidad Coordinadora del Programa (UCP).</t>
  </si>
  <si>
    <t>Especialista en Proyectos contratado</t>
  </si>
  <si>
    <t>Especialista en Administración Financiera contratado</t>
  </si>
  <si>
    <t>Especialista en Adquisiciones contratado</t>
  </si>
  <si>
    <t>Especialista Jurídico contratado</t>
  </si>
  <si>
    <t>Asistente Administrativa contratada</t>
  </si>
  <si>
    <t>Especialista Ambiental contratado</t>
  </si>
  <si>
    <t>B.1-4-1  Contratación de las auditorías financieras anuales del Programa.  Firma de auditores externos independientes</t>
  </si>
  <si>
    <t>A.  ADMINISTRACION</t>
  </si>
  <si>
    <t>A.  Administración del Programa</t>
  </si>
  <si>
    <t>B.  AUDITORIAS</t>
  </si>
  <si>
    <t>B.  Auditorías Externas del Programa</t>
  </si>
  <si>
    <t>Firma de auditores externos independientes contratada por períodos de uno o dos años renovables</t>
  </si>
  <si>
    <t>Organismo ejecutor del Programa en cumplimiento con el contrato de Préstamo con el BID en materia de auditorías financieras anuales</t>
  </si>
  <si>
    <t>C.  MONITOREO Y EVALUACION</t>
  </si>
  <si>
    <t>C.  Monitoreo y Evaluación del Programa</t>
  </si>
  <si>
    <t>4.6-2-1</t>
  </si>
  <si>
    <r>
      <t>OBRAS</t>
    </r>
    <r>
      <rPr>
        <b/>
        <sz val="8"/>
        <rFont val="Calibri"/>
        <family val="2"/>
      </rPr>
      <t>:  Construcción de la planta de tratamiento de aguas residuales como parte del proyecto de saneamiento en el Parque Walter T. Deininger.</t>
    </r>
  </si>
  <si>
    <t>4.6-4-1</t>
  </si>
  <si>
    <r>
      <t>FIRMA CONSULTORA</t>
    </r>
    <r>
      <rPr>
        <b/>
        <sz val="8"/>
        <rFont val="Calibri"/>
        <family val="2"/>
      </rPr>
      <t>:  Consultoría nacional para llevar a cabo el estudio de diagnóstico y diseño de la planta de tratamiento de aguas residuales como parte del proyecto de saneamiento en el Parque Walter T. Deininger.</t>
    </r>
  </si>
  <si>
    <t>4.5-4-1</t>
  </si>
  <si>
    <t>4.4-4-1</t>
  </si>
  <si>
    <r>
      <t>FIRMA CONSULTORA</t>
    </r>
    <r>
      <rPr>
        <b/>
        <sz val="8"/>
        <rFont val="Calibri"/>
        <family val="2"/>
      </rPr>
      <t>:  Consultoría nacional para llevar a cabo el estudio y diseño del proyecto de implementación de saneamiento en El Tunco.</t>
    </r>
  </si>
  <si>
    <t>4.4-2-1</t>
  </si>
  <si>
    <r>
      <t>OBRAS</t>
    </r>
    <r>
      <rPr>
        <b/>
        <sz val="8"/>
        <rFont val="Calibri"/>
        <family val="2"/>
      </rPr>
      <t>:  Implementación del sistema de saneamiento en El Tunco.</t>
    </r>
  </si>
  <si>
    <t>4.11-4-1</t>
  </si>
  <si>
    <t>4.11-4-2</t>
  </si>
  <si>
    <t>4.11-2-1</t>
  </si>
  <si>
    <t>4.13-4-1</t>
  </si>
  <si>
    <r>
      <t>FIRMA CONSULTORA</t>
    </r>
    <r>
      <rPr>
        <b/>
        <sz val="8"/>
        <rFont val="Calibri"/>
        <family val="2"/>
      </rPr>
      <t>:  Consultoría internacional para llevar a cabo el fortalecimiento de la Unidad Ambiental del MARN en la sierra de Tecapa-Chinameca.  Incluye capacitación, materiales didácticos.</t>
    </r>
  </si>
  <si>
    <r>
      <t>FIRMA CONSULTORA</t>
    </r>
    <r>
      <rPr>
        <b/>
        <sz val="8"/>
        <rFont val="Calibri"/>
        <family val="2"/>
      </rPr>
      <t>:  Consultoría nacional para llevar a cabo estudio y diseño del sistema de saneamiento integral del casco urbano de Alegría.</t>
    </r>
  </si>
  <si>
    <t>4.14-4-2</t>
  </si>
  <si>
    <r>
      <t>OBRAS</t>
    </r>
    <r>
      <rPr>
        <b/>
        <sz val="8"/>
        <rFont val="Calibri"/>
        <family val="2"/>
      </rPr>
      <t>:  Construcción del sistema de saneamiento integral del casco urbano de Alegría incluyendo el sistema de alcantarillado y planta de tratamiento.</t>
    </r>
  </si>
  <si>
    <t>4.2-4-1</t>
  </si>
  <si>
    <r>
      <t>FIRMA CONSULTORA</t>
    </r>
    <r>
      <rPr>
        <b/>
        <sz val="8"/>
        <rFont val="Calibri"/>
        <family val="2"/>
      </rPr>
      <t>:  Consultoría internacional para llevar a cabo el diseño, implementación y gestión del plan de monitoreo de la calidad ambiental en localidades turísticas prioritarias del Programa.</t>
    </r>
  </si>
  <si>
    <t>4.8-4-1</t>
  </si>
  <si>
    <r>
      <t>CONSULTOR INDIVIDUAL</t>
    </r>
    <r>
      <rPr>
        <b/>
        <sz val="8"/>
        <rFont val="Calibri"/>
        <family val="2"/>
      </rPr>
      <t>:  Consultoría nacional para llevar a cabo el estudio hidrológico y de peligro de innundación de los ríos Chamayo y Chanseñora de la zona de uso público del Parque Walter T. Deininger.</t>
    </r>
  </si>
  <si>
    <t>4.9-4-1</t>
  </si>
  <si>
    <r>
      <t>FIRMA CONSULTORA</t>
    </r>
    <r>
      <rPr>
        <b/>
        <sz val="8"/>
        <rFont val="Calibri"/>
        <family val="2"/>
      </rPr>
      <t>:  Consultoría nacional para llevar a cabo el diseño de las obras de protección a innundaciones en el Parque Walter T. Deininger.</t>
    </r>
  </si>
  <si>
    <t>4.9-4-2</t>
  </si>
  <si>
    <r>
      <t>CONSULTOR INDIVIDUAL</t>
    </r>
    <r>
      <rPr>
        <b/>
        <sz val="8"/>
        <rFont val="Calibri"/>
        <family val="2"/>
      </rPr>
      <t>:  Consultoría nacional para llevar a cabo la supervisión de las obras de protección a innundaciones en el Parque Walter T. Deininger.</t>
    </r>
  </si>
  <si>
    <t>4.9-2-1</t>
  </si>
  <si>
    <r>
      <t>OBRAS</t>
    </r>
    <r>
      <rPr>
        <b/>
        <sz val="8"/>
        <rFont val="Calibri"/>
        <family val="2"/>
      </rPr>
      <t>:  Construcción de las obras de protección contra las innundaciones en el Parque Walter T. Deininger.</t>
    </r>
  </si>
  <si>
    <t>4.3-4-1</t>
  </si>
  <si>
    <r>
      <t>FIRMA CONSULTORA</t>
    </r>
    <r>
      <rPr>
        <b/>
        <sz val="8"/>
        <rFont val="Calibri"/>
        <family val="2"/>
      </rPr>
      <t>:  Consultoría nacional para llevar a cabo el estudio y diseño del plan de manejo  de las áreas de conservación prioritarias en la Costa del Bálsamo, Puerto La Libertad.</t>
    </r>
  </si>
  <si>
    <t>4.10-4-1</t>
  </si>
  <si>
    <r>
      <t>FIRMA CONSULTORA</t>
    </r>
    <r>
      <rPr>
        <b/>
        <sz val="8"/>
        <rFont val="Calibri"/>
        <family val="2"/>
      </rPr>
      <t>:  Consultoría internacional para llevar a cabo el estudio y elaboración del plan de manejo del área de conservación de la Bahía de Jiquilisco.</t>
    </r>
  </si>
  <si>
    <t>4.7-4-1</t>
  </si>
  <si>
    <r>
      <t>FIRMA CONSULTORA</t>
    </r>
    <r>
      <rPr>
        <b/>
        <sz val="8"/>
        <rFont val="Calibri"/>
        <family val="2"/>
      </rPr>
      <t>:  Consultoría nacional para llevar a cabo el diseño y elaboración del plan de gestión del uso público en el Parque Walter T. Deininger.</t>
    </r>
  </si>
  <si>
    <r>
      <t>FIRMA CONSULTORA</t>
    </r>
    <r>
      <rPr>
        <b/>
        <sz val="8"/>
        <rFont val="Calibri"/>
        <family val="2"/>
      </rPr>
      <t>:  Consultoría nacional para llevar a cabo el diseño y elaboración del plan de gestión del uso público en la Laguna de Alegría.</t>
    </r>
  </si>
  <si>
    <t>4.1-4-1</t>
  </si>
  <si>
    <t>Costo Total del Programa</t>
  </si>
  <si>
    <t>Coordinador General del Programa contratado</t>
  </si>
  <si>
    <t>(a) Términos de referencia; (b) contrato de consultoría firmado</t>
  </si>
  <si>
    <t>COMPONENTE 1:  ESTRATEGIA DE APOYO A PRODUCTOS TURISTICOS</t>
  </si>
  <si>
    <t>COMPONENTE 2:  INCLUSION SOCIAL Y EMPRENDIMIENTO TURISTICO LOCAL</t>
  </si>
  <si>
    <t>COMPONENTE 3:  FORTALECIMIENTO DE LA GOBERNANZA TURISTICA</t>
  </si>
  <si>
    <t>COMPONENTE 4:  GESTION AMBIENTAL EN DESTINOS TURISTICOS</t>
  </si>
  <si>
    <t>1.1  Terminación del Complejo Turístico Puerto de La Libertad en Plaza Marinera para gastronomía y comercios</t>
  </si>
  <si>
    <t xml:space="preserve">(a) Pliegos de especificación; (b) listas de ofertantes; (c) contrato de ejecución de obras; (d) informes de avance físico </t>
  </si>
  <si>
    <t>1.1-4-2  Consultoría Nacional para llevar a cabo el estudio de mercado de la Plaza Marinera</t>
  </si>
  <si>
    <t>1.1-4-1  Consultoría nacional para llevar a cabo la revisión y ajustes la proyecto de edificación y ordenamiento para el establecimiento del mercado de pescado</t>
  </si>
  <si>
    <t>(a) Términos de referencia; (b) listas cortas; (c) contrato de consultoría; (d) informes de avance; (e) informe final aprobado</t>
  </si>
  <si>
    <t>Estudio de mercado concluido</t>
  </si>
  <si>
    <t>1.1-4-3  Consultoría nacional para la elaboración del Manual de Gestión de la Plaza Marinera</t>
  </si>
  <si>
    <t>Manual de Gestión de concluido</t>
  </si>
  <si>
    <t>1.1-4-4  Consultoría internacional para llevar a cabo la supervisión de las obras de construcción Plaza Marinera del Complejo Turístico Puerto de la Libertad</t>
  </si>
  <si>
    <t>Supervisión contratada y en ejecución</t>
  </si>
  <si>
    <t xml:space="preserve">1.2  Mejora del muelle turístico de Puerto de La Libertad </t>
  </si>
  <si>
    <t>1.2-2-1  Construcción y mejora del muelle Turístico del Puerto de La Libertad incluyendo la mejora estructural y sistemas de tratamiento de residuos, entre otros</t>
  </si>
  <si>
    <t>Construcciones en progreso</t>
  </si>
  <si>
    <t>1.2-4-1  Consultoría nacional para llevar a cabo el diseño de las obras de mejoramiento del muelle turístico del Puerto de La Libertad</t>
  </si>
  <si>
    <t>Diseño de obras concluido</t>
  </si>
  <si>
    <t>1.2-4-2  Consultoría nacional para llevar a cabo la supervisión de las obras de construcción del Complejo Turístico de Puerto de la Libertad</t>
  </si>
  <si>
    <t>1.3  Ejecución de obras varias en el Parque Walter T. Deininger para adecuarlo a actividades de ecoturismo y otras</t>
  </si>
  <si>
    <t>1.3-2-1  Construcción de obras varias de infraestructura en el Parque Walter T. Deininger incluyendo estacionamientos, torres de vigilancia,  centro de interpretación, senderos y otros</t>
  </si>
  <si>
    <t>1.3-4-1  Consultoría internacional para llevar a cabo el estudio de factibilidad de las obras integradas del Parque Walter T. Deininger</t>
  </si>
  <si>
    <t>Estudio de factibilidad concluido</t>
  </si>
  <si>
    <t>1.3-4-2  Consultoría nacional para llevar a cabo la supervisión de las obras de infraestructura en el Parque Walter T. Deininger</t>
  </si>
  <si>
    <t>1.4-4-1  Consultoría nacional para llevar a cabo el estudio y diseño del proyecto de acondicionamiento de Punta Roca</t>
  </si>
  <si>
    <t>Estudio y diseño concluidos</t>
  </si>
  <si>
    <t>1.5  Acondicionamiento de El Tunco</t>
  </si>
  <si>
    <t>1.5-2-1   Construcciones varias en  El Tunco incluyendo pavimentado de la vía principal, iluminación, depósitos y obras de adecuación en la playa</t>
  </si>
  <si>
    <t>1.5-4-1  Consultoría nacional para llevar a cabo el estudio y diseño del proyecto de acondicionamiento de El Tunco, incluyendo el Estudio de Impacto Ambiental (EIA)</t>
  </si>
  <si>
    <t>1.5-4-2  Consultoría nacional para llevar a cabo la supervisión de las obras de acondicionamiento de El Tunco</t>
  </si>
  <si>
    <t>1.6  Acondicionamiento de Puerto El Triunfo</t>
  </si>
  <si>
    <t>1.6-4-2  Consultoría nacional para llevar a cabo la supervisión de las obras de acondicionamiento del Puerto El Triunfo</t>
  </si>
  <si>
    <t>(a) Términos de referencia; (b) listas de ofertantes; (c) contrato de consultoría; (d) informes de avance de supervisión</t>
  </si>
  <si>
    <t xml:space="preserve">(a) Términos de referencia; (b) listas de ofertantes; (c) contrato de consultoría; (d) informes de avance de supervisión </t>
  </si>
  <si>
    <t>1.7-2-1  Construcciones de acondicionamiento del Bulevar de acceso y mejora del embarcadero de Puerto Parada</t>
  </si>
  <si>
    <t>1.7-4-1  Consultoría nacional para llevar a cabo la revisión del diseño de las obras de infraestructura del Bulevar de acceso y mejora del embarcadero de Puerto Parada incluyendo la realización de los estudios de impacto socioambiental y otros</t>
  </si>
  <si>
    <t>Diseño concluido</t>
  </si>
  <si>
    <t>1.7-4-2   Consultoría nacional para llevar a cabo la supervisión de las obras de acondicionamiento de Puerto Parada.</t>
  </si>
  <si>
    <t xml:space="preserve">     F.  Adecuacion de Oficinas y Cableado General</t>
  </si>
  <si>
    <t xml:space="preserve">     D.  Mesa de Reuniones con Sillas para Ocho Personas</t>
  </si>
  <si>
    <t>Items/Categorías</t>
  </si>
  <si>
    <t xml:space="preserve">     C.  Seguros</t>
  </si>
  <si>
    <t>I.  COSTOS ASOCIADOS A VEHICULOS</t>
  </si>
  <si>
    <t xml:space="preserve">     A.  Combustible</t>
  </si>
  <si>
    <t xml:space="preserve">     B.  Mantenimiento</t>
  </si>
  <si>
    <r>
      <t>Notas</t>
    </r>
    <r>
      <rPr>
        <b/>
        <sz val="8"/>
        <rFont val="Calibri"/>
        <family val="2"/>
      </rPr>
      <t>:</t>
    </r>
  </si>
  <si>
    <t>35 cupones por mes para dos vehículos (1 del Programa y otro asignado por el MITUR/JICA) a un costo de US$11.00 por cupón para los cinco años de ejecución.</t>
  </si>
  <si>
    <t>Seguro integral para el vehículo del Programa a US$50.00 por mes para los cinco años de ejecución.</t>
  </si>
  <si>
    <t xml:space="preserve">     A.  Mantenimineto de Impresora Central y Otros Equipos</t>
  </si>
  <si>
    <t>Mantenimiento de equipos y provisión tonners para impresoras para los cinco años de ejecución.</t>
  </si>
  <si>
    <t>II.  COSTOS ASOCIADOS A LAS OFICINAS</t>
  </si>
  <si>
    <t xml:space="preserve">     A.  Papelería y Suministros de Oficina</t>
  </si>
  <si>
    <t xml:space="preserve">     B.  Suministros de Consejería</t>
  </si>
  <si>
    <t xml:space="preserve">     A.  Telefonía Celular</t>
  </si>
  <si>
    <t>(en Dólares)</t>
  </si>
  <si>
    <t>Descripción/Fuente</t>
  </si>
  <si>
    <t>BID</t>
  </si>
  <si>
    <t>Total</t>
  </si>
  <si>
    <t>T O T A L</t>
  </si>
  <si>
    <t>(ES-L1066)</t>
  </si>
  <si>
    <t>Cotraparte</t>
  </si>
  <si>
    <t>1.2  Mejora del muelle turístico de Puerto La Libertad (mejora estructural, tratamiento de residuos de pescado vinculado a la planta de tratamiento actual del Complejo Turístico de Puerto  La Libertad, taller y parqueo de lanchas y barcas para excursiones turísticas, mercado/lonja de pesca artesanal)</t>
  </si>
  <si>
    <t>1.3  Parque Walter T. Deininger (ecoturismo: construcciones adecuadas al riesgo por inundación: Centro de Interpretación de la naturaleza, estacionamiento, dos senderos interpretativos, canopy, sendero mountain bike)</t>
  </si>
  <si>
    <t>1.5  Acondicionamiento de El Tunco (completar adoquinado, iluminación, ordenación señales y rótulos, pasarela de entrada-salida al agua, sensibilización)</t>
  </si>
  <si>
    <t>1.7  Bulevar de acceso y mejora de embarcadero de Puerto Parada</t>
  </si>
  <si>
    <t>1.8  Pequeños embarcaderos para paseos en la Bahía</t>
  </si>
  <si>
    <t>1.9  Centro de interpretación de la geología, vulcanología y aprovechamiento geotérmico</t>
  </si>
  <si>
    <t>1.10  Mejoras turísticas en Berlín y Alegría (estacionamientos, mejora de dos puntos de información, ordenación y puesta en valor de la Laguna Alegría)</t>
  </si>
  <si>
    <t>1.11  Estudios de impacto ambiental de las obras físicas del Componente 1 que lo requieren</t>
  </si>
  <si>
    <t>2.1  Estudio de causas de la informalidad y recomendaciones</t>
  </si>
  <si>
    <t>2.2  Estudios de inclusión social (pobres, mujeres, jóvenes) en la cadena de valor turística y recomendaciones para los proyectos del Componente 1</t>
  </si>
  <si>
    <t>2.6  Capacitación de recursos humanos en los destinos</t>
  </si>
  <si>
    <t>3.1  Sistema de información y estadísticas turísticas</t>
  </si>
  <si>
    <t>3.2  Sistema de registro nacional de turismo (censo, categorización, e inspección)</t>
  </si>
  <si>
    <t>3.5  Desarrollo de manuales de organización MITUR/CORSATUR</t>
  </si>
  <si>
    <t>3.6  Diagnóstico y Plan de capacitación de MITUR y entidades adscritas en planificación y gestión turística</t>
  </si>
  <si>
    <t>3.7  Capacitación y equipamiento de movilidad y comunicación a POLITUR</t>
  </si>
  <si>
    <t>3.8  Diagnóstico y Plan de fortalecimiento de seis a ocho municipios en gobernanza turística</t>
  </si>
  <si>
    <t>3.9  Diagnóstico y Plan de fortalecimiento de mecanismos formales de articulación público-privado a nivel local</t>
  </si>
  <si>
    <t>3.10  Promoción y comercialización turística en mercados meta</t>
  </si>
  <si>
    <t>4.2  Plan de monitoreo de calidad ambiental en las áreas del programa</t>
  </si>
  <si>
    <t>4.3  Plan de manejo de Costa del Bálsamo- Puerto La Libertad</t>
  </si>
  <si>
    <t>4.4  Proyecto e implementación de saneamiento en El Tunco</t>
  </si>
  <si>
    <t>4.6  Proyecto e implementación de saneamiento en Parque W. Deininger</t>
  </si>
  <si>
    <t>4.7  Plan de manejo y uso público de Parque W. Deininger</t>
  </si>
  <si>
    <t>4.8  Estudio hidrológico y de riesgo de inundación en Parque W. Deininger</t>
  </si>
  <si>
    <t>4.9  Obras de protección a inundaciones en Parque W. Deininger</t>
  </si>
  <si>
    <t>4.10  Plan maestro de ordenamiento y manejo de Bahía Jiquilisco</t>
  </si>
  <si>
    <t>II.  COSTOS INDIRECTOS</t>
  </si>
  <si>
    <t>I.  COSTOS DIRECTOS</t>
  </si>
  <si>
    <t xml:space="preserve">     A.  Administración</t>
  </si>
  <si>
    <t xml:space="preserve">     B.  Auditorías</t>
  </si>
  <si>
    <t xml:space="preserve">          1.  Auditorías Externas</t>
  </si>
  <si>
    <t xml:space="preserve">     C.  Monitoreo y Evaluacion</t>
  </si>
  <si>
    <t>IV.  IMPREVISTOS</t>
  </si>
  <si>
    <t>BANCO INTERAMERICANO DE DESARROLLO</t>
  </si>
  <si>
    <t>PRESUPUESTO ADMINISTRATIVO - SALARIOS</t>
  </si>
  <si>
    <t>Instancia/Cargo</t>
  </si>
  <si>
    <t>Salario</t>
  </si>
  <si>
    <t>Período del</t>
  </si>
  <si>
    <t>Número</t>
  </si>
  <si>
    <t>Notas/</t>
  </si>
  <si>
    <t>Mensual</t>
  </si>
  <si>
    <t>Anual</t>
  </si>
  <si>
    <t>Contrato</t>
  </si>
  <si>
    <t>de Meses</t>
  </si>
  <si>
    <t>Supuestos</t>
  </si>
  <si>
    <t>I.  DIRECCION Y COORDINACION</t>
  </si>
  <si>
    <t>EL SALVADOR:  PROGRAMA DE DESARROLLO TURISTICO DE LA FRANJA COSTERO-MARINA</t>
  </si>
  <si>
    <t>Período completo de ejecución del Programa</t>
  </si>
  <si>
    <t>III.  PERSONAL TECNICO</t>
  </si>
  <si>
    <t>II.  ADMINISTRACION Y FINANZAS Y APOYO LEGAL</t>
  </si>
  <si>
    <t xml:space="preserve">     A.  Coordinador General del Programa  (UCP-MITUR)</t>
  </si>
  <si>
    <t xml:space="preserve">     B.  Especialista en Proyectos (UCP-CORSATUR)</t>
  </si>
  <si>
    <t xml:space="preserve">     A.  Especialista en Administación Financiera (UCP-UFI/MITUR)</t>
  </si>
  <si>
    <t xml:space="preserve">     B.  Especialista en Adquisiciones (UCP-UACI/MITUR)</t>
  </si>
  <si>
    <t xml:space="preserve">     C.  Especialista Jurídico (UCP-MITUR)</t>
  </si>
  <si>
    <t xml:space="preserve">     D.  Asistente Administrativa (UCP-MITUR)</t>
  </si>
  <si>
    <t xml:space="preserve">               -  Dirección y Coordinación</t>
  </si>
  <si>
    <t xml:space="preserve">               -  Personal Técnico</t>
  </si>
  <si>
    <r>
      <t xml:space="preserve">          1.  </t>
    </r>
    <r>
      <rPr>
        <u val="single"/>
        <sz val="8"/>
        <rFont val="Calibri"/>
        <family val="2"/>
      </rPr>
      <t>Honorarios Profesionales</t>
    </r>
  </si>
  <si>
    <t xml:space="preserve">               -  Administración y Finanzas y Apoyo Legal</t>
  </si>
  <si>
    <r>
      <t xml:space="preserve">          2.  </t>
    </r>
    <r>
      <rPr>
        <u val="single"/>
        <sz val="8"/>
        <rFont val="Calibri"/>
        <family val="2"/>
      </rPr>
      <t>Equipamiento</t>
    </r>
  </si>
  <si>
    <t xml:space="preserve">               -  Mobiliario</t>
  </si>
  <si>
    <t xml:space="preserve">               -  Vehículo</t>
  </si>
  <si>
    <r>
      <t xml:space="preserve">          3.  </t>
    </r>
    <r>
      <rPr>
        <u val="single"/>
        <sz val="8"/>
        <rFont val="Calibri"/>
        <family val="2"/>
      </rPr>
      <t>Gastos de Operación</t>
    </r>
  </si>
  <si>
    <t>Item</t>
  </si>
  <si>
    <t>Costo</t>
  </si>
  <si>
    <t>Unitario</t>
  </si>
  <si>
    <t>Unidades</t>
  </si>
  <si>
    <t xml:space="preserve">     B.  Computadoras Personales (PCs)</t>
  </si>
  <si>
    <t>II.  SOFTWARE</t>
  </si>
  <si>
    <t xml:space="preserve">     A.  Microsoft Office 2010</t>
  </si>
  <si>
    <t xml:space="preserve">     B.  Microsoft Project 2010</t>
  </si>
  <si>
    <t>EL SALVADOR:  PROGRAMA DE DESARROLLO TURISTICO DE LA FRANJA COSTERO-MARINO</t>
  </si>
  <si>
    <t>Número de</t>
  </si>
  <si>
    <t xml:space="preserve">     A.  Computadoras Portátiles con "Docking Station"</t>
  </si>
  <si>
    <t>1 UPS por cada equipo laptop y PC de escritorio.</t>
  </si>
  <si>
    <t>Para uso común del personal de la UCP.</t>
  </si>
  <si>
    <t>Computadora para Asistente Administrativa.</t>
  </si>
  <si>
    <t>7 Laptops para personal de coordinación, técnico y administrativo (finanzas, adquisiones y legal.</t>
  </si>
  <si>
    <t>1 por cada laptop y PC.</t>
  </si>
  <si>
    <t>1 por cada laptop.</t>
  </si>
  <si>
    <t>III.  MOBILIARIO</t>
  </si>
  <si>
    <t xml:space="preserve">     G.  Data Show</t>
  </si>
  <si>
    <t xml:space="preserve">     H.  Pantallas</t>
  </si>
  <si>
    <t xml:space="preserve">     I.  UPS</t>
  </si>
  <si>
    <t xml:space="preserve">     J.  Fotocopiadora Multifuncional</t>
  </si>
  <si>
    <t xml:space="preserve">     A.  Escritorios Tipo Ejecutivo</t>
  </si>
  <si>
    <t xml:space="preserve">     B.  Sillas Tipo Ejecutivo</t>
  </si>
  <si>
    <t xml:space="preserve">     C.  Mesas de Computadora</t>
  </si>
  <si>
    <t>IV.  VEHICULO</t>
  </si>
  <si>
    <t xml:space="preserve">     A.  Vehículo Pick Up 4X4</t>
  </si>
  <si>
    <t>Para todo el personal de la UCP</t>
  </si>
  <si>
    <t xml:space="preserve">     K.  Equipo de Fax Multifuncional</t>
  </si>
  <si>
    <t>I.  EQUIPOS DE INFORMATICA Y COMUNICACIONES</t>
  </si>
  <si>
    <t xml:space="preserve">               -  Equipos de Oficina y Software y Comunicaciones</t>
  </si>
  <si>
    <t>PRESUPUESTO ADMINISTRATIVO - EQUIPAMIENTO</t>
  </si>
  <si>
    <t>PRESUPUESTO CONSOLIDADO DEL PROGRAMA</t>
  </si>
  <si>
    <t>Año 1</t>
  </si>
  <si>
    <t>Año 2</t>
  </si>
  <si>
    <t>Año 3</t>
  </si>
  <si>
    <t>Año 4</t>
  </si>
  <si>
    <t>Año 5</t>
  </si>
  <si>
    <t>PLAN DE EJECUCION DEL PROGRAMA</t>
  </si>
  <si>
    <t>PORCENTAJE ANUAL</t>
  </si>
  <si>
    <t>PLAN DE ADQUISICIONES DEL PROGRAMA</t>
  </si>
  <si>
    <t>PLAN DE ADQUISICIONES DEL PROGRAMA - TOTAL Y 18 MESES</t>
  </si>
  <si>
    <t>No. REFERENCIA</t>
  </si>
  <si>
    <t>DESCRIPCION DEL CONTRATO</t>
  </si>
  <si>
    <t>COSTO ESTIMADO</t>
  </si>
  <si>
    <t>DISTRIBUCION ANUAL SEGUN PROGRAMACION</t>
  </si>
  <si>
    <t>METODO DE ADQUISICION</t>
  </si>
  <si>
    <t xml:space="preserve">REVISION </t>
  </si>
  <si>
    <t>FUENTE FINANCIAMIENTO Y PORCENTAJE</t>
  </si>
  <si>
    <t>PRECALIFICACION                                    SI / NO</t>
  </si>
  <si>
    <t>FECHAS ESTIMADAS</t>
  </si>
  <si>
    <t>STATUS</t>
  </si>
  <si>
    <t>COMENTARIOS</t>
  </si>
  <si>
    <t>(en US$)</t>
  </si>
  <si>
    <t>(EX-ANTE O EX-POST)</t>
  </si>
  <si>
    <t>% BID</t>
  </si>
  <si>
    <t>% LOCAL / OTRO</t>
  </si>
  <si>
    <t>PUBLICACION DE ANUNCIO ESPECIFICO DE ADQUISCION</t>
  </si>
  <si>
    <t>TERMINACION DE CONTRATO</t>
  </si>
  <si>
    <t>1. BIENES</t>
  </si>
  <si>
    <t>2. OBRAS</t>
  </si>
  <si>
    <t>3. SERVICIOS DIFERENTES A CONSULTORIA</t>
  </si>
  <si>
    <t>4. SERVICIOS DE CONSULTORIA</t>
  </si>
  <si>
    <t>T O T AL</t>
  </si>
  <si>
    <r>
      <t>Bienes y Obras</t>
    </r>
    <r>
      <rPr>
        <sz val="8"/>
        <rFont val="Calibri"/>
        <family val="2"/>
      </rPr>
      <t xml:space="preserve">: LPI: Licitación Pública Internacional; LIL: Licitación Internacional Limitada; LPN: Licitación Pública Nacional; CP: Comparación de Precios; CD: Contratación Directa; AD: Administración Directa; CAE: Contrataciones a través de Agencias Especializadas; AC: Agencias de Contrataciones; AI: Agencias de Inspección; CPIF: Contrataciones en Préstamos a Intermediarios Financieros; CPO/COT/CPOT: Construcción-propiedad-operación/ Construcción-operación- transferencia/ Construcción-propiedad-operación-transferencia (del inglés BOO/BOT/BOOT); CBD: Contratación Basada en Desempeño; CPGB: Contrataciones con Prestamos Garantizados por el Banco; PSC: Participación de la Comunidad en las Contrataciones. </t>
    </r>
  </si>
  <si>
    <r>
      <t>Firmas Consultoras:</t>
    </r>
    <r>
      <rPr>
        <sz val="8"/>
        <rFont val="Calibri"/>
        <family val="2"/>
      </rPr>
      <t xml:space="preserve"> SBCC: Selección Basada en la Calidad y el Costo; SBC: Selección Basada en la Calidad; SBPF: Selección Basada en Presupuesto Fijo; SBMC: Selección Basada en el Menor Costo; SCC: Selección Basada en las Calificaciones de los Consultores; SD: Selección Directa</t>
    </r>
  </si>
  <si>
    <r>
      <t>Consultores Individuales:</t>
    </r>
    <r>
      <rPr>
        <sz val="8"/>
        <rFont val="Calibri"/>
        <family val="2"/>
      </rPr>
      <t xml:space="preserve"> CCIN: Selección basada en la Comparación de Calificaciones Consultor Individual Nacional; CCII: Selección basada en la Comparación de Calificaciones Consultor Individual Internacional.</t>
    </r>
  </si>
  <si>
    <t xml:space="preserve">     L.  Equipos de Teléfono Extensiones</t>
  </si>
  <si>
    <t xml:space="preserve">     C.  Impresora Laser a Colores Personal</t>
  </si>
  <si>
    <t xml:space="preserve">     D.  Impresora Central Laser Blanco y Negro y Colores, Scanner</t>
  </si>
  <si>
    <t xml:space="preserve">     E.  Plotter</t>
  </si>
  <si>
    <t xml:space="preserve">     E.  Estantes para Archivos</t>
  </si>
  <si>
    <t>Uso de 20,000 kilómetros por año para el vehículo del Programa a un costo de mantenimiento de US$200.00 por cada 5,000 kilómetros.</t>
  </si>
  <si>
    <t>Actividades de capacitación de las poblaciones locales y microempresarios llevadas a cabo de acuerdo a estudios profundos de diagnóstico de necesidades y capacidades, vis.a.vis. los retos del mercado turístico.  Actividades de promoción y difusión permiten alcanzar de manera efectiva a los potenciales beneficiarios</t>
  </si>
  <si>
    <t>Sistemas de estadísticas turísticas diseñados e implementados con la utilización de tecnologías de información y comunicación (TIC) de punta y publicada en los medios Web de CORSATUR con integración al Banco Central de Reserva de El Salvador.  Encuestas censales en proceso de ejecución</t>
  </si>
  <si>
    <t>Sistema de registro nacional de turismo en proceso de implementación con el uso de tecnologías modernas y como herramienta de seguimiento del sector y su creciente formalización</t>
  </si>
  <si>
    <t>Fortalecimiento institucional del MITUR y sus organismos adscritos en materia organizacional de acuerdo a diagnóstico y recomendaciones emitidas durante la preparación del Programa</t>
  </si>
  <si>
    <t>MITUR, CORSATUR e ISTU en proceso de fortalecimiento en materia de planificación y gestión sectorial</t>
  </si>
  <si>
    <t>POLITUR fortalecida tanto en materia de equipamiento como de capacidad institucional para contribuir a la mayor seguridad y confianza del visitante en las zonas de intervención del Programa</t>
  </si>
  <si>
    <t>Gobiernos municipales locales en proceso de fortalecimiento de su capacidad de gestión y gobernabilidad pública para coadyuvar la actividad turística a nivel local, y en conjunción con el Gobierno Central y los actores locales</t>
  </si>
  <si>
    <t>UCP equipada con el personal necesario para la coordinación y gestión técnica y administrativa del Programa, así como con el equipamiento y medios que le permitan  su operación y la respectiva integración a las gestiones del MITUR, CORSATUR e ISTU</t>
  </si>
  <si>
    <t>Plan de Comunicación elaborado con el objeto de, entre otros, generar y diseminar la información necesaria sobre el Programa, de manera de fomentar y dar seguimiento a la participación en el mismo por parte de los pobladores y micromepresas locales, entre otros</t>
  </si>
  <si>
    <t>Areas de conservación de la Costa del Bálsamo, Puerto La Libertad cuenta con un plan de manejo y gestión ambiental</t>
  </si>
  <si>
    <t>El Parque Walter T. Deininger cuenta con un plan de uso público y manejo sostenible de acuerdo a su  capacidad de recepción de visitantes</t>
  </si>
  <si>
    <t>Obras de infraestructura de protección contra inundaciones en progreso en el Parque Walter D. Deininger</t>
  </si>
  <si>
    <t>Preparación del plan de ordenamiento territorial y de uso de la Bahía de Jiquilisco en desarrollo</t>
  </si>
  <si>
    <t>La Laguna Alegría cuenta con un plan de uso público y manejo sostenible de acuerdo a su  capacidad de recepción de visitantes.  Apoyo a su gestión en proceso</t>
  </si>
  <si>
    <t>El destino turístico de Puerto La Libertad cuenta con las bases y estudios necesarios para focalizar las acciones de inversión en infraestructura y gestión de mercado de turismo en la zona.  Microempresas turísticas a ser beneficiados con nueva infraestructura</t>
  </si>
  <si>
    <t>Proyecto de edificación y ordenamiento concluido</t>
  </si>
  <si>
    <t>Nuevo muelle turístico de Puerto La Libertad en proceso de habilitación al público con nueva infraestructura y capacidades de atención al visitante</t>
  </si>
  <si>
    <t>1.6-2-1  Construcciones varias en el Puerto El Triunfo incluyendo la reconstrucción del muelle, el acondicionamiento a "ecocentro" de la casa de la Fuerza Naval, la construcción del punto de venta de artesanías de la Bahía, y la limpieza y adecentamiento de El Malecón</t>
  </si>
  <si>
    <t>El destino turístico de Puerto Parada cuenta el diseño final para la construcción del nuevo Bulevar de acceso, malecón y embarcadero incluyendo los estudios necesarios de impacto socioambiental.  Obras iniciadas bajo lineamientos técnicos y de mercado apropiados</t>
  </si>
  <si>
    <t>(a) Términos de referencia; (b) listas cortas; (c) contratos de consultoría; (d) informes de avance; (e) informes finales aprobados</t>
  </si>
  <si>
    <t>Se cuenta con  insumos e información socioeconómica y de carácter cultural que contribuyan a la formalización del empleo local en un nuevo contexto de oportunidades ofertadas por el sector turístico en las zonas de intervención del Programa</t>
  </si>
  <si>
    <t>4.4-2-1  Construcción de obras del sistema de saneamiento de El Tunco</t>
  </si>
  <si>
    <t>Estudio de factibilidad y diseño concluidos y obras de construcción de infraestructura de saneamiento básico en El Tunco, zona de intervención del Programa iniciadas, como parte de las obras complementarias a la dotación de infraestructura turística</t>
  </si>
  <si>
    <t>Estudio y diseño concluidos y obras iniciadas</t>
  </si>
  <si>
    <t>4.4-4-2  Consultoría nacional para llevar a cabo la supervisión de las obras de saneamiento en El Tunco</t>
  </si>
  <si>
    <t>4.11-4-2   Consultoría nacional para llevar a cabo la supervisión de las obras del sistema de saneamiento  del Puerto El Triunfo en Jiquilisco</t>
  </si>
  <si>
    <t>Estudio de factibilidad y diseño concluidos y obras iniciadas para la construcción del sistema de saneamiento básico de Alegría, como parte de las obras complementarias a la dotación de infraestructura turística</t>
  </si>
  <si>
    <t>Marco legal de sector de turismo de El Salvador analizado en profundidad y recomendaciones emitidas para su mejoramiento y modernización, y que contribuya a dinamizar un sector en crecimiento, la creación de incentivos  y una gestión técnica de sus actores consistente con los objetivos de sostenibilidad social, ambiental y económica</t>
  </si>
  <si>
    <t>3.6-5-1  Consultoría nacional para llevar a cabo el diagnóstico y elaboración del plan de capacitación del MITUR y sus entidades adscritas en materia de planificación y gestión turística</t>
  </si>
  <si>
    <t>4.1  Plan de comunicación y participación en el Programa</t>
  </si>
  <si>
    <t>Plan de monitoreo en proceso de implementación para dar seguimiento  a, entre otros, la calidad del agua, los recursos naturales en sitios de intervención del Programa, áreas protegidas y otros</t>
  </si>
  <si>
    <t>El Parque Walter T. Deininger cuenta con una planta de tratamiento de residuos líquidos</t>
  </si>
  <si>
    <t>4.8-4-1  Consultoría nacional para llevar a cabo el estudio hidrológico y de peligro de inundación de los ríos Chamayo y Chanseñora de la zona de uso público del Parque Walter T. Deininger</t>
  </si>
  <si>
    <t>El Parque Walter T. Deininger cuenta con una evaluación técnica de los riesgos a las inundaciones y recomendaciones de manejo y mitigación de dichos riesgos.</t>
  </si>
  <si>
    <t>4.9-4-1   Consultoría nacional para llevar a cabo el diseño de las obras de protección a inundaciones en el Parque Walter T. Deininger</t>
  </si>
  <si>
    <t>Estudio de factibilidad y diseño concluidos y obras iniciadas para la construcción del sistema de saneamiento básico de Jiquilisco, como parte de las obras complementarias a la dotación de infraestructura turística</t>
  </si>
  <si>
    <t>Diseño y plan desarrollo de plan en curso</t>
  </si>
  <si>
    <t>Responsable de Monitoreo y Evaluación contratado</t>
  </si>
  <si>
    <t>(a) Términos de referencia; (b) contrato firmado; (c) informes de auditoría financiera anual entregados a satisfacción de la UCP y el Banco</t>
  </si>
  <si>
    <t>Actividades de fortalecimiento institucional de la autoridad local del MARN iniciadas, con énfasis en el seguimiento al desarrollo turístico sostenible y monitoreo al cumplimiento de normas ambientales correspondientes.  Equipamiento provisto</t>
  </si>
  <si>
    <t>Papelería y otros suministros de oficina/escritorio a US$200.00 por mes para los cinco años de ejecución.</t>
  </si>
  <si>
    <t>2 teléfonos celulares a un costo de servicio de US$50.00 por unidad por mes.</t>
  </si>
  <si>
    <t>C.1-4-4  Consultoría internacional para llevar a cabo el establecimiento de la línea de base como parte de las actividades de evaluación de impacto del Programa</t>
  </si>
  <si>
    <t>Línea de base del Programa establecida</t>
  </si>
  <si>
    <t>(a) Términos de referencia; (b) listas de ofertantes; (c) contrato de consultoría; (d) informes de avance; (e) informe final aprobado</t>
  </si>
  <si>
    <t>Línea base para la evaluación de impacto del Programa establecida y acciones  monitoreo en ejecución de acuerdo al "Plan de Monitoreo y Evaluación del Programa"</t>
  </si>
  <si>
    <r>
      <t>FIRMA CONSULTORA</t>
    </r>
    <r>
      <rPr>
        <b/>
        <sz val="8"/>
        <rFont val="Calibri"/>
        <family val="2"/>
      </rPr>
      <t>:  Consultoría nacional para llevar a cabo el establecimiento de la línea de base como parte de las actividades de evaluación de impacto del Programa.</t>
    </r>
  </si>
  <si>
    <r>
      <t>FIRMA CONSULTORA</t>
    </r>
    <r>
      <rPr>
        <b/>
        <sz val="8"/>
        <rFont val="Calibri"/>
        <family val="2"/>
      </rPr>
      <t>:  Consultoría nacional para llevar a cabo la evaluación de impacto final del Programa.</t>
    </r>
  </si>
  <si>
    <t>Suministros para servicio de café y agua así como materiales de limpieza a US$50.00 por mes para los cinco años de ejecución.</t>
  </si>
  <si>
    <t>PRESUPUESTO ADMINISTRATIVO - GASTOS DE OPERACION</t>
  </si>
  <si>
    <t>III.  MATERIALES Y SUMINISTROS</t>
  </si>
  <si>
    <t>IV.  COMUNICACIONES</t>
  </si>
  <si>
    <t>1.1-4-1</t>
  </si>
  <si>
    <t>CCIN</t>
  </si>
  <si>
    <t>EX-ANTE</t>
  </si>
  <si>
    <t>NO</t>
  </si>
  <si>
    <t>Q2-2014</t>
  </si>
  <si>
    <t>Q4-2014</t>
  </si>
  <si>
    <t>Pendiente</t>
  </si>
  <si>
    <t>1.1-4-2</t>
  </si>
  <si>
    <r>
      <t>FIRMA CONSULTORA</t>
    </r>
    <r>
      <rPr>
        <b/>
        <sz val="8"/>
        <rFont val="Calibri"/>
        <family val="2"/>
      </rPr>
      <t>:  Consultoría Nacional para llevar a cabo el estudio de mercado de la Plaza Marinera.</t>
    </r>
  </si>
  <si>
    <t>SBCC</t>
  </si>
  <si>
    <t>1.1-4-3</t>
  </si>
  <si>
    <t>Q3-2014</t>
  </si>
  <si>
    <t>1.1-2-1</t>
  </si>
  <si>
    <t>1.1-4-4</t>
  </si>
  <si>
    <t>LPN</t>
  </si>
  <si>
    <t>Q3-2017</t>
  </si>
  <si>
    <t>1.2-4-1</t>
  </si>
  <si>
    <r>
      <t>FIRMA CONSULTORA</t>
    </r>
    <r>
      <rPr>
        <b/>
        <sz val="8"/>
        <rFont val="Calibri"/>
        <family val="2"/>
      </rPr>
      <t>:  Consultoría nacional para llevar a cabo el diseño de las obras de mejoramiento del muelle turístico del Puerto de La Libertad.</t>
    </r>
  </si>
  <si>
    <t>1.2-2-1</t>
  </si>
  <si>
    <r>
      <t>OBRAS</t>
    </r>
    <r>
      <rPr>
        <b/>
        <sz val="8"/>
        <rFont val="Calibri"/>
        <family val="2"/>
      </rPr>
      <t>:  Construcción y mejora del muelle Turístico del Puerto de La Libertad incluyendo la mejora estructural y sistemas de tratamiento de residuos, entre otros.</t>
    </r>
  </si>
  <si>
    <t>1.2-4-2</t>
  </si>
  <si>
    <t>Q4-2015</t>
  </si>
  <si>
    <t>1.3-4-1</t>
  </si>
  <si>
    <r>
      <t>FIRMA CONSULTORA</t>
    </r>
    <r>
      <rPr>
        <b/>
        <sz val="8"/>
        <rFont val="Calibri"/>
        <family val="2"/>
      </rPr>
      <t>:  Consultoría internacional para llevar a cabo el estudio de factibilidad de las obras integradas del Parque Walter T. Deininger.</t>
    </r>
  </si>
  <si>
    <t>1.3-2-1</t>
  </si>
  <si>
    <r>
      <t>FIRMA CONSULTORA</t>
    </r>
    <r>
      <rPr>
        <b/>
        <sz val="8"/>
        <rFont val="Calibri"/>
        <family val="2"/>
      </rPr>
      <t>:  Consultoría nacional para llevar a cabo la supervisión de las obras de infraestructura en el Parque Walter T. Deininger.</t>
    </r>
  </si>
  <si>
    <t>1.3-4-2</t>
  </si>
  <si>
    <t>1.3-4-3</t>
  </si>
  <si>
    <t>1.3-4-4</t>
  </si>
  <si>
    <r>
      <t>FIRMA CONSULTORA</t>
    </r>
    <r>
      <rPr>
        <b/>
        <sz val="8"/>
        <rFont val="Calibri"/>
        <family val="2"/>
      </rPr>
      <t>:  Consultoría internacional técnica especializada de apoyo al desarrollo de materiales interpretativos, dotación de equipamiento y otros para el Parque Walter T. Deininger.</t>
    </r>
  </si>
  <si>
    <t>1.4  Acondicionamiento de Punta Roca (pasarela de surf de entrada y salida al mar) y de la continuación del Malecón Puerto de La Libertad (mirador, limpieza, ordenamiento, estacionamiento).</t>
  </si>
  <si>
    <t>1.4  Acondicionamiento de Punta Roca</t>
  </si>
  <si>
    <t>Se cuenta con el diseño final para la ejecución de las obras de construcción de facilidades turísticas en Punta Roca  incluyendo pasarela de surf de entrada y salida al mar, así como para las obras continuación del  Malecón Puerto de La Libertad incluyendo el  mirador, estacionamiento, plan de  ordenamieto de uso y saneamiento</t>
  </si>
  <si>
    <r>
      <t>FIRMA CONSULTORA</t>
    </r>
    <r>
      <rPr>
        <b/>
        <sz val="8"/>
        <rFont val="Calibri"/>
        <family val="2"/>
      </rPr>
      <t>:  Consultoría nacional para llevar a cabo de estudio de gestión turística del Parque Walter T. Deininger.</t>
    </r>
  </si>
  <si>
    <t>Q2-2015</t>
  </si>
  <si>
    <t>Q4-2017</t>
  </si>
  <si>
    <t>Q1-2017</t>
  </si>
  <si>
    <t>Q3-2016</t>
  </si>
  <si>
    <t>1.4-4-1</t>
  </si>
  <si>
    <t>Q3-2015</t>
  </si>
  <si>
    <t>1.4-4-2</t>
  </si>
  <si>
    <r>
      <t>FIRMA CONSULTORA</t>
    </r>
    <r>
      <rPr>
        <b/>
        <sz val="8"/>
        <rFont val="Calibri"/>
        <family val="2"/>
      </rPr>
      <t>:  Consultoría internacional para llevar a cabo la supervisión de las obras de construcción Plaza Marinera del Complejo Turístico Puerto de la Libertad</t>
    </r>
  </si>
  <si>
    <r>
      <t>CONSULTOR INDIVIDUAL</t>
    </r>
    <r>
      <rPr>
        <b/>
        <sz val="8"/>
        <rFont val="Calibri"/>
        <family val="2"/>
      </rPr>
      <t>:  Consultoría nacional para la elaboración del Manual de Gestión de la Plaza Marinera.</t>
    </r>
  </si>
  <si>
    <r>
      <t>CONSULTOR INDIVIDUAL</t>
    </r>
    <r>
      <rPr>
        <b/>
        <sz val="8"/>
        <rFont val="Calibri"/>
        <family val="2"/>
      </rPr>
      <t>:  Consultoría nacional para llevar a cabo la revisión y ajustes la proyecto de edificación y ordenamiento para el establecimiento del mercado de pescado.</t>
    </r>
  </si>
  <si>
    <r>
      <t>CONSULTOR INDIVIDUAL</t>
    </r>
    <r>
      <rPr>
        <b/>
        <sz val="8"/>
        <rFont val="Calibri"/>
        <family val="2"/>
      </rPr>
      <t>:  Consultoría nacional para llevar a cabo la supervisión de las obras de acondicionamiento de Punta Roca.</t>
    </r>
  </si>
  <si>
    <t>1.4-2-1</t>
  </si>
  <si>
    <t>Q2-2016</t>
  </si>
  <si>
    <t>1.5-4-1</t>
  </si>
  <si>
    <r>
      <t>EMPRESA CONSULTORA</t>
    </r>
    <r>
      <rPr>
        <b/>
        <sz val="8"/>
        <rFont val="Calibri"/>
        <family val="2"/>
      </rPr>
      <t>:  Consultoría nacional para llevar a cabo el estudio y diseño del proyecto de acondicionamiento de El Tunco, incluyendo el Estudio de Impacto Ambiental (EIA).</t>
    </r>
  </si>
  <si>
    <r>
      <t>FIRMA CONSULTORA</t>
    </r>
    <r>
      <rPr>
        <b/>
        <sz val="8"/>
        <rFont val="Calibri"/>
        <family val="2"/>
      </rPr>
      <t>:  Consultoría nacional para llevar a cabo el estudio y diseño del proyecto de acondicionamiento de Punta Roca.</t>
    </r>
  </si>
  <si>
    <t>1.5-2-1</t>
  </si>
  <si>
    <r>
      <t>OBRAS</t>
    </r>
    <r>
      <rPr>
        <b/>
        <sz val="8"/>
        <rFont val="Calibri"/>
        <family val="2"/>
      </rPr>
      <t>:  Construcciones de acondicionamiento de Punta Roca incluyendo pasarelas, centro de interpretación, infraestructura para el ecoturismo y senderos, así como la adecuación de la playa.</t>
    </r>
  </si>
  <si>
    <r>
      <t>OBRAS</t>
    </r>
    <r>
      <rPr>
        <b/>
        <sz val="8"/>
        <rFont val="Calibri"/>
        <family val="2"/>
      </rPr>
      <t>:    Construcciones de acondicionamiento de El Tunco incluyendo pavimentado de la vía principal, iluminación, depósitos y obras de adecuación en la playa.</t>
    </r>
  </si>
  <si>
    <t>CP</t>
  </si>
  <si>
    <t>Q1-2015</t>
  </si>
  <si>
    <t>1.5-4-2</t>
  </si>
  <si>
    <r>
      <t>CONSULTOR INDIVIDUAL</t>
    </r>
    <r>
      <rPr>
        <b/>
        <sz val="8"/>
        <rFont val="Calibri"/>
        <family val="2"/>
      </rPr>
      <t>:  Consultoría nacional para llevar a cabo la supervisión de las obras de acondicionamiento de El Tunco.</t>
    </r>
  </si>
  <si>
    <t>1.5-4-3</t>
  </si>
  <si>
    <r>
      <t>CONSULTOR INDIVIDUAL</t>
    </r>
    <r>
      <rPr>
        <b/>
        <sz val="8"/>
        <rFont val="Calibri"/>
        <family val="2"/>
      </rPr>
      <t xml:space="preserve">  Consultoría nacional para llevar a cabo las actividades de sensibilización de las poblaciones locales y aledañas al proyecto del El Tunco.</t>
    </r>
  </si>
  <si>
    <t>Q4-2016</t>
  </si>
  <si>
    <t>1.6-4-1</t>
  </si>
  <si>
    <r>
      <t>FIRMA CONSULTORA</t>
    </r>
    <r>
      <rPr>
        <b/>
        <sz val="8"/>
        <rFont val="Calibri"/>
        <family val="2"/>
      </rPr>
      <t>:  Consultoría nacional para llevar a cabo la revisión del diseño de las obras de infraestructura de El Triunfo incluyendo la realización de los estudios de impacto socioambiental y otros.</t>
    </r>
  </si>
  <si>
    <t>1.6-2-1</t>
  </si>
  <si>
    <t>1.6-4-2</t>
  </si>
  <si>
    <r>
      <t>FIRMA CONSULTORA</t>
    </r>
    <r>
      <rPr>
        <b/>
        <sz val="8"/>
        <rFont val="Calibri"/>
        <family val="2"/>
      </rPr>
      <t>:  Consultoría nacional para llevar a cabo la supervisión de las obras de acondicionamiento del Puerto El Triunfo.</t>
    </r>
  </si>
  <si>
    <t>1.6-4-3</t>
  </si>
  <si>
    <r>
      <t>FIRMA CONSULTORA</t>
    </r>
    <r>
      <rPr>
        <b/>
        <sz val="8"/>
        <rFont val="Calibri"/>
        <family val="2"/>
      </rPr>
      <t>:  Consultoría internacional para llevar a cabo el estudio de factibilidad del ecocentro de la Casa Naval así como el desarrollo de contenidos y materiales didácticos.</t>
    </r>
  </si>
  <si>
    <t>LPI</t>
  </si>
  <si>
    <t>1.7-4-1</t>
  </si>
  <si>
    <r>
      <t>FIRMA CONSULTORA</t>
    </r>
    <r>
      <rPr>
        <b/>
        <sz val="8"/>
        <rFont val="Calibri"/>
        <family val="2"/>
      </rPr>
      <t>:  Consultoría nacional para llevar a cabo la revisión del diseño de las obras de infraestructura del Bulevar de acceso y mejora del embarcadero de Puerto Parada incluyendo la realización de los estudios de impacto socioambiental y otros.</t>
    </r>
  </si>
  <si>
    <t>1.7-2-1</t>
  </si>
  <si>
    <r>
      <t>OBRAS</t>
    </r>
    <r>
      <rPr>
        <b/>
        <sz val="8"/>
        <rFont val="Calibri"/>
        <family val="2"/>
      </rPr>
      <t>:  Construcciones de acondicionamiento del Bulevar de acceso y mejora del embarcadero de Puerto Parada.</t>
    </r>
  </si>
  <si>
    <t>Q3-2018</t>
  </si>
  <si>
    <r>
      <t>FIRMA CONSULTORA</t>
    </r>
    <r>
      <rPr>
        <b/>
        <sz val="8"/>
        <rFont val="Calibri"/>
        <family val="2"/>
      </rPr>
      <t>:  Consultoría nacional para llevar a cabo la supervisión de las obras de acondicionamiento de Puerto Parada.</t>
    </r>
  </si>
  <si>
    <t>N0</t>
  </si>
  <si>
    <t>1.7-4-2</t>
  </si>
  <si>
    <t>1.8-4-1</t>
  </si>
  <si>
    <r>
      <t>CONSULTOR INDIVIDUAL</t>
    </r>
    <r>
      <rPr>
        <b/>
        <sz val="8"/>
        <rFont val="Calibri"/>
        <family val="2"/>
      </rPr>
      <t>:  Consultoría nacional para llevar a cabo el diseño y especificaciones para la construcción de los embarcaderos para paseos en la Bahía de Jiquilisco.</t>
    </r>
  </si>
  <si>
    <t>1.8-2-1</t>
  </si>
  <si>
    <r>
      <t>OBRAS</t>
    </r>
    <r>
      <rPr>
        <b/>
        <sz val="8"/>
        <rFont val="Calibri"/>
        <family val="2"/>
      </rPr>
      <t>:  Construcción de tres embarcaderos para paseos en la Bahía de Jiquilisco.</t>
    </r>
  </si>
  <si>
    <t>Q2-2018</t>
  </si>
  <si>
    <t>1.9-2-1</t>
  </si>
  <si>
    <r>
      <t>OBRAS</t>
    </r>
    <r>
      <rPr>
        <b/>
        <sz val="8"/>
        <rFont val="Calibri"/>
        <family val="2"/>
      </rPr>
      <t>:  Construcción/acondicionamiento del centro de interpretación de la geología, vulcanología y aprovechamiento geotérmico.</t>
    </r>
  </si>
  <si>
    <t>1.9-4-1</t>
  </si>
  <si>
    <r>
      <t>FIRMA CONSULTORA</t>
    </r>
    <r>
      <rPr>
        <b/>
        <sz val="8"/>
        <rFont val="Calibri"/>
        <family val="2"/>
      </rPr>
      <t>:  Consultoría nacional para el desarrollo de los contenidos y medios de difusión del centro de interpretación de la geología, vulcanología y aprovechamiento geotérmico, así como el montaje de contenidos y provisión integrada de equipamiento.</t>
    </r>
  </si>
  <si>
    <t>Q2-2017</t>
  </si>
  <si>
    <t>1.10-4-1</t>
  </si>
  <si>
    <t>1.10-2-1</t>
  </si>
  <si>
    <r>
      <t>OBRAS</t>
    </r>
    <r>
      <rPr>
        <b/>
        <sz val="8"/>
        <rFont val="Calibri"/>
        <family val="2"/>
      </rPr>
      <t>:  Construcción/adecuación del Centro de información turística de Alegría y Berlín incluyendo la ejecución de las obras de acondicionamiento de los estacionamientos.</t>
    </r>
  </si>
  <si>
    <t>1.10-2-2</t>
  </si>
  <si>
    <r>
      <t>OBRAS</t>
    </r>
    <r>
      <rPr>
        <b/>
        <sz val="8"/>
        <rFont val="Calibri"/>
        <family val="2"/>
      </rPr>
      <t>:  Acondicionamiento de la infraestructura para el uso turístico de la Laguna Alegría.</t>
    </r>
  </si>
  <si>
    <r>
      <t>FIRMA CONSULTORA</t>
    </r>
    <r>
      <rPr>
        <b/>
        <sz val="8"/>
        <rFont val="Calibri"/>
        <family val="2"/>
      </rPr>
      <t>:  Consultoría nacional para llevar a cabo el diseño de las obras de mejoras turísticas en Berlín y Alegría.</t>
    </r>
  </si>
  <si>
    <t>Q3-2108</t>
  </si>
  <si>
    <t>1.11-4-1</t>
  </si>
  <si>
    <t>CCIN/SBCC</t>
  </si>
  <si>
    <r>
      <t>CONSULTORES INDIVIDUALES O FIRMAS CONSULTORAS</t>
    </r>
    <r>
      <rPr>
        <b/>
        <sz val="8"/>
        <rFont val="Calibri"/>
        <family val="2"/>
      </rPr>
      <t>:  Realización de Estudios de Impacto Ambiental varios para las obras de infraestructura contenidas en el Componente 1 del Programa.  Servicios profesionales nacionales.</t>
    </r>
  </si>
  <si>
    <t>2.1-4-1</t>
  </si>
  <si>
    <r>
      <t>FIRMA CONSULTORA:</t>
    </r>
    <r>
      <rPr>
        <b/>
        <sz val="8"/>
        <rFont val="Calibri"/>
        <family val="2"/>
      </rPr>
      <t xml:space="preserve">  Consultoría nacional para llevar a cabo un estudio sobre inclusión social (pobres, mujeres, jóvenes) en la cadena de valor turísticas y dotación de recomendaciones para el Componente 1.</t>
    </r>
  </si>
  <si>
    <r>
      <t>OTROS SERVICIOS</t>
    </r>
    <r>
      <rPr>
        <b/>
        <sz val="8"/>
        <rFont val="Calibri"/>
        <family val="2"/>
      </rPr>
      <t>:   Puesta en funcionamiento  de las actividades varias de asistencia técnica y capacitación a micro y pequeños empresarios, emprendedores turísticos y propietarios de micronegocios (v.gr. desarrollo de materiales, promoción y difusión).  Podría llevarse a través de ONGs o del propio MITUR/CORSATUR/ISTU.</t>
    </r>
  </si>
  <si>
    <t>2.2.4-1</t>
  </si>
  <si>
    <t>2.3-4-1</t>
  </si>
  <si>
    <t>Q4-2018</t>
  </si>
  <si>
    <r>
      <t>FIRMA CONSULTORA</t>
    </r>
    <r>
      <rPr>
        <b/>
        <sz val="8"/>
        <rFont val="Calibri"/>
        <family val="2"/>
      </rPr>
      <t>:  Consultoría nacional para llevar a cabo el diseño del sistema de "matching grants" o ayudas a fondo perdido dirigidas a microempresarios locales.  Incluye actividades de difusión.</t>
    </r>
  </si>
  <si>
    <t>Ayudas a fondo perdido para microempresarios</t>
  </si>
  <si>
    <r>
      <t>FIRMAS CONSULTORAS</t>
    </r>
    <r>
      <rPr>
        <b/>
        <sz val="8"/>
        <rFont val="Calibri"/>
        <family val="2"/>
      </rPr>
      <t>:  Consultorías nacionales o internacionales varias para el desarrollo e implementación de distintas  actividades de capacitación en materia de gestión empresarial, inserción al mercado turístico, mejora de la calidad, formalización de negocios y otros.  Incluye desarrollo de materiales, organización de talleres y otros.</t>
    </r>
  </si>
  <si>
    <t>2.6-4-1</t>
  </si>
  <si>
    <t>2.6-4-2</t>
  </si>
  <si>
    <r>
      <t>FIRMA CONSULTORA</t>
    </r>
    <r>
      <rPr>
        <b/>
        <sz val="8"/>
        <rFont val="Calibri"/>
        <family val="2"/>
      </rPr>
      <t>:  Consultoría nacional para el desarrollo de actividades de promoción y difusión del programa de capacitación turística incluyendo costos de medios de comunicación.</t>
    </r>
  </si>
  <si>
    <t>2.6-4-3</t>
  </si>
  <si>
    <r>
      <t>FIRMA CONSULTORA</t>
    </r>
    <r>
      <rPr>
        <b/>
        <sz val="8"/>
        <rFont val="Calibri"/>
        <family val="2"/>
      </rPr>
      <t>:  Consultoría nacional para llevar a cabo distintos programas de capacitación de microempresarios locales en los destinos turísticos del Programa.</t>
    </r>
  </si>
  <si>
    <t>3.1-4-1</t>
  </si>
  <si>
    <t>3.1-1-1</t>
  </si>
  <si>
    <r>
      <t>EQUIPO INFORMATICO Y SOFTWARE</t>
    </r>
    <r>
      <rPr>
        <b/>
        <sz val="8"/>
        <rFont val="Calibri"/>
        <family val="2"/>
      </rPr>
      <t>:  Compra de equipos de computación y compra/desarrollo de software especializado para el sistema de base de datos de captación y gestión de la información sobre estadísticas de la demanda turística.</t>
    </r>
  </si>
  <si>
    <r>
      <t>EQUIPO INFORMATICO Y SOFTWARE</t>
    </r>
    <r>
      <rPr>
        <b/>
        <sz val="8"/>
        <color indexed="8"/>
        <rFont val="Calibri"/>
        <family val="2"/>
      </rPr>
      <t>:  Compra de equipos de computación y compra/desarrollo de software especializado para el establecimiento y administración de la "Cuenta Satélite" turística.</t>
    </r>
  </si>
  <si>
    <t>3.1-4-2</t>
  </si>
  <si>
    <t>3.1-4-3</t>
  </si>
  <si>
    <r>
      <t>FIRMA CONSULTORA</t>
    </r>
    <r>
      <rPr>
        <b/>
        <sz val="8"/>
        <rFont val="Calibri"/>
        <family val="2"/>
      </rPr>
      <t>:  Consultoría internacional para llevar a cabo el diseño y gestión del sistema de base de datos de captación y administración de la información sobre estadísticas de la demanda turística a nivel local y nacional.</t>
    </r>
  </si>
  <si>
    <r>
      <t>FIRMA CONSULTORA</t>
    </r>
    <r>
      <rPr>
        <b/>
        <sz val="8"/>
        <rFont val="Calibri"/>
        <family val="2"/>
      </rPr>
      <t>:  Consultoría internacional para llevar a cabo el diseño y establecimiento y gestión de la "Cuenta Satélite" turística para El Salvador.</t>
    </r>
  </si>
  <si>
    <t>3.1-1-2</t>
  </si>
  <si>
    <t>3.2-1-1</t>
  </si>
  <si>
    <t>3.2-4-1</t>
  </si>
  <si>
    <r>
      <t>FIRMA CONSULTORA</t>
    </r>
    <r>
      <rPr>
        <b/>
        <sz val="8"/>
        <rFont val="Calibri"/>
        <family val="2"/>
      </rPr>
      <t>:  Consultoría internacional para llevar a cabo el desarrollo, implementación, gestión y seguimiento del sistema de registro nacional de turismo (censo, categorización, e inspección).</t>
    </r>
  </si>
  <si>
    <t>3.7-1-1</t>
  </si>
  <si>
    <r>
      <t>EQUIPO DE TRANSPORTE</t>
    </r>
    <r>
      <rPr>
        <b/>
        <sz val="8"/>
        <color indexed="8"/>
        <rFont val="Calibri"/>
        <family val="2"/>
      </rPr>
      <t>:  Compra de camionetas, cuadrimotos, vehículos para transporte de lanchas y motos para la Policía de Turismo (POLITUR) de El Salvador.</t>
    </r>
  </si>
  <si>
    <t>3.7-1-2</t>
  </si>
  <si>
    <r>
      <t>EQUIPO ACUATICO Y MARINO</t>
    </r>
    <r>
      <rPr>
        <b/>
        <sz val="8"/>
        <color indexed="8"/>
        <rFont val="Calibri"/>
        <family val="2"/>
      </rPr>
      <t>:  Compra de lanchas y motos acuáticas para la Policía de Turismo (POLITUR) de El Salvador.</t>
    </r>
  </si>
  <si>
    <t>3.7-1-3</t>
  </si>
  <si>
    <r>
      <t>EQUIPOS INFORMATICOS</t>
    </r>
    <r>
      <rPr>
        <b/>
        <sz val="8"/>
        <color indexed="8"/>
        <rFont val="Calibri"/>
        <family val="2"/>
      </rPr>
      <t>:  Compra de computadoras, laptops, cámaras de video, proyectores y otros para la Policía de Turismo (POLITUR) de El Salvador.</t>
    </r>
  </si>
  <si>
    <t>3.7-1-4</t>
  </si>
  <si>
    <t>3.7-1-5</t>
  </si>
  <si>
    <r>
      <t>EQUIPOS DE BUCEO</t>
    </r>
    <r>
      <rPr>
        <b/>
        <sz val="8"/>
        <color indexed="8"/>
        <rFont val="Calibri"/>
        <family val="2"/>
      </rPr>
      <t>:  Compra de implementos y equipos de buceo para la Policía de Turismo (POLITUR) de El Salvador.</t>
    </r>
  </si>
  <si>
    <r>
      <t>UNIFORMES</t>
    </r>
    <r>
      <rPr>
        <b/>
        <sz val="8"/>
        <color indexed="8"/>
        <rFont val="Calibri"/>
        <family val="2"/>
      </rPr>
      <t>:  Compra de camias y botas para el personal de la Policía de Turismo (POLITUR) de El Salvador.</t>
    </r>
  </si>
  <si>
    <t>3.7-1-6</t>
  </si>
  <si>
    <r>
      <t>EQUIPOS DE COMUNICACION</t>
    </r>
    <r>
      <rPr>
        <b/>
        <sz val="8"/>
        <color indexed="8"/>
        <rFont val="Calibri"/>
        <family val="2"/>
      </rPr>
      <t>:  Compra de radios portátil para la Policía de Turismo (POLITUR) de El Salvador.</t>
    </r>
  </si>
  <si>
    <t>3.7-4-1</t>
  </si>
  <si>
    <r>
      <t>FIRMA CONSULTORA</t>
    </r>
    <r>
      <rPr>
        <b/>
        <sz val="8"/>
        <rFont val="Calibri"/>
        <family val="2"/>
      </rPr>
      <t>:  Contratos varios de capacitación al personal de la Policía de Turismo de El Salvador en buceo, salvamento, rescate, navegación marítima y seguridad turística.</t>
    </r>
  </si>
  <si>
    <t>Q1-2018</t>
  </si>
  <si>
    <t>Q2-2108</t>
  </si>
  <si>
    <t>3.10-4-1</t>
  </si>
  <si>
    <t>Q1-2016</t>
  </si>
  <si>
    <t>3-10-4-2</t>
  </si>
  <si>
    <r>
      <t>FIRMA CONSULTORA</t>
    </r>
    <r>
      <rPr>
        <b/>
        <sz val="8"/>
        <rFont val="Calibri"/>
        <family val="2"/>
      </rPr>
      <t>:  Consultoría internacional para llevar a cabo las actividades de promoción, publicidad y mercadeo de la Franja Costero-Marina de El Salvador.</t>
    </r>
  </si>
  <si>
    <t>EL SALVADOR:  PROGRAMA DE DESARROLLO TURISTICO EN LA FRANJA COSTERO-MARINA</t>
  </si>
  <si>
    <r>
      <t>OBRAS</t>
    </r>
    <r>
      <rPr>
        <b/>
        <sz val="8"/>
        <rFont val="Calibri"/>
        <family val="2"/>
      </rPr>
      <t>:  Construcción de obras varias de infraestructura en el Parque Walter T. Deininger incluyendo estacionamientos, torres de vigilancias, edificio de centro de interpretación y otros.</t>
    </r>
  </si>
  <si>
    <r>
      <t>FIRMA CONSULTORA</t>
    </r>
    <r>
      <rPr>
        <b/>
        <sz val="8"/>
        <rFont val="Calibri"/>
        <family val="2"/>
      </rPr>
      <t>:  Consultoría nacional para llevar a cabo la supervisión de las obras de construcción del Complejo Turístico de Puerto de la Libertad.</t>
    </r>
  </si>
  <si>
    <r>
      <t>FIRMA CONSULTORA</t>
    </r>
    <r>
      <rPr>
        <b/>
        <sz val="8"/>
        <rFont val="Calibri"/>
        <family val="2"/>
      </rPr>
      <t>:  Consultoría nacional para llevar a cabo un estudio de diagnóstico sobe las causas de la informalidad y recomendaciones.</t>
    </r>
  </si>
  <si>
    <r>
      <t>FIRMA CONSULTORA</t>
    </r>
    <r>
      <rPr>
        <b/>
        <sz val="8"/>
        <rFont val="Calibri"/>
        <family val="2"/>
      </rPr>
      <t>:  Consultoría nacional para llevara a cabo un estudio de identificación de las necesidades de capacitación en los destinos turísticos del Programa.</t>
    </r>
  </si>
  <si>
    <r>
      <t>FIRMAS CONSULTORAS</t>
    </r>
    <r>
      <rPr>
        <b/>
        <sz val="8"/>
        <rFont val="Calibri"/>
        <family val="2"/>
      </rPr>
      <t>:  Consultorías nacionales para llevar a cabo cuatro encuestas anuales sobre el movimiento turístico en el país.</t>
    </r>
  </si>
  <si>
    <r>
      <t>FIRMA CONSULTORA</t>
    </r>
    <r>
      <rPr>
        <b/>
        <sz val="8"/>
        <rFont val="Calibri"/>
        <family val="2"/>
      </rPr>
      <t>:  Consultoría internacional para llevar a cabo el desarrollo del "Plan de Marketing" para la Franja Costero-Marina de El Salvador.</t>
    </r>
  </si>
  <si>
    <r>
      <t>ACTIVIDADES Y PRODUCTOS NO INCLUIDOS EN EL PLAN DE ADQUISICIONES</t>
    </r>
    <r>
      <rPr>
        <b/>
        <sz val="8"/>
        <rFont val="Calibri"/>
        <family val="2"/>
      </rPr>
      <t>:</t>
    </r>
  </si>
  <si>
    <t>A.1-4-1</t>
  </si>
  <si>
    <t>A.1-4-2</t>
  </si>
  <si>
    <r>
      <t>CONSULTOR INDIVIDUAL</t>
    </r>
    <r>
      <rPr>
        <b/>
        <sz val="8"/>
        <rFont val="Calibri"/>
        <family val="2"/>
      </rPr>
      <t>:  Consultoría nacional.  Contratación del "Coordinador General del Programa" para formar parte de la Unidad Coordinadora del Programa (UCP).</t>
    </r>
  </si>
  <si>
    <r>
      <t>CONSULTOR INDIVIDUAL</t>
    </r>
    <r>
      <rPr>
        <b/>
        <sz val="8"/>
        <rFont val="Calibri"/>
        <family val="2"/>
      </rPr>
      <t>:  Consultoría nacional.  Contratación del "Especialista en Proyectos" para formar parte de la Unidad Coordinadora del Programa (UCP).</t>
    </r>
  </si>
  <si>
    <t>A.1-4-3</t>
  </si>
  <si>
    <r>
      <t>CONSULTOR INDIVIDUAL</t>
    </r>
    <r>
      <rPr>
        <b/>
        <sz val="8"/>
        <rFont val="Calibri"/>
        <family val="2"/>
      </rPr>
      <t>:  Consultoría nacional.  Contratación del "Especialista en Administración Financiera" para formar parte de la Unidad Coordinadora del Programa (UCP).</t>
    </r>
  </si>
  <si>
    <t>A.1-4-4</t>
  </si>
  <si>
    <r>
      <t>CONSULTOR INDIVIDUAL</t>
    </r>
    <r>
      <rPr>
        <b/>
        <sz val="8"/>
        <rFont val="Calibri"/>
        <family val="2"/>
      </rPr>
      <t>:  Consultoría nacional.  Contratación del "Especialista en Adquisiciones" para formar parte de la Unidad Coordinadora del Programa (UCP).</t>
    </r>
  </si>
  <si>
    <t>A.1-4-5</t>
  </si>
  <si>
    <r>
      <t>CONSULTOR INDIVIDUAL</t>
    </r>
    <r>
      <rPr>
        <b/>
        <sz val="8"/>
        <rFont val="Calibri"/>
        <family val="2"/>
      </rPr>
      <t>:  Consultoría nacional.  Contratación del "Especialista Jurídico" para formar parte de la Unidad Coordinadora del Programa (UCP).</t>
    </r>
  </si>
  <si>
    <r>
      <t>CONSULTOR INDIVIDUAL</t>
    </r>
    <r>
      <rPr>
        <b/>
        <sz val="8"/>
        <rFont val="Calibri"/>
        <family val="2"/>
      </rPr>
      <t>:  Consultoría nacional.  Contratación de la "Asistente Administrativa" para formar parte de la Unidad Coordinadora del Programa (UCP).</t>
    </r>
  </si>
  <si>
    <t>Q1-2014</t>
  </si>
  <si>
    <t>A.1-4-6</t>
  </si>
  <si>
    <t>A.1-4-7</t>
  </si>
  <si>
    <r>
      <t>CONSULTOR INDIVIDUAL</t>
    </r>
    <r>
      <rPr>
        <b/>
        <sz val="8"/>
        <rFont val="Calibri"/>
        <family val="2"/>
      </rPr>
      <t>:  Consultoría nacional.  Contratación del "Responsable de Monitoreo y Evaluación" para formar parte de la Unidad Coordinadora del Programa (UCP).</t>
    </r>
  </si>
  <si>
    <r>
      <t>CONSULTOR INDIVIDUAL</t>
    </r>
    <r>
      <rPr>
        <b/>
        <sz val="8"/>
        <rFont val="Calibri"/>
        <family val="2"/>
      </rPr>
      <t>:  Consultoría nacional.  Contratación del "Especialista Ambiental" para formar parte de la Unidad Coordinadora del Programa (UCP).</t>
    </r>
  </si>
  <si>
    <t xml:space="preserve">     A.  Responsable de Monitoreo y Evaluación (UCP-MITUR)</t>
  </si>
  <si>
    <t xml:space="preserve">     C.  Especialista Ambiental (UCP-CORSATUR)</t>
  </si>
  <si>
    <t>A.1-4-8</t>
  </si>
  <si>
    <t>A.2-1-1</t>
  </si>
  <si>
    <r>
      <t>EQUIPO INFORMATICO Y DE COMUNICACIONES Y SOFTWARE</t>
    </r>
    <r>
      <rPr>
        <b/>
        <sz val="8"/>
        <rFont val="Calibri"/>
        <family val="2"/>
      </rPr>
      <t>:  Compra de equipos de computación, software de escritorio y equipos de oficina (fotocopiadoras, fax, impresoras y otros) para la Unidad Coordinadora del Programa (UCP).</t>
    </r>
  </si>
  <si>
    <t>Q2-2104</t>
  </si>
  <si>
    <r>
      <t>MOBILIARIO</t>
    </r>
    <r>
      <rPr>
        <b/>
        <sz val="8"/>
        <rFont val="Calibri"/>
        <family val="2"/>
      </rPr>
      <t>:  Compra de mobiliario para equipar la Unidad Coordinadora del Programa (UCP).</t>
    </r>
  </si>
  <si>
    <r>
      <t>VEHICULO</t>
    </r>
    <r>
      <rPr>
        <b/>
        <sz val="8"/>
        <rFont val="Calibri"/>
        <family val="2"/>
      </rPr>
      <t>:  Compra de camioneta 4X4 para la Unidad Coordinadora del Programa (UCP).</t>
    </r>
  </si>
  <si>
    <t>A.2-1-2</t>
  </si>
  <si>
    <t>A.2-1-3</t>
  </si>
  <si>
    <t>B.1-4-1</t>
  </si>
  <si>
    <r>
      <t xml:space="preserve">FIRMA CONSULTORA:  </t>
    </r>
    <r>
      <rPr>
        <b/>
        <sz val="8"/>
        <rFont val="Calibri"/>
        <family val="2"/>
      </rPr>
      <t>Contratación de las auditorías financieras anuales del Programa.  Firma de auditores externos independientes (contratos anuales o por dos años).</t>
    </r>
  </si>
  <si>
    <t>C.1-4-1</t>
  </si>
  <si>
    <t>C.1-4-2</t>
  </si>
  <si>
    <t>C.1-4-3</t>
  </si>
  <si>
    <t>Q4-2108</t>
  </si>
  <si>
    <t>A.3</t>
  </si>
  <si>
    <t>Gastos de Operación</t>
  </si>
  <si>
    <t>2.4-4-1</t>
  </si>
  <si>
    <r>
      <t>FIRMA CONSULTORA</t>
    </r>
    <r>
      <rPr>
        <b/>
        <sz val="8"/>
        <rFont val="Calibri"/>
        <family val="2"/>
      </rPr>
      <t>:  Consultoría nacional para llevar a cabo el diseño del plan de sensibilización social turística incluyendo costos de preparación de materiales y medios de difusión</t>
    </r>
  </si>
  <si>
    <t>3.3-4-1</t>
  </si>
  <si>
    <r>
      <t>CONSULTOR INDIVIDUAL</t>
    </r>
    <r>
      <rPr>
        <b/>
        <sz val="8"/>
        <rFont val="Calibri"/>
        <family val="2"/>
      </rPr>
      <t>:  Consultoría nacional para llevar a cabo el estudio de complementación de la Política Nacional de Turismo en materia de inclusión social, género y discapacitados.  Incluye actividades de difusión de dicha Política.</t>
    </r>
  </si>
  <si>
    <t>3.4-4-1</t>
  </si>
  <si>
    <r>
      <t>FIRMA CONSULTORA</t>
    </r>
    <r>
      <rPr>
        <b/>
        <sz val="8"/>
        <rFont val="Calibri"/>
        <family val="2"/>
      </rPr>
      <t>:  Consultoría nacional para llevar a cabo el diagnóstico del marco normativo de turismo en relación a los inventivos para fomentar sostenibilidad socio ambiental, nuevos productos, micro y pequeñas empresas y ecoturismo y turismo.  Incluye actividades de difusión.</t>
    </r>
  </si>
  <si>
    <r>
      <t>CONSULTOR INDIVIDUAL</t>
    </r>
    <r>
      <rPr>
        <b/>
        <sz val="8"/>
        <rFont val="Calibri"/>
        <family val="2"/>
      </rPr>
      <t>:  Consultoría nacional para elaborar los manuales de organización del MITUR, CORSATUR e ISTU.</t>
    </r>
  </si>
  <si>
    <t>3.5-4-1</t>
  </si>
  <si>
    <t>3.6-5-1</t>
  </si>
  <si>
    <t>3.8-4-1</t>
  </si>
  <si>
    <r>
      <t>FIRMA CONSULTORA</t>
    </r>
    <r>
      <rPr>
        <b/>
        <sz val="8"/>
        <rFont val="Calibri"/>
        <family val="2"/>
      </rPr>
      <t>:  Consultoría internacional para llevar a cabo el estudio de diagnóstico y la elaboración e implementación del plan de fortalecimiento de seis a ocho municipios en materia de gobernanza turística.</t>
    </r>
  </si>
  <si>
    <t>3.9-4-1</t>
  </si>
  <si>
    <r>
      <t>FIRMA CONSULTORA</t>
    </r>
    <r>
      <rPr>
        <b/>
        <sz val="8"/>
        <rFont val="Calibri"/>
        <family val="2"/>
      </rPr>
      <t>:  Consultoría nacional para llevar a cabo el estudio de diagnóstico y la elaboración del plan de fortalecimiento de los mecanismos formales de articulación público-privada a nivel local.</t>
    </r>
  </si>
  <si>
    <t>4.11  Proyecto  e implementación de saneamiento en Jiquilisco</t>
  </si>
  <si>
    <t>PLAN OPERATIVO ANUAL - 24 MESES INICIALES</t>
  </si>
  <si>
    <t>PRODUCTOS</t>
  </si>
  <si>
    <t>ACTIVIDADES</t>
  </si>
  <si>
    <t>PROYECCIONES</t>
  </si>
  <si>
    <t>PRESUPUESTO</t>
  </si>
  <si>
    <t>MEDIOS DE VERIFICACION</t>
  </si>
  <si>
    <t>INDICADORES DE</t>
  </si>
  <si>
    <t>DE PRODUCTOS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</si>
  <si>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</si>
  <si>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</si>
  <si>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</si>
  <si>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</si>
  <si>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</si>
  <si>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</si>
  <si>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</si>
  <si>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</si>
  <si>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</si>
  <si>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</si>
  <si>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</si>
  <si>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</si>
  <si>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</si>
  <si>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PRODUCTO</t>
  </si>
  <si>
    <t>(OBJETIVAMENTE VERIFICABLE)</t>
  </si>
  <si>
    <t>RESULTADO</t>
  </si>
  <si>
    <r>
      <t>FIRMA CONSULTORA</t>
    </r>
    <r>
      <rPr>
        <b/>
        <sz val="8"/>
        <rFont val="Calibri"/>
        <family val="2"/>
      </rPr>
      <t>:  Consultoría nacional para llevar a cabo el diseño e implementación del plan de comunicación y participación en el Programa.</t>
    </r>
  </si>
  <si>
    <t>4.1-4-1  Consultoría nacional para llevar a cabo el diseño e implementación del plan de comunicación y participación en el Programa</t>
  </si>
  <si>
    <t>3.7-4-1  Contratos varios de capacitación al personal de la Policía de Turismo de El Salvador en buceo, salvamento, rescate, navegación marítima y seguridad turística</t>
  </si>
  <si>
    <t>Diseño concluido, implementación del Plan en curso</t>
  </si>
  <si>
    <t>(a) Términos de referencia; (b) lista corta; (c) contrato de consultoría; (d) informes de avance</t>
  </si>
  <si>
    <t>4.2-4-1  Consultoría internacional para llevar a cabo el diseño, implementación y gestión del plan de monitoreo de la calidad ambiental en localidades turísticas prioritarias del Programa</t>
  </si>
  <si>
    <t>4.3-4-1  Consultoría nacional para llevar a cabo el estudio y diseño del plan de manejo  de las áreas de conservación prioritarias en la Costa del Bálsamo, Puerto La Libertad</t>
  </si>
  <si>
    <t>Plan concluido</t>
  </si>
  <si>
    <t>(a) Términos de referencia; (b) lista corta; (c) contrato de consultoría; (d) informes de avance; (f) informe final</t>
  </si>
  <si>
    <t>4.4-4-1  Consultoría nacional para llevar a cabo el estudio y diseño del proyecto de implementación de saneamiento en El Tunco</t>
  </si>
  <si>
    <t>(a) Términos de referencia; (b) lista corta; (c) contrato de consultoría; (d) informes de avance; (e) informe final aprobado</t>
  </si>
  <si>
    <r>
      <t>CONSULTOR INDIVIDUAL</t>
    </r>
    <r>
      <rPr>
        <b/>
        <sz val="8"/>
        <rFont val="Calibri"/>
        <family val="2"/>
      </rPr>
      <t>:  Consultoría nacional para apoyar las acciones de fortalecimiento de la Oficina del MARN en el Complejo Turístico de Puerto La Libertad</t>
    </r>
  </si>
  <si>
    <t>4.6-2-1  Construcción de la planta de tratamiento de aguas residuales como parte del proyecto de saneamiento en el Parque Walter T. Deininger</t>
  </si>
  <si>
    <t>Obras de construcción concluidas</t>
  </si>
  <si>
    <t xml:space="preserve">(a) Pliegos de especificación; (b) listas de ofertantes; (c) comprobante de adjudicación de contrato; (d) informes de avance; (e) informe de cierre </t>
  </si>
  <si>
    <t>4.6-4-1  Consultoría nacional para llevar a cabo el estudio de diagnóstico y diseño de la planta de tratamiento de aguas residuales como parte del proyecto de saneamiento en el Parque Walter T. Deininger</t>
  </si>
  <si>
    <t>Diagnóstico y diseño concluidos</t>
  </si>
  <si>
    <t>4.7-4-1  Consultoría nacional para llevar a cabo el diseño y elaboración del plan de gestión del uso público en el Parque Walter T. Deininger</t>
  </si>
  <si>
    <t>Diseño y plan de gestión concluidos</t>
  </si>
  <si>
    <t>4.10-4-1  Consultoría internacional para llevar a cabo el estudio y elaboración del plan de manejo del área de conservación de la Bahía de Jiquilisco</t>
  </si>
  <si>
    <t>Estudio y elaboración de plan en curso</t>
  </si>
  <si>
    <t>(a) Términos de referencia; (b) listas de ofertantes; (c) comprobante de adjudicación de contrato; (d) informes de avance</t>
  </si>
  <si>
    <t>4.11-2-1  Implementación del sistema de saneamiento para el Puerto El Triunfo en Jiquilisco</t>
  </si>
  <si>
    <t>(a) Pliegos de especificación; (b) listas de ofertantes; (c) actas de selección y adjudicación; (d) informes de avance</t>
  </si>
  <si>
    <t>Obras de construcción en progreso</t>
  </si>
  <si>
    <t>4.11-4-1  Consultoría internacional para llevar a cabo el estudio y diseño del proyecto del sistema de saneamiento del Puerto El Triunfo en Jiquilisco</t>
  </si>
  <si>
    <t>(a) Pliegos de especificación; (b) listas de ofertantes; (c) actas de selección y adjudicación; (d) informes de avance; (e) informe final aprobado</t>
  </si>
  <si>
    <t>(a) Términos de referencia; (b) listas de ofertantes; (c) contrato de consultoría; (d) materiales y contenidos producidos; (e) número de talleres y sesiones de capacitación sostenidos</t>
  </si>
  <si>
    <t>(a) Términos de referencia; (b) listas de ofertantes; (c) contrato de consultoría; (d) informes de avance</t>
  </si>
  <si>
    <t>Instalaciones de infraestructura en el Parque Walter T. Deininger en proceso de construcción, como parte de una estrategia integrada de desarrollo del mercado de ecoturismo en el Parque</t>
  </si>
  <si>
    <t>El destino turístico de El Tunco como mercado de sol y playa cuenta con los estudios y diseños necesarios para la construcción de infraestructura urbana y facilidades en la playa.  Obras iniciadas bajo dicha base técnica</t>
  </si>
  <si>
    <t>El destino turístico de Puerto El Triunfo cuenta con los estudios y diseño necesarios para la construcción del muelle turístico y malecón.  Obras en proceso de construcción de acuerdo a dicho diseño y lineamientos técnicos</t>
  </si>
  <si>
    <t>Obras de infraestructura cuentan con los estudios de impacto ambiental necesarios previo al inicio de las construcciones, garantizando así el cumplimiento con la legislación nacional y sobretodo, la no existencia de impactos adversos sobre la sostenibilidad del medioambiente y recursos naturales a nivel local</t>
  </si>
  <si>
    <t>El Programa cuenta con los insumos y diagnósticos necesarios para promover la inclusión y participación de poblaciones locales en desventaja en las cadenas de valor turísticas</t>
  </si>
  <si>
    <t>(a) Plan concluido; (b) materiales y contenidos producidos para difusión y  cursos; (c) número de talleres y sesiones de capacitación sostenidos; (d) informes sobre niveles de participación;( e) informes sobre metodologías aplicadas y otros</t>
  </si>
  <si>
    <t>Plan de capacitación de microempresarios en aspectos fundamentales de gestión socioambiental y aplicación de nuevas tecnologías apropiadas a la gestión turística, en proceso de implementación y como medio adicional de promoción de la formalización de micronegocio local</t>
  </si>
  <si>
    <t>1.11-4-1  Consultorías para llevar a cabo Estudios de Impacto Ambiental para obras específicas arriba contempladas (1.1, 1.2, 1.3, 1.6 y 1.10 en 2014; y 1.4 y 1.7 en 2015)</t>
  </si>
  <si>
    <t>Estudios concluidos</t>
  </si>
  <si>
    <t>1.6-4-1  Consultoría nacional para llevar a cabo la revisión del diseño de las obras de infraestructura de El Triunfo incluyendo la realización de los estudios de impacto socioambiental y otros</t>
  </si>
  <si>
    <t>2.1-4-1  Consultoría nacional para llevar a cabo el estudio de diagnóstico sobe las causas de la informalidad y recomendaciones</t>
  </si>
  <si>
    <t>Estudio concluido</t>
  </si>
  <si>
    <t>2.2  Estudios de inclusión social</t>
  </si>
  <si>
    <t>2.2.4-1  Consultoría nacional para llevar a cabo el estudio sobre inclusión social (pobres, mujeres, jóvenes) en la cadena de valor turística,  y dotación de recomendaciones para el desarrollo del  Componente 1</t>
  </si>
  <si>
    <r>
      <t>OBRAS</t>
    </r>
    <r>
      <rPr>
        <b/>
        <sz val="8"/>
        <rFont val="Calibri"/>
        <family val="2"/>
      </rPr>
      <t>:  Construcciones varias de acondicionamiento del Puerto El Triunfo incluyendo la reconstrucción del muelle, el acondicionamiento a "ecocentro" de la casa de la Fuerza Naval, la construcción del punto de venta de artesanías de la Bahía, y la limpieza y adecentamiento de El Malecón.</t>
    </r>
  </si>
  <si>
    <t>Actividades de asistencia técnica y capacitación llevadas a cabo con participación directa de MITUR, CORSATUR e ISTU</t>
  </si>
  <si>
    <t>(a) Materiales y contenidos producidos para difusión y  cursos; (b) informes sobre niveles de participación;( c) informe sobre metodologías aplicadas y otros</t>
  </si>
  <si>
    <t>2.3-3-1</t>
  </si>
  <si>
    <t>EX-POST</t>
  </si>
  <si>
    <t>2.3-3-1  Puesta en funcionamiento  de las actividades varias de asistencia técnica y capacitación a micro y pequeños empresarios, emprendedores turísticos y propietarios de micronegocios</t>
  </si>
  <si>
    <t>2.3-4-1  Consultorías nacionales o internacionales varias para el desarrollo e implementación de distintas  actividades de capacitación en materia de gestión empresarial, inserción al mercado turístico, mejora de la calidad, formalización de negocios y otros</t>
  </si>
  <si>
    <t>Actividades de capacitación llevadas a cabo</t>
  </si>
  <si>
    <t>2.4  Concientización, asistencia técnica y capacitación a pequeños y medianos empresarios en gestión socioambiental, innovación y nuevas tecnologías y certificación</t>
  </si>
  <si>
    <t>2.4-4-1  Consultoría nacional para llevar a cabo el diseño del plan de sensibilización social turística, así como acciones de implementación</t>
  </si>
  <si>
    <t>Plan concluido y capacitaciones en curso</t>
  </si>
  <si>
    <t>(a) Materiales y contenidos producidos para difusión y  cursos; (b) número de talleres y sesiones de capacitación sostenidos; (c) informes sobre niveles de participación;( c) informes sobre metodologías aplicadas y otros</t>
  </si>
  <si>
    <t>Sistema de "matching grants" diseñado y difundido</t>
  </si>
  <si>
    <t>(a) Términos de referencia; (b) listas cortas; (c) contrato de consultoría; (d) informes de avance; (e) informe final aprobado; (f) manual de operaciones; y (g) informes de difusión y participación</t>
  </si>
  <si>
    <t>2.6-4-1  Consultoría nacional para llevara a cabo el estudio de identificación de las necesidades de capacitación en los destinos turísticos del Programa</t>
  </si>
  <si>
    <t>2.6-4-2  Consultoría nacional para el desarrollo de actividades de promoción y difusión del programa de capacitación turística</t>
  </si>
  <si>
    <t>Actividades de promoción y difusión concluidas</t>
  </si>
  <si>
    <t>(a) Términos de referencia; (b) listas cortas; (c) contrato de consultoría; (d) materiales y medios de difusión producidos; (e) informes de avance; (f) informe final aprobado</t>
  </si>
  <si>
    <t>2.6-4-3  Consultoría nacional para llevar a cabo distintos programas de capacitación de microempresarios locales en los destinos turísticos del Programa</t>
  </si>
  <si>
    <t>Programas y acciones de capacitación iniciadas</t>
  </si>
  <si>
    <t>(a) Términos de referencia; (b) listas cortas; (c) contrato de consultoría;  (e) informe de avance</t>
  </si>
  <si>
    <t>4.4-4-2</t>
  </si>
  <si>
    <r>
      <t>FIRMA CONSULTORA</t>
    </r>
    <r>
      <rPr>
        <b/>
        <sz val="8"/>
        <rFont val="Calibri"/>
        <family val="2"/>
      </rPr>
      <t>:  Consultoría nacional para llevar a cabo la supervisión de las obras de saneamiento en El Tunco.</t>
    </r>
  </si>
  <si>
    <r>
      <t>FIRMA CONSULTORA</t>
    </r>
    <r>
      <rPr>
        <b/>
        <sz val="8"/>
        <rFont val="Calibri"/>
        <family val="2"/>
      </rPr>
      <t>:  Consultoría internacional para llevar a cabo el estudio y diseño del proyecto del sistema de saneamiento en Jiquilisco y Puerto El Triunfo.</t>
    </r>
  </si>
  <si>
    <r>
      <t>FIRMA CONSULTORA</t>
    </r>
    <r>
      <rPr>
        <b/>
        <sz val="8"/>
        <rFont val="Calibri"/>
        <family val="2"/>
      </rPr>
      <t>:  Consultoría nacional para llevar a cabo la supervisión de las obras del sistema de saneamiento integral del casco urbano de Alegría.</t>
    </r>
  </si>
  <si>
    <r>
      <t>FIRMA CONSULTORA</t>
    </r>
    <r>
      <rPr>
        <b/>
        <sz val="8"/>
        <rFont val="Calibri"/>
        <family val="2"/>
      </rPr>
      <t>:  Consultoría nacional para llevar a cabo la supervisión de las obras del sistema de saneamiento  en Jiquilisco y  Puerto El Triunfo.</t>
    </r>
  </si>
  <si>
    <r>
      <t>OBRAS</t>
    </r>
    <r>
      <rPr>
        <b/>
        <sz val="8"/>
        <rFont val="Calibri"/>
        <family val="2"/>
      </rPr>
      <t>:  Implementación del sistema de saneamiento en Jiquilisco y Puerto El Triunfo.</t>
    </r>
  </si>
  <si>
    <t>3.1-1-1  Compra de equipos de computación y compra/desarrollo de software especializado para el sistema de base de datos de captación y gestión de la información sobre estadísticas de la demanda turística</t>
  </si>
  <si>
    <t>Equipos adquiridos y software/aplicación desarrollado</t>
  </si>
  <si>
    <t xml:space="preserve">(a) Pliegos de especificación; (b) listas de ofertantes; (c) comprobante de adjudicación de contrato; (d) comprobantes de entrega satisfactoria de bienes </t>
  </si>
  <si>
    <t>3.1-1-2  Compra de equipos de computación y compra/desarrollo de software especializado para el establecimiento y administración de la "Cuenta Satélite" turística</t>
  </si>
  <si>
    <t>3.1-4-1  Consultoría internacional para llevar a cabo el diseño y gestión del sistema de base de datos de captación y administración de la información sobre estadísticas de la demanda turística a nivel local y nacional</t>
  </si>
  <si>
    <t>Diseño del sistema concluido, actividades de gestión en curso</t>
  </si>
  <si>
    <t>(a) Términos de referencia; (b) listas de ofertantes; (c) contrato de consultoría; (d) informe de diseño intermedio y final; (e)  informes de avance de gestión</t>
  </si>
  <si>
    <t>3.1-4-2  Consultoría internacional para llevar a cabo el diseño y establecimiento y gestión de la "Cuenta Satélite" turística para El Salvador</t>
  </si>
  <si>
    <t>3.1-4-3   Consultorías nacionales para llevar a cabo cuatro encuestas anuales sobre el movimiento turístico en el país.</t>
  </si>
  <si>
    <t>Primera encuesta realizada y resultados sistematizados entregados</t>
  </si>
  <si>
    <t>(a) Términos de referencia; (b) lista corta; (c) contrato de consultoría; (d) informe de resultados y estadísticas</t>
  </si>
  <si>
    <r>
      <t>EQUIPO INFORMATICO Y SOFTWARE</t>
    </r>
    <r>
      <rPr>
        <b/>
        <sz val="8"/>
        <color indexed="8"/>
        <rFont val="Calibri"/>
        <family val="2"/>
      </rPr>
      <t>:  Compra de equipos de computación y compra/desarrollo de software especializado para la aplicación de base de datos del sistema de registro nacional de turismo.</t>
    </r>
  </si>
  <si>
    <t>3.2-1-1  Compra de equipos de computación y compra/desarrollo de software especializado para la aplicación de base de datos del sistema de registro nacional de turismo</t>
  </si>
  <si>
    <t>3.2  Sistema de registro nacional de turismo</t>
  </si>
  <si>
    <t>4.12  Fortalecimiento de Unidad Ambiental del MARN en la sierra Tecapa-Chinameca</t>
  </si>
  <si>
    <t>4.13  Proyecto e implementación de saneamiento de Alegría</t>
  </si>
  <si>
    <t>4.14  Plan de uso público e implementación en la Laguna de Alegría</t>
  </si>
  <si>
    <t>4.13-2-1</t>
  </si>
  <si>
    <t>4.12-4-1</t>
  </si>
  <si>
    <t>4.13-4-2</t>
  </si>
  <si>
    <t>4.12-4-1  Consultoría internacional para llevar a cabo el fortalecimiento de la Unidad Ambiental del MARN en la sierra de Tecapa-Chinameca.  Incluye capacitación, materiales didácticos</t>
  </si>
  <si>
    <t>4.13-2-1  Construcción del sistema de saneamiento integral del casco urbano de Alegría incluyendo el sistema de alcantarillado y planta de tratamiento</t>
  </si>
  <si>
    <t>4.13-4-1  Consultoría nacional para llevar a cabo estudio y diseño del sistema de saneamiento integral del casco urbano de Alegría</t>
  </si>
  <si>
    <t>4.13-4-2  Consultoría nacional para llevar a cabo la supervisión de las obras del sistema de saneamiento integral del casco urbano de Alegría</t>
  </si>
  <si>
    <t xml:space="preserve"> 4.14-4-2  Consultoría nacional para llevar a cabo el diseño y elaboración del plan de gestión del uso público en la Laguna de Alegría</t>
  </si>
  <si>
    <r>
      <t xml:space="preserve">          1.  </t>
    </r>
    <r>
      <rPr>
        <u val="single"/>
        <sz val="8"/>
        <rFont val="Calibri"/>
        <family val="2"/>
      </rPr>
      <t>Monitoreo</t>
    </r>
  </si>
  <si>
    <t xml:space="preserve">               -  Evaluación Inicial</t>
  </si>
  <si>
    <t xml:space="preserve">               -  Evaluación de Medio Término</t>
  </si>
  <si>
    <t xml:space="preserve">               -  Evaluación Final</t>
  </si>
  <si>
    <r>
      <t xml:space="preserve">          2.  </t>
    </r>
    <r>
      <rPr>
        <u val="single"/>
        <sz val="8"/>
        <rFont val="Calibri"/>
        <family val="2"/>
      </rPr>
      <t>Evaluación de Impacto</t>
    </r>
  </si>
  <si>
    <t xml:space="preserve">               -  Evaluación Inicial - Establecimiento de Línea de Base</t>
  </si>
  <si>
    <t xml:space="preserve">               -  Evaluación Final de Impacto</t>
  </si>
  <si>
    <r>
      <t>CONSULTOR INDIVIDUAL</t>
    </r>
    <r>
      <rPr>
        <b/>
        <sz val="8"/>
        <rFont val="Calibri"/>
        <family val="2"/>
      </rPr>
      <t>:  Consultoría nacional para llevar a cabo la evaluación de medio término del Programa como parte de las actividades de monitoreo.</t>
    </r>
  </si>
  <si>
    <r>
      <t>CONSULTOR INDIVIDUAL</t>
    </r>
    <r>
      <rPr>
        <b/>
        <sz val="8"/>
        <rFont val="Calibri"/>
        <family val="2"/>
      </rPr>
      <t>:  Consultoría nacional para llevar a cabo la evaluación inicial del Programa como parte de las actividades de monitoreo.</t>
    </r>
  </si>
  <si>
    <r>
      <t>CONSULTOR INDIVIDUAL</t>
    </r>
    <r>
      <rPr>
        <b/>
        <sz val="8"/>
        <rFont val="Calibri"/>
        <family val="2"/>
      </rPr>
      <t>:  Consultoría nacional para llevar a cabo la evaluación final del Programa como parte de las actividades de monitoreo.</t>
    </r>
  </si>
  <si>
    <t>C.1-4-4</t>
  </si>
  <si>
    <t>Q4-2104</t>
  </si>
  <si>
    <t>C.1-4-5</t>
  </si>
  <si>
    <t>C.1-4-1  Consultoría nacional  para llevar a cabo la evaluación inicial del Programa como parte de las actividades de monitoreo</t>
  </si>
  <si>
    <t>Evaluación inicial de monitoreo concluida</t>
  </si>
  <si>
    <t>3.2-4-1   Consultoría internacional para llevar a cabo el desarrollo, implementación, gestión y seguimiento del sistema de registro nacional de turismo, incluyendo el censo, categorización, e inspección</t>
  </si>
  <si>
    <t>Actividades de desarrollo del sistema en curso</t>
  </si>
  <si>
    <t xml:space="preserve">(a) Pliegos de especificación; (b) listas de ofertantes; (c) comprobante de adjudicación de contrato; (d) informes iniciales de avance </t>
  </si>
  <si>
    <t>3.4  Revisión marco normativo turístico</t>
  </si>
  <si>
    <t>3.4-4-1  Consultoría nacional para llevar a cabo el diagnóstico del marco normativo de turismo en relación a los inventivos para fomentar sostenibilidad socio ambiental, nuevos productos, micro y pequeñas empresas y ecoturismo y turismo.  Incluye actividades de difusión</t>
  </si>
  <si>
    <t>Estudio de diagnóstico en progreso</t>
  </si>
  <si>
    <t>(a) Términos de referencia; (b) lista corta; (c) contrato de consultoría; (d) informe de avance</t>
  </si>
  <si>
    <t>3.5  Desarrollo de manuales de organización MITUR/CORSATUR/ISTU</t>
  </si>
  <si>
    <t>3.5-4-1  Consultoría nacional para elaborar los manuales de organización del MITUR, CORSATUR e ISTU</t>
  </si>
  <si>
    <t>(a) Términos de referencia; (b) lista corta; (c) contrato de consultoría; (d) informe de avance; (e) borradores de manuales</t>
  </si>
  <si>
    <t>Elaboración de manuales de organización en progreso</t>
  </si>
  <si>
    <r>
      <t>FIRMA CONSULTORA</t>
    </r>
    <r>
      <rPr>
        <b/>
        <sz val="8"/>
        <rFont val="Calibri"/>
        <family val="2"/>
      </rPr>
      <t>:  Consultoría nacional para llevar a cabo el diagnóstico y elaboración del plan de capacitación del MITUR y sus endidades adscritas en materia de planificación y gestión turística.</t>
    </r>
  </si>
  <si>
    <t>3.7-1-1  Compra de primeros lotes de camionetas, cuadrimotos, vehículos para transporte de lanchas y motos para la Policía de Turismo (POLITUR) de El Salvador</t>
  </si>
  <si>
    <t>POLITUR dotado de nuevos equipos de transporte</t>
  </si>
  <si>
    <t>3.7-1-5  Compra de primeros lotes de camias y botas para el personal de la Policía de Turismo (POLITUR) de El Salvador</t>
  </si>
  <si>
    <t>POLITUR dotado de nuevos uniformes para personal</t>
  </si>
  <si>
    <t>(a) Pliegos de especificación; (b) listas de proveedores/ofertantes; (c) actas de selección y adjudicación</t>
  </si>
  <si>
    <t>(a) Términos de referencia; (b) listas cortas; (c) contratos de consultoría; (d) informes de avance; (e) informes finales; (f) materiales y contenidos producidos para los cursos; (g) número de talleres y sesiones de capacitación sostenidos</t>
  </si>
  <si>
    <t>Actividades de capacitación en curso</t>
  </si>
  <si>
    <t>3.8-4-1  Consultoría internacional para llevar a cabo el estudio de diagnóstico y la elaboración e implementación del plan de fortalecimiento de municipios en materia de gobernanza turística</t>
  </si>
  <si>
    <t>Estudio de diagnóstico y diseño del plan concluidos, y capacitaciones en curso</t>
  </si>
  <si>
    <t>(a) Términos de referencia; (b) listas de ofertantes; (c) contratos de consultoría; (d) informes de avance; (e) informes finales; (f) materiales y contenidos producidos para los cursos; (g) número de talleres y sesiones de capacitación sostenidos</t>
  </si>
  <si>
    <t>A.2-1-1  Compra de equipos de computación, software de escritorio y equipos de oficina (fotocopiadoras, fax, impresoras y otros) para la Unidad Coordinadora del Programa (UCP)</t>
  </si>
  <si>
    <t>A.2-1-2  Compra de mobiliario para equipar la Unidad Coordinadora del Programa (UCP</t>
  </si>
  <si>
    <t>A.2-1-3   Compra de camioneta 4X4 para la Unidad Coordinadora del Programa (UCP)</t>
  </si>
  <si>
    <t>Equipos y software adquiridos para uso por parte del personal de la Unidad Coordinadora del Programa (UCP)</t>
  </si>
  <si>
    <t>CORSATUR Y MUNICIPIO</t>
  </si>
  <si>
    <t>-</t>
  </si>
  <si>
    <t>MITUR</t>
  </si>
  <si>
    <t>EJECUTOR</t>
  </si>
  <si>
    <t>PARTICIPANTE/S</t>
  </si>
  <si>
    <t>CORSATUR E ISTU</t>
  </si>
  <si>
    <t>MUNICIPIOS</t>
  </si>
  <si>
    <t>2.1  Estudio de causas de la informalidad en el sector turístico y recomendaciones</t>
  </si>
  <si>
    <t>1.1  Terminación del Complejo Turístico Puerto de La Libertad en plaza marinera para gastronomía, comercios y servicios turísticos</t>
  </si>
  <si>
    <t>1.6  Acondicionamiento de Puerto El Triunfo (mejora de muelle turístico, terminación de los últimos 15 metros del malecón, mercado para artesanas, y Eco-Centro de Interpretación de la Bahía de Jiquilisco)</t>
  </si>
  <si>
    <t>1.7  Bulevar de acceso y mejora de embarcadero turístico de Puerto Parada</t>
  </si>
  <si>
    <t>2.3  Asistencia técnica y capacitación a MIPYMES para mejorar la calidad de servicio (fomento de la formalidad, gestión empresarial, gestión socioambiental, innovación, nuevas tecnologías, certificación) y facilitar el acceso a ventanillas de financiamiento.</t>
  </si>
  <si>
    <t>2.4  Concientización turística de la población y campañas de difusión del programa ES-L1066 y su componente 2</t>
  </si>
  <si>
    <t>2.5  Recursos de cofinancimiento (matching grants) a micro y pequeños empresarios</t>
  </si>
  <si>
    <t>2.6  Capacitación en turismo de recursos humanos en los destinos</t>
  </si>
  <si>
    <t>3.3  Complementación de la Política Nacional de Turismo  en aspectos de inclusión social (género y discapacitados)</t>
  </si>
  <si>
    <t>3.6  Diagnóstico y Plan de capacitación de MITUR y entidades adscritas (CORSARTUR/ISTU) en planificación y gestión turística</t>
  </si>
  <si>
    <t>3.8  Diagnóstico y Plan de fortalecimiento de seis municipios prioritarios en gobernanza turística</t>
  </si>
  <si>
    <t>3.4  Revisión del marco normativo turístico (redirección de incentivos hacia: sostenibilidad socio-ambiental, nuevos productos, micro y pequeñas empresas, y ecoturismo y turismo en áreas costeras y con valor natural)</t>
  </si>
  <si>
    <t>Componente 4:  Gestión ambiental</t>
  </si>
  <si>
    <t>Componente 3:  Gobernanza turística</t>
  </si>
  <si>
    <t>Componente 2:  Emprendimiento local</t>
  </si>
  <si>
    <t>Componente 1:  Puesta en valor de atractivos turísticos</t>
  </si>
  <si>
    <t>Monto (US$)</t>
  </si>
  <si>
    <t>Estado</t>
  </si>
  <si>
    <t>Obra</t>
  </si>
  <si>
    <t>2.4  Acciones de difusión y preparación de los apoyos del componente 2, incluido matching grants, y conicientización turística de la población</t>
  </si>
  <si>
    <t>Diseño</t>
  </si>
  <si>
    <t>ANDA Y MUNICIPIO</t>
  </si>
  <si>
    <t>Perfil</t>
  </si>
  <si>
    <t xml:space="preserve">Perfil </t>
  </si>
  <si>
    <t xml:space="preserve">Prediseño </t>
  </si>
  <si>
    <t>Comentario</t>
  </si>
  <si>
    <t>Elaborado con fondos de la ATN/MT-5977-ES</t>
  </si>
  <si>
    <t>2.5  Recursos de cofinancimiento (matching grants) a micro y pequeños emprendimientos</t>
  </si>
  <si>
    <t>4.2  Plan de monitoreo de calidad ambiental en áreas turísticas prioritarias de Costa del Bálsamo y Bahía Jiquilisco</t>
  </si>
  <si>
    <t>4.3  Plan de manejo de áreas turísticas prioritarias en Costa del Bálsamo- Puerto La Libertad</t>
  </si>
  <si>
    <t>4.4  Planta de saneamiento de aguas residuales y conexiones de alcantarillado en El Tunco</t>
  </si>
  <si>
    <t>4.5  Fortalecimiento de la Oficina Ambiental regional centro del MARN y de la Unidad Ambiental del Municipio de La Libertad</t>
  </si>
  <si>
    <t>4.6  Sistema de saneamiento ambiental en Parque W. Deininger</t>
  </si>
  <si>
    <t>4.8  Estudio hidrológico y de riesgo de inundación en la zona de uso público de Parque W. Deininger</t>
  </si>
  <si>
    <t>4.10  Plan maestro de ordenamiento y manejo de áreas turísticas prioritarias de Bahía Jiquilisco</t>
  </si>
  <si>
    <t>4.11  Planta de saneamiento de aguas residuales y conexiones de alcantarillado en Jiquilisco y Puerto El Triunfo</t>
  </si>
  <si>
    <t>4.13  Planta de saneamiento de aguas residuales y conexiones de alcantarillado en Alegría</t>
  </si>
  <si>
    <t>4.12  Fortalecimiento de Unidad Ambiental municipal en la sierra Tecapa-Chinameca-Bahía Jiquilisco</t>
  </si>
  <si>
    <t>4.1  Plan de comunicación y participación en el programa</t>
  </si>
  <si>
    <t>MARN Y MUNICIPIO</t>
  </si>
  <si>
    <t>1.1-2-1   Construcción del edificio, ordenamiento de la parcela y nuevas instalaciones de la Plaza Marinera en el Complejo Turístico de Puerto La Libertad.</t>
  </si>
  <si>
    <r>
      <t>OBRAS</t>
    </r>
    <r>
      <rPr>
        <b/>
        <sz val="8"/>
        <rFont val="Calibri"/>
        <family val="2"/>
      </rPr>
      <t>:  Construcción del edificio, ordenamiento de la parcela y nuevas instalaciones de la Plaza Marinera en el Complejo Turístico de Puerto La Libertad.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</si>
</sst>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\-mmm\-yyyy;@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8"/>
      <name val="Calibri"/>
      <family val="2"/>
    </font>
    <font>
      <b/>
      <sz val="8"/>
      <name val="Calibri"/>
      <family val="2"/>
    </font>
    <font>
      <u val="single"/>
      <sz val="8"/>
      <name val="Calibri"/>
      <family val="2"/>
    </font>
    <font>
      <b/>
      <sz val="11"/>
      <name val="Arial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u val="single"/>
      <sz val="8"/>
      <name val="Calibri"/>
      <family val="2"/>
    </font>
    <font>
      <b/>
      <u val="single"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medium"/>
      <bottom style="thin"/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medium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 style="dotted"/>
    </border>
    <border>
      <left style="thin"/>
      <right>
        <color indexed="63"/>
      </right>
      <top style="medium"/>
      <bottom style="dashed"/>
    </border>
    <border>
      <left style="medium"/>
      <right style="medium"/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thick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 style="medium"/>
      <right>
        <color indexed="63"/>
      </right>
      <top style="thick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ash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dashed"/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ck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thick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7">
    <xf numFmtId="0" fontId="0" fillId="0" borderId="0" xfId="0" applyAlignment="1">
      <alignment/>
    </xf>
    <xf numFmtId="0" fontId="2" fillId="0" borderId="0" xfId="0" applyFont="1" applyAlignment="1">
      <alignment/>
    </xf>
    <xf numFmtId="37" fontId="3" fillId="33" borderId="10" xfId="0" applyNumberFormat="1" applyFont="1" applyFill="1" applyBorder="1" applyAlignment="1">
      <alignment/>
    </xf>
    <xf numFmtId="37" fontId="3" fillId="34" borderId="10" xfId="0" applyNumberFormat="1" applyFont="1" applyFill="1" applyBorder="1" applyAlignment="1">
      <alignment/>
    </xf>
    <xf numFmtId="37" fontId="2" fillId="0" borderId="11" xfId="0" applyNumberFormat="1" applyFont="1" applyFill="1" applyBorder="1" applyAlignment="1">
      <alignment/>
    </xf>
    <xf numFmtId="37" fontId="2" fillId="0" borderId="12" xfId="0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7" fontId="2" fillId="0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33" borderId="10" xfId="0" applyFont="1" applyFill="1" applyBorder="1" applyAlignment="1">
      <alignment/>
    </xf>
    <xf numFmtId="37" fontId="3" fillId="35" borderId="14" xfId="0" applyNumberFormat="1" applyFont="1" applyFill="1" applyBorder="1" applyAlignment="1">
      <alignment/>
    </xf>
    <xf numFmtId="37" fontId="3" fillId="35" borderId="15" xfId="0" applyNumberFormat="1" applyFont="1" applyFill="1" applyBorder="1" applyAlignment="1">
      <alignment/>
    </xf>
    <xf numFmtId="0" fontId="3" fillId="35" borderId="15" xfId="0" applyFont="1" applyFill="1" applyBorder="1" applyAlignment="1">
      <alignment horizontal="left" vertical="center" wrapText="1"/>
    </xf>
    <xf numFmtId="37" fontId="2" fillId="0" borderId="13" xfId="0" applyNumberFormat="1" applyFont="1" applyFill="1" applyBorder="1" applyAlignment="1">
      <alignment/>
    </xf>
    <xf numFmtId="37" fontId="2" fillId="0" borderId="16" xfId="0" applyNumberFormat="1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37" fontId="3" fillId="36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37" fontId="2" fillId="0" borderId="11" xfId="0" applyNumberFormat="1" applyFont="1" applyFill="1" applyBorder="1" applyAlignment="1">
      <alignment vertical="center"/>
    </xf>
    <xf numFmtId="37" fontId="3" fillId="35" borderId="11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37" fontId="3" fillId="35" borderId="18" xfId="0" applyNumberFormat="1" applyFont="1" applyFill="1" applyBorder="1" applyAlignment="1">
      <alignment/>
    </xf>
    <xf numFmtId="37" fontId="2" fillId="0" borderId="19" xfId="0" applyNumberFormat="1" applyFont="1" applyFill="1" applyBorder="1" applyAlignment="1">
      <alignment/>
    </xf>
    <xf numFmtId="37" fontId="3" fillId="35" borderId="16" xfId="0" applyNumberFormat="1" applyFont="1" applyFill="1" applyBorder="1" applyAlignment="1">
      <alignment/>
    </xf>
    <xf numFmtId="0" fontId="3" fillId="35" borderId="15" xfId="0" applyFont="1" applyFill="1" applyBorder="1" applyAlignment="1">
      <alignment/>
    </xf>
    <xf numFmtId="37" fontId="3" fillId="35" borderId="1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37" borderId="20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3" fillId="37" borderId="23" xfId="0" applyFont="1" applyFill="1" applyBorder="1" applyAlignment="1">
      <alignment horizontal="center"/>
    </xf>
    <xf numFmtId="0" fontId="3" fillId="36" borderId="24" xfId="0" applyFont="1" applyFill="1" applyBorder="1" applyAlignment="1">
      <alignment/>
    </xf>
    <xf numFmtId="39" fontId="3" fillId="36" borderId="25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39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39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39" fontId="2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39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3" fillId="35" borderId="34" xfId="0" applyFont="1" applyFill="1" applyBorder="1" applyAlignment="1">
      <alignment horizontal="center"/>
    </xf>
    <xf numFmtId="39" fontId="3" fillId="35" borderId="35" xfId="0" applyNumberFormat="1" applyFont="1" applyFill="1" applyBorder="1" applyAlignment="1">
      <alignment/>
    </xf>
    <xf numFmtId="39" fontId="3" fillId="35" borderId="36" xfId="0" applyNumberFormat="1" applyFont="1" applyFill="1" applyBorder="1" applyAlignment="1">
      <alignment/>
    </xf>
    <xf numFmtId="37" fontId="2" fillId="0" borderId="0" xfId="0" applyNumberFormat="1" applyFont="1" applyAlignment="1">
      <alignment/>
    </xf>
    <xf numFmtId="0" fontId="2" fillId="0" borderId="37" xfId="0" applyFont="1" applyFill="1" applyBorder="1" applyAlignment="1">
      <alignment horizontal="left" vertical="center" wrapText="1"/>
    </xf>
    <xf numFmtId="37" fontId="2" fillId="0" borderId="37" xfId="0" applyNumberFormat="1" applyFont="1" applyFill="1" applyBorder="1" applyAlignment="1">
      <alignment vertical="center"/>
    </xf>
    <xf numFmtId="37" fontId="2" fillId="0" borderId="37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 vertical="center"/>
    </xf>
    <xf numFmtId="37" fontId="4" fillId="0" borderId="13" xfId="0" applyNumberFormat="1" applyFont="1" applyFill="1" applyBorder="1" applyAlignment="1">
      <alignment/>
    </xf>
    <xf numFmtId="37" fontId="4" fillId="0" borderId="12" xfId="0" applyNumberFormat="1" applyFont="1" applyFill="1" applyBorder="1" applyAlignment="1">
      <alignment vertical="center"/>
    </xf>
    <xf numFmtId="37" fontId="4" fillId="0" borderId="12" xfId="0" applyNumberFormat="1" applyFont="1" applyFill="1" applyBorder="1" applyAlignment="1">
      <alignment/>
    </xf>
    <xf numFmtId="0" fontId="3" fillId="36" borderId="2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39" fontId="3" fillId="33" borderId="25" xfId="0" applyNumberFormat="1" applyFont="1" applyFill="1" applyBorder="1" applyAlignment="1">
      <alignment/>
    </xf>
    <xf numFmtId="0" fontId="3" fillId="33" borderId="25" xfId="0" applyFont="1" applyFill="1" applyBorder="1" applyAlignment="1">
      <alignment/>
    </xf>
    <xf numFmtId="39" fontId="3" fillId="33" borderId="38" xfId="0" applyNumberFormat="1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7" borderId="34" xfId="0" applyFont="1" applyFill="1" applyBorder="1" applyAlignment="1">
      <alignment horizontal="center"/>
    </xf>
    <xf numFmtId="39" fontId="3" fillId="37" borderId="35" xfId="0" applyNumberFormat="1" applyFont="1" applyFill="1" applyBorder="1" applyAlignment="1">
      <alignment/>
    </xf>
    <xf numFmtId="0" fontId="3" fillId="37" borderId="35" xfId="0" applyFont="1" applyFill="1" applyBorder="1" applyAlignment="1">
      <alignment/>
    </xf>
    <xf numFmtId="39" fontId="3" fillId="37" borderId="36" xfId="0" applyNumberFormat="1" applyFont="1" applyFill="1" applyBorder="1" applyAlignment="1">
      <alignment/>
    </xf>
    <xf numFmtId="0" fontId="3" fillId="37" borderId="4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37" borderId="1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37" borderId="17" xfId="0" applyFont="1" applyFill="1" applyBorder="1" applyAlignment="1">
      <alignment horizontal="center"/>
    </xf>
    <xf numFmtId="37" fontId="3" fillId="36" borderId="25" xfId="0" applyNumberFormat="1" applyFont="1" applyFill="1" applyBorder="1" applyAlignment="1">
      <alignment/>
    </xf>
    <xf numFmtId="39" fontId="3" fillId="36" borderId="41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37" fontId="2" fillId="0" borderId="27" xfId="0" applyNumberFormat="1" applyFont="1" applyBorder="1" applyAlignment="1">
      <alignment/>
    </xf>
    <xf numFmtId="39" fontId="2" fillId="0" borderId="4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7" fontId="2" fillId="0" borderId="31" xfId="0" applyNumberFormat="1" applyFont="1" applyBorder="1" applyAlignment="1">
      <alignment/>
    </xf>
    <xf numFmtId="39" fontId="2" fillId="0" borderId="4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4" xfId="0" applyFont="1" applyBorder="1" applyAlignment="1">
      <alignment/>
    </xf>
    <xf numFmtId="39" fontId="2" fillId="0" borderId="45" xfId="0" applyNumberFormat="1" applyFont="1" applyBorder="1" applyAlignment="1">
      <alignment/>
    </xf>
    <xf numFmtId="0" fontId="3" fillId="35" borderId="46" xfId="0" applyFont="1" applyFill="1" applyBorder="1" applyAlignment="1">
      <alignment horizontal="center"/>
    </xf>
    <xf numFmtId="37" fontId="3" fillId="35" borderId="35" xfId="0" applyNumberFormat="1" applyFont="1" applyFill="1" applyBorder="1" applyAlignment="1">
      <alignment/>
    </xf>
    <xf numFmtId="39" fontId="3" fillId="35" borderId="46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0" borderId="47" xfId="0" applyFont="1" applyBorder="1" applyAlignment="1">
      <alignment/>
    </xf>
    <xf numFmtId="39" fontId="2" fillId="0" borderId="48" xfId="0" applyNumberFormat="1" applyFont="1" applyBorder="1" applyAlignment="1">
      <alignment/>
    </xf>
    <xf numFmtId="37" fontId="2" fillId="0" borderId="48" xfId="0" applyNumberFormat="1" applyFont="1" applyBorder="1" applyAlignment="1">
      <alignment/>
    </xf>
    <xf numFmtId="39" fontId="2" fillId="0" borderId="49" xfId="0" applyNumberFormat="1" applyFont="1" applyBorder="1" applyAlignment="1">
      <alignment/>
    </xf>
    <xf numFmtId="0" fontId="2" fillId="0" borderId="16" xfId="0" applyFont="1" applyBorder="1" applyAlignment="1">
      <alignment/>
    </xf>
    <xf numFmtId="37" fontId="3" fillId="35" borderId="50" xfId="0" applyNumberFormat="1" applyFont="1" applyFill="1" applyBorder="1" applyAlignment="1">
      <alignment/>
    </xf>
    <xf numFmtId="37" fontId="3" fillId="33" borderId="17" xfId="0" applyNumberFormat="1" applyFont="1" applyFill="1" applyBorder="1" applyAlignment="1">
      <alignment/>
    </xf>
    <xf numFmtId="37" fontId="4" fillId="0" borderId="19" xfId="0" applyNumberFormat="1" applyFont="1" applyFill="1" applyBorder="1" applyAlignment="1">
      <alignment vertical="center"/>
    </xf>
    <xf numFmtId="37" fontId="4" fillId="0" borderId="19" xfId="0" applyNumberFormat="1" applyFont="1" applyFill="1" applyBorder="1" applyAlignment="1">
      <alignment/>
    </xf>
    <xf numFmtId="37" fontId="2" fillId="33" borderId="10" xfId="0" applyNumberFormat="1" applyFont="1" applyFill="1" applyBorder="1" applyAlignment="1">
      <alignment/>
    </xf>
    <xf numFmtId="164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37" fontId="3" fillId="35" borderId="51" xfId="0" applyNumberFormat="1" applyFont="1" applyFill="1" applyBorder="1" applyAlignment="1">
      <alignment horizontal="center" wrapText="1"/>
    </xf>
    <xf numFmtId="0" fontId="3" fillId="38" borderId="52" xfId="0" applyFont="1" applyFill="1" applyBorder="1" applyAlignment="1">
      <alignment horizontal="center" vertical="center" wrapText="1"/>
    </xf>
    <xf numFmtId="37" fontId="3" fillId="35" borderId="53" xfId="0" applyNumberFormat="1" applyFont="1" applyFill="1" applyBorder="1" applyAlignment="1">
      <alignment horizontal="center" vertical="center" wrapText="1"/>
    </xf>
    <xf numFmtId="37" fontId="3" fillId="38" borderId="53" xfId="0" applyNumberFormat="1" applyFont="1" applyFill="1" applyBorder="1" applyAlignment="1">
      <alignment horizontal="center" vertical="center" wrapText="1"/>
    </xf>
    <xf numFmtId="165" fontId="3" fillId="0" borderId="53" xfId="0" applyNumberFormat="1" applyFont="1" applyFill="1" applyBorder="1" applyAlignment="1">
      <alignment horizontal="center" vertical="center" wrapText="1"/>
    </xf>
    <xf numFmtId="165" fontId="3" fillId="38" borderId="53" xfId="0" applyNumberFormat="1" applyFont="1" applyFill="1" applyBorder="1" applyAlignment="1">
      <alignment horizontal="center" vertical="center" wrapText="1"/>
    </xf>
    <xf numFmtId="9" fontId="3" fillId="38" borderId="53" xfId="57" applyFont="1" applyFill="1" applyBorder="1" applyAlignment="1">
      <alignment horizontal="center" vertical="center" wrapText="1"/>
    </xf>
    <xf numFmtId="9" fontId="3" fillId="38" borderId="53" xfId="0" applyNumberFormat="1" applyFont="1" applyFill="1" applyBorder="1" applyAlignment="1">
      <alignment horizontal="center" vertical="center" wrapText="1"/>
    </xf>
    <xf numFmtId="165" fontId="3" fillId="38" borderId="54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37" fontId="3" fillId="35" borderId="56" xfId="0" applyNumberFormat="1" applyFont="1" applyFill="1" applyBorder="1" applyAlignment="1">
      <alignment horizontal="center" vertical="center" wrapText="1"/>
    </xf>
    <xf numFmtId="37" fontId="3" fillId="0" borderId="56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9" fontId="3" fillId="0" borderId="56" xfId="0" applyNumberFormat="1" applyFont="1" applyFill="1" applyBorder="1" applyAlignment="1">
      <alignment horizontal="center" vertical="center" wrapText="1"/>
    </xf>
    <xf numFmtId="16" fontId="3" fillId="0" borderId="56" xfId="0" applyNumberFormat="1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38" borderId="58" xfId="0" applyFont="1" applyFill="1" applyBorder="1" applyAlignment="1">
      <alignment horizontal="center" vertical="center" wrapText="1"/>
    </xf>
    <xf numFmtId="0" fontId="3" fillId="38" borderId="59" xfId="0" applyFont="1" applyFill="1" applyBorder="1" applyAlignment="1">
      <alignment horizontal="center" vertical="center" wrapText="1"/>
    </xf>
    <xf numFmtId="37" fontId="3" fillId="35" borderId="60" xfId="0" applyNumberFormat="1" applyFont="1" applyFill="1" applyBorder="1" applyAlignment="1">
      <alignment horizontal="center" vertical="center" wrapText="1"/>
    </xf>
    <xf numFmtId="37" fontId="3" fillId="38" borderId="60" xfId="0" applyNumberFormat="1" applyFont="1" applyFill="1" applyBorder="1" applyAlignment="1">
      <alignment horizontal="center" vertical="center" wrapText="1"/>
    </xf>
    <xf numFmtId="165" fontId="3" fillId="0" borderId="60" xfId="0" applyNumberFormat="1" applyFont="1" applyFill="1" applyBorder="1" applyAlignment="1">
      <alignment horizontal="center" vertical="center" wrapText="1"/>
    </xf>
    <xf numFmtId="165" fontId="3" fillId="38" borderId="60" xfId="0" applyNumberFormat="1" applyFont="1" applyFill="1" applyBorder="1" applyAlignment="1">
      <alignment horizontal="center" vertical="center" wrapText="1"/>
    </xf>
    <xf numFmtId="9" fontId="3" fillId="38" borderId="60" xfId="57" applyFont="1" applyFill="1" applyBorder="1" applyAlignment="1">
      <alignment horizontal="center" vertical="center" wrapText="1"/>
    </xf>
    <xf numFmtId="9" fontId="3" fillId="38" borderId="60" xfId="0" applyNumberFormat="1" applyFont="1" applyFill="1" applyBorder="1" applyAlignment="1">
      <alignment horizontal="center" vertical="center" wrapText="1"/>
    </xf>
    <xf numFmtId="165" fontId="3" fillId="38" borderId="61" xfId="0" applyNumberFormat="1" applyFont="1" applyFill="1" applyBorder="1" applyAlignment="1">
      <alignment horizontal="center" vertical="center" wrapText="1"/>
    </xf>
    <xf numFmtId="0" fontId="3" fillId="38" borderId="62" xfId="0" applyFont="1" applyFill="1" applyBorder="1" applyAlignment="1">
      <alignment horizontal="center" vertical="center" wrapText="1"/>
    </xf>
    <xf numFmtId="37" fontId="3" fillId="35" borderId="63" xfId="0" applyNumberFormat="1" applyFont="1" applyFill="1" applyBorder="1" applyAlignment="1">
      <alignment horizontal="center" vertical="center" wrapText="1"/>
    </xf>
    <xf numFmtId="3" fontId="3" fillId="35" borderId="51" xfId="0" applyNumberFormat="1" applyFont="1" applyFill="1" applyBorder="1" applyAlignment="1">
      <alignment horizontal="center" wrapText="1"/>
    </xf>
    <xf numFmtId="0" fontId="3" fillId="0" borderId="64" xfId="0" applyFont="1" applyFill="1" applyBorder="1" applyAlignment="1">
      <alignment horizontal="center" vertical="center"/>
    </xf>
    <xf numFmtId="37" fontId="3" fillId="35" borderId="65" xfId="0" applyNumberFormat="1" applyFont="1" applyFill="1" applyBorder="1" applyAlignment="1">
      <alignment horizontal="center" vertical="center" wrapText="1"/>
    </xf>
    <xf numFmtId="37" fontId="3" fillId="0" borderId="65" xfId="0" applyNumberFormat="1" applyFont="1" applyFill="1" applyBorder="1" applyAlignment="1">
      <alignment horizontal="center" vertical="center" wrapText="1"/>
    </xf>
    <xf numFmtId="165" fontId="3" fillId="0" borderId="65" xfId="0" applyNumberFormat="1" applyFont="1" applyFill="1" applyBorder="1" applyAlignment="1">
      <alignment horizontal="center" vertical="center" wrapText="1"/>
    </xf>
    <xf numFmtId="9" fontId="3" fillId="0" borderId="65" xfId="0" applyNumberFormat="1" applyFont="1" applyFill="1" applyBorder="1" applyAlignment="1">
      <alignment horizontal="center" vertical="center" wrapText="1"/>
    </xf>
    <xf numFmtId="165" fontId="3" fillId="0" borderId="66" xfId="0" applyNumberFormat="1" applyFont="1" applyFill="1" applyBorder="1" applyAlignment="1">
      <alignment horizontal="center" vertical="center" wrapText="1"/>
    </xf>
    <xf numFmtId="37" fontId="3" fillId="35" borderId="51" xfId="0" applyNumberFormat="1" applyFont="1" applyFill="1" applyBorder="1" applyAlignment="1">
      <alignment horizontal="center" vertical="center" wrapText="1"/>
    </xf>
    <xf numFmtId="0" fontId="3" fillId="38" borderId="67" xfId="0" applyFont="1" applyFill="1" applyBorder="1" applyAlignment="1">
      <alignment horizontal="center" vertical="center" wrapText="1"/>
    </xf>
    <xf numFmtId="37" fontId="3" fillId="35" borderId="68" xfId="0" applyNumberFormat="1" applyFont="1" applyFill="1" applyBorder="1" applyAlignment="1">
      <alignment horizontal="center" vertical="center" wrapText="1"/>
    </xf>
    <xf numFmtId="37" fontId="3" fillId="38" borderId="68" xfId="0" applyNumberFormat="1" applyFont="1" applyFill="1" applyBorder="1" applyAlignment="1">
      <alignment horizontal="center" vertical="center" wrapText="1"/>
    </xf>
    <xf numFmtId="165" fontId="3" fillId="0" borderId="68" xfId="0" applyNumberFormat="1" applyFont="1" applyFill="1" applyBorder="1" applyAlignment="1">
      <alignment horizontal="center" vertical="center" wrapText="1"/>
    </xf>
    <xf numFmtId="165" fontId="3" fillId="38" borderId="68" xfId="0" applyNumberFormat="1" applyFont="1" applyFill="1" applyBorder="1" applyAlignment="1">
      <alignment horizontal="center" vertical="center" wrapText="1"/>
    </xf>
    <xf numFmtId="9" fontId="3" fillId="38" borderId="68" xfId="57" applyFont="1" applyFill="1" applyBorder="1" applyAlignment="1">
      <alignment horizontal="center" vertical="center" wrapText="1"/>
    </xf>
    <xf numFmtId="9" fontId="3" fillId="38" borderId="68" xfId="0" applyNumberFormat="1" applyFont="1" applyFill="1" applyBorder="1" applyAlignment="1">
      <alignment horizontal="center" vertical="center" wrapText="1"/>
    </xf>
    <xf numFmtId="165" fontId="7" fillId="38" borderId="69" xfId="0" applyNumberFormat="1" applyFont="1" applyFill="1" applyBorder="1" applyAlignment="1">
      <alignment horizontal="left" vertical="center" wrapText="1"/>
    </xf>
    <xf numFmtId="0" fontId="3" fillId="38" borderId="42" xfId="0" applyFont="1" applyFill="1" applyBorder="1" applyAlignment="1">
      <alignment horizontal="center" vertical="center" wrapText="1"/>
    </xf>
    <xf numFmtId="37" fontId="3" fillId="38" borderId="63" xfId="0" applyNumberFormat="1" applyFont="1" applyFill="1" applyBorder="1" applyAlignment="1">
      <alignment horizontal="center" vertical="center" wrapText="1"/>
    </xf>
    <xf numFmtId="165" fontId="3" fillId="0" borderId="63" xfId="0" applyNumberFormat="1" applyFont="1" applyFill="1" applyBorder="1" applyAlignment="1">
      <alignment horizontal="center" vertical="center" wrapText="1"/>
    </xf>
    <xf numFmtId="165" fontId="3" fillId="38" borderId="63" xfId="0" applyNumberFormat="1" applyFont="1" applyFill="1" applyBorder="1" applyAlignment="1">
      <alignment horizontal="center" vertical="center" wrapText="1"/>
    </xf>
    <xf numFmtId="9" fontId="3" fillId="38" borderId="63" xfId="57" applyFont="1" applyFill="1" applyBorder="1" applyAlignment="1">
      <alignment horizontal="center" vertical="center" wrapText="1"/>
    </xf>
    <xf numFmtId="9" fontId="3" fillId="38" borderId="63" xfId="0" applyNumberFormat="1" applyFont="1" applyFill="1" applyBorder="1" applyAlignment="1">
      <alignment horizontal="center" vertical="center" wrapText="1"/>
    </xf>
    <xf numFmtId="165" fontId="7" fillId="38" borderId="70" xfId="0" applyNumberFormat="1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37" fontId="3" fillId="0" borderId="63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9" fontId="3" fillId="0" borderId="63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37" fontId="3" fillId="0" borderId="53" xfId="0" applyNumberFormat="1" applyFont="1" applyFill="1" applyBorder="1" applyAlignment="1">
      <alignment horizontal="center" vertical="center" wrapText="1"/>
    </xf>
    <xf numFmtId="9" fontId="3" fillId="0" borderId="53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top" wrapText="1"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56" xfId="0" applyNumberFormat="1" applyFont="1" applyFill="1" applyBorder="1" applyAlignment="1">
      <alignment horizontal="center" vertical="center" wrapText="1"/>
    </xf>
    <xf numFmtId="165" fontId="3" fillId="0" borderId="57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165" fontId="3" fillId="0" borderId="54" xfId="0" applyNumberFormat="1" applyFont="1" applyFill="1" applyBorder="1" applyAlignment="1">
      <alignment horizontal="center" vertical="center" wrapText="1"/>
    </xf>
    <xf numFmtId="4" fontId="3" fillId="36" borderId="78" xfId="0" applyNumberFormat="1" applyFont="1" applyFill="1" applyBorder="1" applyAlignment="1">
      <alignment horizontal="center" vertical="center" wrapText="1"/>
    </xf>
    <xf numFmtId="0" fontId="3" fillId="36" borderId="78" xfId="0" applyFont="1" applyFill="1" applyBorder="1" applyAlignment="1">
      <alignment horizontal="center" vertical="center" wrapText="1"/>
    </xf>
    <xf numFmtId="4" fontId="3" fillId="36" borderId="79" xfId="0" applyNumberFormat="1" applyFont="1" applyFill="1" applyBorder="1" applyAlignment="1">
      <alignment horizontal="center" vertical="center" wrapText="1"/>
    </xf>
    <xf numFmtId="0" fontId="3" fillId="36" borderId="79" xfId="0" applyFont="1" applyFill="1" applyBorder="1" applyAlignment="1">
      <alignment horizontal="center" vertical="center" wrapText="1"/>
    </xf>
    <xf numFmtId="0" fontId="3" fillId="36" borderId="80" xfId="0" applyFont="1" applyFill="1" applyBorder="1" applyAlignment="1">
      <alignment horizontal="center" vertical="center" wrapText="1"/>
    </xf>
    <xf numFmtId="37" fontId="3" fillId="33" borderId="51" xfId="0" applyNumberFormat="1" applyFont="1" applyFill="1" applyBorder="1" applyAlignment="1">
      <alignment horizontal="center" wrapText="1"/>
    </xf>
    <xf numFmtId="165" fontId="3" fillId="33" borderId="51" xfId="0" applyNumberFormat="1" applyFont="1" applyFill="1" applyBorder="1" applyAlignment="1">
      <alignment horizontal="center" wrapText="1"/>
    </xf>
    <xf numFmtId="165" fontId="3" fillId="33" borderId="81" xfId="0" applyNumberFormat="1" applyFont="1" applyFill="1" applyBorder="1" applyAlignment="1">
      <alignment horizontal="center" wrapText="1"/>
    </xf>
    <xf numFmtId="3" fontId="3" fillId="33" borderId="51" xfId="0" applyNumberFormat="1" applyFont="1" applyFill="1" applyBorder="1" applyAlignment="1">
      <alignment horizontal="center" wrapText="1"/>
    </xf>
    <xf numFmtId="37" fontId="3" fillId="33" borderId="51" xfId="0" applyNumberFormat="1" applyFont="1" applyFill="1" applyBorder="1" applyAlignment="1">
      <alignment horizontal="center" vertical="center" wrapText="1"/>
    </xf>
    <xf numFmtId="165" fontId="3" fillId="33" borderId="51" xfId="0" applyNumberFormat="1" applyFont="1" applyFill="1" applyBorder="1" applyAlignment="1">
      <alignment horizontal="center" vertical="center" wrapText="1"/>
    </xf>
    <xf numFmtId="165" fontId="3" fillId="33" borderId="81" xfId="0" applyNumberFormat="1" applyFont="1" applyFill="1" applyBorder="1" applyAlignment="1">
      <alignment horizontal="center" vertical="center" wrapText="1"/>
    </xf>
    <xf numFmtId="37" fontId="3" fillId="37" borderId="51" xfId="0" applyNumberFormat="1" applyFont="1" applyFill="1" applyBorder="1" applyAlignment="1">
      <alignment horizontal="center" wrapText="1"/>
    </xf>
    <xf numFmtId="4" fontId="3" fillId="37" borderId="82" xfId="0" applyNumberFormat="1" applyFont="1" applyFill="1" applyBorder="1" applyAlignment="1">
      <alignment horizontal="center" wrapText="1"/>
    </xf>
    <xf numFmtId="165" fontId="3" fillId="37" borderId="51" xfId="0" applyNumberFormat="1" applyFont="1" applyFill="1" applyBorder="1" applyAlignment="1">
      <alignment horizontal="center" wrapText="1"/>
    </xf>
    <xf numFmtId="165" fontId="3" fillId="37" borderId="81" xfId="0" applyNumberFormat="1" applyFont="1" applyFill="1" applyBorder="1" applyAlignment="1">
      <alignment horizontal="center" wrapText="1"/>
    </xf>
    <xf numFmtId="37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83" xfId="0" applyFont="1" applyFill="1" applyBorder="1" applyAlignment="1">
      <alignment/>
    </xf>
    <xf numFmtId="39" fontId="2" fillId="0" borderId="84" xfId="0" applyNumberFormat="1" applyFont="1" applyFill="1" applyBorder="1" applyAlignment="1">
      <alignment/>
    </xf>
    <xf numFmtId="37" fontId="2" fillId="0" borderId="84" xfId="0" applyNumberFormat="1" applyFont="1" applyFill="1" applyBorder="1" applyAlignment="1">
      <alignment/>
    </xf>
    <xf numFmtId="39" fontId="2" fillId="0" borderId="85" xfId="0" applyNumberFormat="1" applyFont="1" applyFill="1" applyBorder="1" applyAlignment="1">
      <alignment/>
    </xf>
    <xf numFmtId="0" fontId="2" fillId="0" borderId="8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39" fontId="2" fillId="0" borderId="27" xfId="0" applyNumberFormat="1" applyFont="1" applyFill="1" applyBorder="1" applyAlignment="1">
      <alignment/>
    </xf>
    <xf numFmtId="37" fontId="2" fillId="0" borderId="27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39" fontId="2" fillId="0" borderId="31" xfId="0" applyNumberFormat="1" applyFont="1" applyFill="1" applyBorder="1" applyAlignment="1">
      <alignment/>
    </xf>
    <xf numFmtId="37" fontId="2" fillId="0" borderId="31" xfId="0" applyNumberFormat="1" applyFont="1" applyFill="1" applyBorder="1" applyAlignment="1">
      <alignment/>
    </xf>
    <xf numFmtId="39" fontId="2" fillId="0" borderId="33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39" fontId="2" fillId="36" borderId="25" xfId="0" applyNumberFormat="1" applyFont="1" applyFill="1" applyBorder="1" applyAlignment="1">
      <alignment/>
    </xf>
    <xf numFmtId="37" fontId="2" fillId="36" borderId="25" xfId="0" applyNumberFormat="1" applyFont="1" applyFill="1" applyBorder="1" applyAlignment="1">
      <alignment/>
    </xf>
    <xf numFmtId="0" fontId="2" fillId="36" borderId="14" xfId="0" applyFont="1" applyFill="1" applyBorder="1" applyAlignment="1">
      <alignment/>
    </xf>
    <xf numFmtId="39" fontId="2" fillId="0" borderId="29" xfId="0" applyNumberFormat="1" applyFont="1" applyBorder="1" applyAlignment="1">
      <alignment/>
    </xf>
    <xf numFmtId="0" fontId="2" fillId="0" borderId="83" xfId="0" applyFont="1" applyBorder="1" applyAlignment="1">
      <alignment/>
    </xf>
    <xf numFmtId="39" fontId="2" fillId="0" borderId="84" xfId="0" applyNumberFormat="1" applyFont="1" applyBorder="1" applyAlignment="1">
      <alignment/>
    </xf>
    <xf numFmtId="37" fontId="2" fillId="0" borderId="84" xfId="0" applyNumberFormat="1" applyFont="1" applyBorder="1" applyAlignment="1">
      <alignment/>
    </xf>
    <xf numFmtId="39" fontId="2" fillId="0" borderId="86" xfId="0" applyNumberFormat="1" applyFont="1" applyBorder="1" applyAlignment="1">
      <alignment/>
    </xf>
    <xf numFmtId="37" fontId="3" fillId="35" borderId="36" xfId="0" applyNumberFormat="1" applyFont="1" applyFill="1" applyBorder="1" applyAlignment="1">
      <alignment/>
    </xf>
    <xf numFmtId="39" fontId="2" fillId="0" borderId="28" xfId="0" applyNumberFormat="1" applyFont="1" applyFill="1" applyBorder="1" applyAlignment="1">
      <alignment/>
    </xf>
    <xf numFmtId="0" fontId="8" fillId="0" borderId="87" xfId="0" applyFont="1" applyBorder="1" applyAlignment="1">
      <alignment vertical="top" wrapText="1"/>
    </xf>
    <xf numFmtId="0" fontId="3" fillId="36" borderId="80" xfId="0" applyNumberFormat="1" applyFont="1" applyFill="1" applyBorder="1" applyAlignment="1">
      <alignment horizontal="center" vertical="center" wrapText="1"/>
    </xf>
    <xf numFmtId="0" fontId="8" fillId="38" borderId="87" xfId="0" applyFont="1" applyFill="1" applyBorder="1" applyAlignment="1">
      <alignment horizontal="left" vertical="top" wrapText="1"/>
    </xf>
    <xf numFmtId="37" fontId="2" fillId="0" borderId="72" xfId="0" applyNumberFormat="1" applyFont="1" applyBorder="1" applyAlignment="1">
      <alignment horizontal="left" vertical="top" wrapText="1"/>
    </xf>
    <xf numFmtId="0" fontId="8" fillId="0" borderId="88" xfId="0" applyFont="1" applyBorder="1" applyAlignment="1">
      <alignment vertical="top" wrapText="1"/>
    </xf>
    <xf numFmtId="0" fontId="3" fillId="0" borderId="89" xfId="0" applyFont="1" applyFill="1" applyBorder="1" applyAlignment="1">
      <alignment horizontal="center" vertical="center"/>
    </xf>
    <xf numFmtId="0" fontId="8" fillId="0" borderId="90" xfId="0" applyFont="1" applyBorder="1" applyAlignment="1">
      <alignment vertical="top" wrapText="1"/>
    </xf>
    <xf numFmtId="0" fontId="8" fillId="38" borderId="88" xfId="0" applyFont="1" applyFill="1" applyBorder="1" applyAlignment="1">
      <alignment horizontal="left" vertical="top" wrapText="1"/>
    </xf>
    <xf numFmtId="0" fontId="9" fillId="0" borderId="63" xfId="0" applyFont="1" applyFill="1" applyBorder="1" applyAlignment="1">
      <alignment horizontal="left" vertical="top" wrapText="1"/>
    </xf>
    <xf numFmtId="0" fontId="9" fillId="0" borderId="88" xfId="0" applyFont="1" applyFill="1" applyBorder="1" applyAlignment="1">
      <alignment horizontal="left" vertical="top" wrapText="1"/>
    </xf>
    <xf numFmtId="0" fontId="9" fillId="0" borderId="87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72" xfId="0" applyFont="1" applyBorder="1" applyAlignment="1">
      <alignment/>
    </xf>
    <xf numFmtId="37" fontId="2" fillId="0" borderId="72" xfId="0" applyNumberFormat="1" applyFont="1" applyBorder="1" applyAlignment="1">
      <alignment/>
    </xf>
    <xf numFmtId="0" fontId="2" fillId="0" borderId="73" xfId="0" applyFont="1" applyBorder="1" applyAlignment="1">
      <alignment/>
    </xf>
    <xf numFmtId="0" fontId="8" fillId="0" borderId="42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42" xfId="0" applyFont="1" applyBorder="1" applyAlignment="1">
      <alignment horizontal="center"/>
    </xf>
    <xf numFmtId="37" fontId="2" fillId="0" borderId="77" xfId="0" applyNumberFormat="1" applyFont="1" applyBorder="1" applyAlignment="1">
      <alignment/>
    </xf>
    <xf numFmtId="37" fontId="2" fillId="0" borderId="75" xfId="0" applyNumberFormat="1" applyFont="1" applyBorder="1" applyAlignment="1">
      <alignment/>
    </xf>
    <xf numFmtId="37" fontId="2" fillId="0" borderId="76" xfId="0" applyNumberFormat="1" applyFont="1" applyBorder="1" applyAlignment="1">
      <alignment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7" fontId="2" fillId="0" borderId="93" xfId="0" applyNumberFormat="1" applyFont="1" applyBorder="1" applyAlignment="1">
      <alignment horizontal="center" vertical="center"/>
    </xf>
    <xf numFmtId="37" fontId="2" fillId="0" borderId="94" xfId="0" applyNumberFormat="1" applyFont="1" applyBorder="1" applyAlignment="1">
      <alignment horizontal="center" vertical="center"/>
    </xf>
    <xf numFmtId="37" fontId="2" fillId="0" borderId="95" xfId="0" applyNumberFormat="1" applyFont="1" applyBorder="1" applyAlignment="1">
      <alignment vertical="center"/>
    </xf>
    <xf numFmtId="0" fontId="2" fillId="0" borderId="96" xfId="0" applyFont="1" applyFill="1" applyBorder="1" applyAlignment="1">
      <alignment/>
    </xf>
    <xf numFmtId="0" fontId="2" fillId="0" borderId="43" xfId="0" applyFont="1" applyBorder="1" applyAlignment="1">
      <alignment horizontal="center" vertical="center" wrapText="1"/>
    </xf>
    <xf numFmtId="37" fontId="2" fillId="0" borderId="97" xfId="0" applyNumberFormat="1" applyFont="1" applyFill="1" applyBorder="1" applyAlignment="1">
      <alignment horizontal="center" vertical="center" wrapText="1"/>
    </xf>
    <xf numFmtId="37" fontId="2" fillId="0" borderId="98" xfId="0" applyNumberFormat="1" applyFont="1" applyFill="1" applyBorder="1" applyAlignment="1">
      <alignment horizontal="center" vertical="center" wrapText="1"/>
    </xf>
    <xf numFmtId="37" fontId="2" fillId="0" borderId="99" xfId="0" applyNumberFormat="1" applyFont="1" applyBorder="1" applyAlignment="1">
      <alignment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/>
    </xf>
    <xf numFmtId="0" fontId="2" fillId="0" borderId="98" xfId="0" applyFont="1" applyFill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37" fontId="2" fillId="0" borderId="99" xfId="0" applyNumberFormat="1" applyFont="1" applyFill="1" applyBorder="1" applyAlignment="1">
      <alignment vertical="center"/>
    </xf>
    <xf numFmtId="0" fontId="2" fillId="0" borderId="100" xfId="0" applyFont="1" applyFill="1" applyBorder="1" applyAlignment="1">
      <alignment/>
    </xf>
    <xf numFmtId="37" fontId="2" fillId="0" borderId="98" xfId="0" applyNumberFormat="1" applyFont="1" applyFill="1" applyBorder="1" applyAlignment="1">
      <alignment horizontal="center" vertical="center"/>
    </xf>
    <xf numFmtId="0" fontId="2" fillId="0" borderId="101" xfId="0" applyFont="1" applyBorder="1" applyAlignment="1">
      <alignment horizontal="center" vertical="center" wrapText="1"/>
    </xf>
    <xf numFmtId="0" fontId="2" fillId="0" borderId="102" xfId="0" applyFont="1" applyFill="1" applyBorder="1" applyAlignment="1">
      <alignment/>
    </xf>
    <xf numFmtId="37" fontId="2" fillId="0" borderId="97" xfId="0" applyNumberFormat="1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/>
    </xf>
    <xf numFmtId="0" fontId="2" fillId="0" borderId="94" xfId="0" applyFont="1" applyFill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104" xfId="0" applyFont="1" applyFill="1" applyBorder="1" applyAlignment="1">
      <alignment/>
    </xf>
    <xf numFmtId="0" fontId="2" fillId="0" borderId="105" xfId="0" applyFont="1" applyFill="1" applyBorder="1" applyAlignment="1">
      <alignment/>
    </xf>
    <xf numFmtId="0" fontId="2" fillId="0" borderId="106" xfId="0" applyFont="1" applyFill="1" applyBorder="1" applyAlignment="1">
      <alignment/>
    </xf>
    <xf numFmtId="37" fontId="3" fillId="0" borderId="98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2" fillId="38" borderId="107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/>
    </xf>
    <xf numFmtId="0" fontId="2" fillId="0" borderId="107" xfId="0" applyFont="1" applyFill="1" applyBorder="1" applyAlignment="1">
      <alignment horizontal="center" vertical="center" wrapText="1"/>
    </xf>
    <xf numFmtId="37" fontId="2" fillId="0" borderId="110" xfId="0" applyNumberFormat="1" applyFont="1" applyBorder="1" applyAlignment="1">
      <alignment vertical="center"/>
    </xf>
    <xf numFmtId="0" fontId="2" fillId="0" borderId="111" xfId="0" applyFont="1" applyFill="1" applyBorder="1" applyAlignment="1">
      <alignment/>
    </xf>
    <xf numFmtId="0" fontId="2" fillId="0" borderId="112" xfId="0" applyFont="1" applyFill="1" applyBorder="1" applyAlignment="1">
      <alignment/>
    </xf>
    <xf numFmtId="37" fontId="2" fillId="0" borderId="113" xfId="0" applyNumberFormat="1" applyFont="1" applyBorder="1" applyAlignment="1">
      <alignment vertical="center"/>
    </xf>
    <xf numFmtId="0" fontId="3" fillId="36" borderId="114" xfId="0" applyFont="1" applyFill="1" applyBorder="1" applyAlignment="1">
      <alignment/>
    </xf>
    <xf numFmtId="0" fontId="3" fillId="36" borderId="114" xfId="0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6" borderId="42" xfId="0" applyFont="1" applyFill="1" applyBorder="1" applyAlignment="1">
      <alignment horizontal="center"/>
    </xf>
    <xf numFmtId="0" fontId="3" fillId="36" borderId="115" xfId="0" applyFont="1" applyFill="1" applyBorder="1" applyAlignment="1">
      <alignment horizontal="center"/>
    </xf>
    <xf numFmtId="0" fontId="3" fillId="36" borderId="116" xfId="0" applyFont="1" applyFill="1" applyBorder="1" applyAlignment="1">
      <alignment horizontal="center"/>
    </xf>
    <xf numFmtId="0" fontId="3" fillId="36" borderId="117" xfId="0" applyFont="1" applyFill="1" applyBorder="1" applyAlignment="1">
      <alignment horizontal="center"/>
    </xf>
    <xf numFmtId="0" fontId="3" fillId="36" borderId="118" xfId="0" applyFont="1" applyFill="1" applyBorder="1" applyAlignment="1">
      <alignment horizontal="center"/>
    </xf>
    <xf numFmtId="0" fontId="3" fillId="36" borderId="119" xfId="0" applyFont="1" applyFill="1" applyBorder="1" applyAlignment="1">
      <alignment horizontal="center"/>
    </xf>
    <xf numFmtId="0" fontId="2" fillId="0" borderId="84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37" fontId="2" fillId="0" borderId="121" xfId="0" applyNumberFormat="1" applyFont="1" applyBorder="1" applyAlignment="1">
      <alignment vertical="center"/>
    </xf>
    <xf numFmtId="0" fontId="2" fillId="0" borderId="93" xfId="0" applyFont="1" applyFill="1" applyBorder="1" applyAlignment="1">
      <alignment/>
    </xf>
    <xf numFmtId="0" fontId="2" fillId="0" borderId="122" xfId="0" applyFont="1" applyFill="1" applyBorder="1" applyAlignment="1">
      <alignment/>
    </xf>
    <xf numFmtId="37" fontId="3" fillId="33" borderId="46" xfId="0" applyNumberFormat="1" applyFont="1" applyFill="1" applyBorder="1" applyAlignment="1">
      <alignment/>
    </xf>
    <xf numFmtId="37" fontId="3" fillId="33" borderId="123" xfId="0" applyNumberFormat="1" applyFont="1" applyFill="1" applyBorder="1" applyAlignment="1">
      <alignment/>
    </xf>
    <xf numFmtId="37" fontId="3" fillId="33" borderId="124" xfId="0" applyNumberFormat="1" applyFont="1" applyFill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125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126" xfId="0" applyFont="1" applyFill="1" applyBorder="1" applyAlignment="1">
      <alignment/>
    </xf>
    <xf numFmtId="0" fontId="2" fillId="33" borderId="35" xfId="0" applyFont="1" applyFill="1" applyBorder="1" applyAlignment="1">
      <alignment horizontal="center" vertical="center" wrapText="1"/>
    </xf>
    <xf numFmtId="37" fontId="3" fillId="33" borderId="127" xfId="0" applyNumberFormat="1" applyFont="1" applyFill="1" applyBorder="1" applyAlignment="1">
      <alignment horizontal="center" vertical="center" wrapText="1"/>
    </xf>
    <xf numFmtId="37" fontId="2" fillId="0" borderId="128" xfId="0" applyNumberFormat="1" applyFont="1" applyBorder="1" applyAlignment="1">
      <alignment vertical="center"/>
    </xf>
    <xf numFmtId="37" fontId="3" fillId="33" borderId="129" xfId="0" applyNumberFormat="1" applyFont="1" applyFill="1" applyBorder="1" applyAlignment="1">
      <alignment/>
    </xf>
    <xf numFmtId="37" fontId="2" fillId="0" borderId="128" xfId="0" applyNumberFormat="1" applyFont="1" applyBorder="1" applyAlignment="1">
      <alignment vertical="center" wrapText="1"/>
    </xf>
    <xf numFmtId="37" fontId="3" fillId="33" borderId="40" xfId="0" applyNumberFormat="1" applyFont="1" applyFill="1" applyBorder="1" applyAlignment="1">
      <alignment/>
    </xf>
    <xf numFmtId="37" fontId="3" fillId="37" borderId="129" xfId="0" applyNumberFormat="1" applyFont="1" applyFill="1" applyBorder="1" applyAlignment="1">
      <alignment/>
    </xf>
    <xf numFmtId="37" fontId="3" fillId="37" borderId="123" xfId="0" applyNumberFormat="1" applyFont="1" applyFill="1" applyBorder="1" applyAlignment="1">
      <alignment/>
    </xf>
    <xf numFmtId="0" fontId="2" fillId="0" borderId="62" xfId="0" applyFont="1" applyFill="1" applyBorder="1" applyAlignment="1">
      <alignment horizontal="center" vertical="center" wrapText="1"/>
    </xf>
    <xf numFmtId="0" fontId="2" fillId="39" borderId="94" xfId="0" applyFont="1" applyFill="1" applyBorder="1" applyAlignment="1">
      <alignment/>
    </xf>
    <xf numFmtId="0" fontId="2" fillId="39" borderId="122" xfId="0" applyFont="1" applyFill="1" applyBorder="1" applyAlignment="1">
      <alignment/>
    </xf>
    <xf numFmtId="0" fontId="2" fillId="39" borderId="93" xfId="0" applyFont="1" applyFill="1" applyBorder="1" applyAlignment="1">
      <alignment/>
    </xf>
    <xf numFmtId="0" fontId="2" fillId="39" borderId="98" xfId="0" applyFont="1" applyFill="1" applyBorder="1" applyAlignment="1">
      <alignment/>
    </xf>
    <xf numFmtId="0" fontId="2" fillId="39" borderId="100" xfId="0" applyFont="1" applyFill="1" applyBorder="1" applyAlignment="1">
      <alignment/>
    </xf>
    <xf numFmtId="0" fontId="2" fillId="0" borderId="71" xfId="0" applyFont="1" applyFill="1" applyBorder="1" applyAlignment="1">
      <alignment horizontal="center" vertical="center" wrapText="1"/>
    </xf>
    <xf numFmtId="0" fontId="2" fillId="39" borderId="97" xfId="0" applyFont="1" applyFill="1" applyBorder="1" applyAlignment="1">
      <alignment/>
    </xf>
    <xf numFmtId="37" fontId="2" fillId="0" borderId="96" xfId="0" applyNumberFormat="1" applyFont="1" applyFill="1" applyBorder="1" applyAlignment="1">
      <alignment horizontal="center" vertical="center"/>
    </xf>
    <xf numFmtId="37" fontId="2" fillId="0" borderId="102" xfId="0" applyNumberFormat="1" applyFont="1" applyFill="1" applyBorder="1" applyAlignment="1">
      <alignment horizontal="center" vertical="center"/>
    </xf>
    <xf numFmtId="37" fontId="2" fillId="0" borderId="113" xfId="0" applyNumberFormat="1" applyFont="1" applyFill="1" applyBorder="1" applyAlignment="1">
      <alignment vertical="center"/>
    </xf>
    <xf numFmtId="0" fontId="2" fillId="0" borderId="130" xfId="0" applyFont="1" applyBorder="1" applyAlignment="1">
      <alignment horizontal="center" vertical="center" wrapText="1"/>
    </xf>
    <xf numFmtId="0" fontId="2" fillId="0" borderId="131" xfId="0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2" fillId="39" borderId="80" xfId="0" applyFont="1" applyFill="1" applyBorder="1" applyAlignment="1">
      <alignment/>
    </xf>
    <xf numFmtId="0" fontId="2" fillId="39" borderId="132" xfId="0" applyFont="1" applyFill="1" applyBorder="1" applyAlignment="1">
      <alignment/>
    </xf>
    <xf numFmtId="0" fontId="2" fillId="39" borderId="131" xfId="0" applyFont="1" applyFill="1" applyBorder="1" applyAlignment="1">
      <alignment/>
    </xf>
    <xf numFmtId="0" fontId="2" fillId="0" borderId="133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37" fontId="2" fillId="0" borderId="131" xfId="0" applyNumberFormat="1" applyFont="1" applyFill="1" applyBorder="1" applyAlignment="1">
      <alignment horizontal="center" vertical="center" wrapText="1"/>
    </xf>
    <xf numFmtId="37" fontId="2" fillId="0" borderId="80" xfId="0" applyNumberFormat="1" applyFont="1" applyFill="1" applyBorder="1" applyAlignment="1">
      <alignment horizontal="center" vertical="center"/>
    </xf>
    <xf numFmtId="37" fontId="2" fillId="0" borderId="135" xfId="0" applyNumberFormat="1" applyFont="1" applyFill="1" applyBorder="1" applyAlignment="1">
      <alignment vertical="center"/>
    </xf>
    <xf numFmtId="0" fontId="2" fillId="39" borderId="102" xfId="0" applyFont="1" applyFill="1" applyBorder="1" applyAlignment="1">
      <alignment/>
    </xf>
    <xf numFmtId="0" fontId="2" fillId="39" borderId="103" xfId="0" applyFont="1" applyFill="1" applyBorder="1" applyAlignment="1">
      <alignment/>
    </xf>
    <xf numFmtId="0" fontId="2" fillId="39" borderId="96" xfId="0" applyFont="1" applyFill="1" applyBorder="1" applyAlignment="1">
      <alignment/>
    </xf>
    <xf numFmtId="0" fontId="2" fillId="39" borderId="105" xfId="0" applyFont="1" applyFill="1" applyBorder="1" applyAlignment="1">
      <alignment/>
    </xf>
    <xf numFmtId="0" fontId="2" fillId="39" borderId="125" xfId="0" applyFont="1" applyFill="1" applyBorder="1" applyAlignment="1">
      <alignment/>
    </xf>
    <xf numFmtId="0" fontId="2" fillId="39" borderId="109" xfId="0" applyFont="1" applyFill="1" applyBorder="1" applyAlignment="1">
      <alignment/>
    </xf>
    <xf numFmtId="0" fontId="2" fillId="0" borderId="49" xfId="0" applyFont="1" applyBorder="1" applyAlignment="1">
      <alignment horizontal="center" vertical="center" wrapText="1"/>
    </xf>
    <xf numFmtId="37" fontId="2" fillId="0" borderId="109" xfId="0" applyNumberFormat="1" applyFont="1" applyFill="1" applyBorder="1" applyAlignment="1">
      <alignment horizontal="center" vertical="center" wrapText="1"/>
    </xf>
    <xf numFmtId="37" fontId="2" fillId="0" borderId="105" xfId="0" applyNumberFormat="1" applyFont="1" applyFill="1" applyBorder="1" applyAlignment="1">
      <alignment horizontal="center" vertical="center"/>
    </xf>
    <xf numFmtId="37" fontId="2" fillId="0" borderId="110" xfId="0" applyNumberFormat="1" applyFont="1" applyFill="1" applyBorder="1" applyAlignment="1">
      <alignment vertical="center"/>
    </xf>
    <xf numFmtId="0" fontId="2" fillId="0" borderId="136" xfId="0" applyFont="1" applyFill="1" applyBorder="1" applyAlignment="1">
      <alignment horizontal="center" vertical="center" wrapText="1"/>
    </xf>
    <xf numFmtId="0" fontId="2" fillId="0" borderId="136" xfId="0" applyFont="1" applyFill="1" applyBorder="1" applyAlignment="1">
      <alignment/>
    </xf>
    <xf numFmtId="0" fontId="2" fillId="0" borderId="137" xfId="0" applyFont="1" applyFill="1" applyBorder="1" applyAlignment="1">
      <alignment/>
    </xf>
    <xf numFmtId="0" fontId="2" fillId="39" borderId="137" xfId="0" applyFont="1" applyFill="1" applyBorder="1" applyAlignment="1">
      <alignment/>
    </xf>
    <xf numFmtId="0" fontId="2" fillId="39" borderId="138" xfId="0" applyFont="1" applyFill="1" applyBorder="1" applyAlignment="1">
      <alignment/>
    </xf>
    <xf numFmtId="0" fontId="2" fillId="39" borderId="136" xfId="0" applyFont="1" applyFill="1" applyBorder="1" applyAlignment="1">
      <alignment/>
    </xf>
    <xf numFmtId="37" fontId="2" fillId="0" borderId="136" xfId="0" applyNumberFormat="1" applyFont="1" applyFill="1" applyBorder="1" applyAlignment="1">
      <alignment horizontal="center" vertical="center"/>
    </xf>
    <xf numFmtId="37" fontId="2" fillId="0" borderId="137" xfId="0" applyNumberFormat="1" applyFont="1" applyFill="1" applyBorder="1" applyAlignment="1">
      <alignment horizontal="center" vertical="center"/>
    </xf>
    <xf numFmtId="37" fontId="2" fillId="0" borderId="121" xfId="0" applyNumberFormat="1" applyFont="1" applyFill="1" applyBorder="1" applyAlignment="1">
      <alignment vertical="center"/>
    </xf>
    <xf numFmtId="0" fontId="2" fillId="39" borderId="139" xfId="0" applyFont="1" applyFill="1" applyBorder="1" applyAlignment="1">
      <alignment/>
    </xf>
    <xf numFmtId="0" fontId="2" fillId="0" borderId="139" xfId="0" applyFont="1" applyFill="1" applyBorder="1" applyAlignment="1">
      <alignment/>
    </xf>
    <xf numFmtId="0" fontId="2" fillId="0" borderId="140" xfId="0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2" fillId="39" borderId="79" xfId="0" applyFont="1" applyFill="1" applyBorder="1" applyAlignment="1">
      <alignment/>
    </xf>
    <xf numFmtId="0" fontId="2" fillId="39" borderId="142" xfId="0" applyFont="1" applyFill="1" applyBorder="1" applyAlignment="1">
      <alignment/>
    </xf>
    <xf numFmtId="0" fontId="2" fillId="39" borderId="141" xfId="0" applyFont="1" applyFill="1" applyBorder="1" applyAlignment="1">
      <alignment/>
    </xf>
    <xf numFmtId="0" fontId="2" fillId="0" borderId="74" xfId="0" applyFont="1" applyBorder="1" applyAlignment="1">
      <alignment horizontal="center" vertical="center" wrapText="1"/>
    </xf>
    <xf numFmtId="37" fontId="2" fillId="0" borderId="131" xfId="0" applyNumberFormat="1" applyFont="1" applyFill="1" applyBorder="1" applyAlignment="1">
      <alignment horizontal="center" vertical="center"/>
    </xf>
    <xf numFmtId="0" fontId="2" fillId="0" borderId="11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43" xfId="0" applyFont="1" applyFill="1" applyBorder="1" applyAlignment="1">
      <alignment horizontal="center" vertical="center" wrapText="1"/>
    </xf>
    <xf numFmtId="0" fontId="2" fillId="39" borderId="56" xfId="0" applyFont="1" applyFill="1" applyBorder="1" applyAlignment="1">
      <alignment/>
    </xf>
    <xf numFmtId="0" fontId="2" fillId="39" borderId="144" xfId="0" applyFont="1" applyFill="1" applyBorder="1" applyAlignment="1">
      <alignment/>
    </xf>
    <xf numFmtId="0" fontId="2" fillId="0" borderId="42" xfId="0" applyFont="1" applyBorder="1" applyAlignment="1">
      <alignment horizontal="center" vertical="center" wrapText="1"/>
    </xf>
    <xf numFmtId="37" fontId="2" fillId="0" borderId="109" xfId="0" applyNumberFormat="1" applyFont="1" applyFill="1" applyBorder="1" applyAlignment="1">
      <alignment horizontal="center" vertical="center"/>
    </xf>
    <xf numFmtId="0" fontId="2" fillId="0" borderId="138" xfId="0" applyFont="1" applyFill="1" applyBorder="1" applyAlignment="1">
      <alignment/>
    </xf>
    <xf numFmtId="0" fontId="2" fillId="39" borderId="145" xfId="0" applyFont="1" applyFill="1" applyBorder="1" applyAlignment="1">
      <alignment/>
    </xf>
    <xf numFmtId="0" fontId="10" fillId="0" borderId="146" xfId="0" applyFont="1" applyFill="1" applyBorder="1" applyAlignment="1">
      <alignment horizontal="center" vertical="center" wrapText="1"/>
    </xf>
    <xf numFmtId="0" fontId="2" fillId="0" borderId="147" xfId="0" applyFont="1" applyFill="1" applyBorder="1" applyAlignment="1">
      <alignment horizontal="center" vertical="center" wrapText="1"/>
    </xf>
    <xf numFmtId="0" fontId="2" fillId="0" borderId="148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81" xfId="0" applyFont="1" applyFill="1" applyBorder="1" applyAlignment="1">
      <alignment/>
    </xf>
    <xf numFmtId="0" fontId="2" fillId="39" borderId="51" xfId="0" applyFont="1" applyFill="1" applyBorder="1" applyAlignment="1">
      <alignment/>
    </xf>
    <xf numFmtId="0" fontId="2" fillId="39" borderId="149" xfId="0" applyFont="1" applyFill="1" applyBorder="1" applyAlignment="1">
      <alignment/>
    </xf>
    <xf numFmtId="0" fontId="2" fillId="0" borderId="147" xfId="0" applyFont="1" applyBorder="1" applyAlignment="1">
      <alignment horizontal="center" vertical="center" wrapText="1"/>
    </xf>
    <xf numFmtId="0" fontId="2" fillId="0" borderId="150" xfId="0" applyFont="1" applyBorder="1" applyAlignment="1">
      <alignment horizontal="center" vertical="center" wrapText="1"/>
    </xf>
    <xf numFmtId="37" fontId="2" fillId="0" borderId="148" xfId="0" applyNumberFormat="1" applyFont="1" applyFill="1" applyBorder="1" applyAlignment="1">
      <alignment horizontal="center" vertical="center"/>
    </xf>
    <xf numFmtId="37" fontId="2" fillId="0" borderId="51" xfId="0" applyNumberFormat="1" applyFont="1" applyFill="1" applyBorder="1" applyAlignment="1">
      <alignment horizontal="center" vertical="center"/>
    </xf>
    <xf numFmtId="37" fontId="2" fillId="0" borderId="151" xfId="0" applyNumberFormat="1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52" xfId="0" applyFont="1" applyFill="1" applyBorder="1" applyAlignment="1">
      <alignment/>
    </xf>
    <xf numFmtId="0" fontId="2" fillId="0" borderId="133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/>
    </xf>
    <xf numFmtId="0" fontId="2" fillId="39" borderId="153" xfId="0" applyFont="1" applyFill="1" applyBorder="1" applyAlignment="1">
      <alignment/>
    </xf>
    <xf numFmtId="0" fontId="2" fillId="39" borderId="57" xfId="0" applyFont="1" applyFill="1" applyBorder="1" applyAlignment="1">
      <alignment/>
    </xf>
    <xf numFmtId="0" fontId="2" fillId="39" borderId="55" xfId="0" applyFont="1" applyFill="1" applyBorder="1" applyAlignment="1">
      <alignment/>
    </xf>
    <xf numFmtId="37" fontId="2" fillId="0" borderId="55" xfId="0" applyNumberFormat="1" applyFont="1" applyFill="1" applyBorder="1" applyAlignment="1">
      <alignment horizontal="center" vertical="center"/>
    </xf>
    <xf numFmtId="37" fontId="2" fillId="0" borderId="56" xfId="0" applyNumberFormat="1" applyFont="1" applyFill="1" applyBorder="1" applyAlignment="1">
      <alignment horizontal="center" vertical="center"/>
    </xf>
    <xf numFmtId="37" fontId="2" fillId="0" borderId="128" xfId="0" applyNumberFormat="1" applyFont="1" applyFill="1" applyBorder="1" applyAlignment="1">
      <alignment vertic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154" xfId="0" applyFont="1" applyFill="1" applyBorder="1" applyAlignment="1">
      <alignment horizontal="center" vertical="center" wrapText="1"/>
    </xf>
    <xf numFmtId="0" fontId="2" fillId="0" borderId="142" xfId="0" applyFont="1" applyFill="1" applyBorder="1" applyAlignment="1">
      <alignment/>
    </xf>
    <xf numFmtId="0" fontId="2" fillId="39" borderId="155" xfId="0" applyFont="1" applyFill="1" applyBorder="1" applyAlignment="1">
      <alignment/>
    </xf>
    <xf numFmtId="0" fontId="2" fillId="0" borderId="42" xfId="0" applyFont="1" applyFill="1" applyBorder="1" applyAlignment="1">
      <alignment horizontal="center" vertical="center" wrapText="1"/>
    </xf>
    <xf numFmtId="0" fontId="2" fillId="39" borderId="108" xfId="0" applyFont="1" applyFill="1" applyBorder="1" applyAlignment="1">
      <alignment/>
    </xf>
    <xf numFmtId="0" fontId="2" fillId="39" borderId="104" xfId="0" applyFont="1" applyFill="1" applyBorder="1" applyAlignment="1">
      <alignment/>
    </xf>
    <xf numFmtId="0" fontId="2" fillId="38" borderId="84" xfId="0" applyFont="1" applyFill="1" applyBorder="1" applyAlignment="1">
      <alignment horizontal="center" vertical="center" wrapText="1"/>
    </xf>
    <xf numFmtId="0" fontId="2" fillId="39" borderId="106" xfId="0" applyFont="1" applyFill="1" applyBorder="1" applyAlignment="1">
      <alignment/>
    </xf>
    <xf numFmtId="0" fontId="2" fillId="39" borderId="126" xfId="0" applyFont="1" applyFill="1" applyBorder="1" applyAlignment="1">
      <alignment/>
    </xf>
    <xf numFmtId="37" fontId="2" fillId="0" borderId="96" xfId="0" applyNumberFormat="1" applyFont="1" applyFill="1" applyBorder="1" applyAlignment="1">
      <alignment horizontal="center" vertical="center" wrapText="1"/>
    </xf>
    <xf numFmtId="37" fontId="2" fillId="0" borderId="102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/>
    </xf>
    <xf numFmtId="0" fontId="2" fillId="0" borderId="156" xfId="0" applyFont="1" applyFill="1" applyBorder="1" applyAlignment="1">
      <alignment/>
    </xf>
    <xf numFmtId="0" fontId="2" fillId="39" borderId="156" xfId="0" applyFont="1" applyFill="1" applyBorder="1" applyAlignment="1">
      <alignment/>
    </xf>
    <xf numFmtId="0" fontId="2" fillId="39" borderId="157" xfId="0" applyFont="1" applyFill="1" applyBorder="1" applyAlignment="1">
      <alignment/>
    </xf>
    <xf numFmtId="0" fontId="2" fillId="39" borderId="158" xfId="0" applyFont="1" applyFill="1" applyBorder="1" applyAlignment="1">
      <alignment/>
    </xf>
    <xf numFmtId="0" fontId="2" fillId="0" borderId="4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7" fontId="2" fillId="0" borderId="159" xfId="0" applyNumberFormat="1" applyFont="1" applyFill="1" applyBorder="1" applyAlignment="1">
      <alignment horizontal="center" vertical="center" wrapText="1"/>
    </xf>
    <xf numFmtId="37" fontId="2" fillId="0" borderId="156" xfId="0" applyNumberFormat="1" applyFont="1" applyFill="1" applyBorder="1" applyAlignment="1">
      <alignment horizontal="center" vertical="center" wrapText="1"/>
    </xf>
    <xf numFmtId="37" fontId="2" fillId="0" borderId="160" xfId="0" applyNumberFormat="1" applyFont="1" applyFill="1" applyBorder="1" applyAlignment="1">
      <alignment vertical="center"/>
    </xf>
    <xf numFmtId="0" fontId="2" fillId="0" borderId="133" xfId="0" applyFont="1" applyFill="1" applyBorder="1" applyAlignment="1">
      <alignment/>
    </xf>
    <xf numFmtId="0" fontId="2" fillId="39" borderId="161" xfId="0" applyFont="1" applyFill="1" applyBorder="1" applyAlignment="1">
      <alignment/>
    </xf>
    <xf numFmtId="0" fontId="2" fillId="39" borderId="162" xfId="0" applyFont="1" applyFill="1" applyBorder="1" applyAlignment="1">
      <alignment/>
    </xf>
    <xf numFmtId="37" fontId="2" fillId="0" borderId="80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37" fontId="2" fillId="0" borderId="55" xfId="0" applyNumberFormat="1" applyFont="1" applyFill="1" applyBorder="1" applyAlignment="1">
      <alignment horizontal="center" vertical="center" wrapText="1"/>
    </xf>
    <xf numFmtId="37" fontId="2" fillId="0" borderId="56" xfId="0" applyNumberFormat="1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/>
    </xf>
    <xf numFmtId="0" fontId="2" fillId="0" borderId="163" xfId="0" applyFont="1" applyFill="1" applyBorder="1" applyAlignment="1">
      <alignment/>
    </xf>
    <xf numFmtId="0" fontId="2" fillId="0" borderId="78" xfId="0" applyFont="1" applyFill="1" applyBorder="1" applyAlignment="1">
      <alignment/>
    </xf>
    <xf numFmtId="0" fontId="2" fillId="0" borderId="164" xfId="0" applyFont="1" applyFill="1" applyBorder="1" applyAlignment="1">
      <alignment/>
    </xf>
    <xf numFmtId="37" fontId="2" fillId="0" borderId="136" xfId="0" applyNumberFormat="1" applyFont="1" applyFill="1" applyBorder="1" applyAlignment="1">
      <alignment horizontal="center" vertical="center" wrapText="1"/>
    </xf>
    <xf numFmtId="37" fontId="2" fillId="0" borderId="137" xfId="0" applyNumberFormat="1" applyFont="1" applyFill="1" applyBorder="1" applyAlignment="1">
      <alignment horizontal="center" vertical="center" wrapText="1"/>
    </xf>
    <xf numFmtId="0" fontId="2" fillId="0" borderId="146" xfId="0" applyFont="1" applyFill="1" applyBorder="1" applyAlignment="1">
      <alignment horizontal="center" vertical="center" wrapText="1"/>
    </xf>
    <xf numFmtId="0" fontId="2" fillId="0" borderId="165" xfId="0" applyFont="1" applyFill="1" applyBorder="1" applyAlignment="1">
      <alignment horizontal="center" vertical="center" wrapText="1"/>
    </xf>
    <xf numFmtId="0" fontId="2" fillId="0" borderId="147" xfId="0" applyFont="1" applyFill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166" xfId="0" applyFont="1" applyFill="1" applyBorder="1" applyAlignment="1">
      <alignment/>
    </xf>
    <xf numFmtId="37" fontId="3" fillId="0" borderId="148" xfId="0" applyNumberFormat="1" applyFont="1" applyFill="1" applyBorder="1" applyAlignment="1">
      <alignment horizontal="center" vertical="center" wrapText="1"/>
    </xf>
    <xf numFmtId="37" fontId="2" fillId="0" borderId="51" xfId="0" applyNumberFormat="1" applyFont="1" applyFill="1" applyBorder="1" applyAlignment="1">
      <alignment horizontal="center" vertical="center" wrapText="1"/>
    </xf>
    <xf numFmtId="0" fontId="2" fillId="39" borderId="166" xfId="0" applyFont="1" applyFill="1" applyBorder="1" applyAlignment="1">
      <alignment/>
    </xf>
    <xf numFmtId="37" fontId="2" fillId="0" borderId="148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/>
    </xf>
    <xf numFmtId="37" fontId="2" fillId="0" borderId="63" xfId="0" applyNumberFormat="1" applyFont="1" applyFill="1" applyBorder="1" applyAlignment="1">
      <alignment horizontal="center" vertical="center" wrapText="1"/>
    </xf>
    <xf numFmtId="0" fontId="2" fillId="38" borderId="167" xfId="0" applyFont="1" applyFill="1" applyBorder="1" applyAlignment="1">
      <alignment horizontal="center" vertical="center" wrapText="1"/>
    </xf>
    <xf numFmtId="0" fontId="2" fillId="0" borderId="168" xfId="0" applyFont="1" applyFill="1" applyBorder="1" applyAlignment="1">
      <alignment/>
    </xf>
    <xf numFmtId="0" fontId="2" fillId="39" borderId="169" xfId="0" applyFont="1" applyFill="1" applyBorder="1" applyAlignment="1">
      <alignment/>
    </xf>
    <xf numFmtId="37" fontId="2" fillId="0" borderId="105" xfId="0" applyNumberFormat="1" applyFont="1" applyFill="1" applyBorder="1" applyAlignment="1">
      <alignment horizontal="center" vertical="center" wrapText="1"/>
    </xf>
    <xf numFmtId="0" fontId="2" fillId="0" borderId="170" xfId="0" applyFont="1" applyFill="1" applyBorder="1" applyAlignment="1">
      <alignment/>
    </xf>
    <xf numFmtId="0" fontId="2" fillId="39" borderId="170" xfId="0" applyFont="1" applyFill="1" applyBorder="1" applyAlignment="1">
      <alignment/>
    </xf>
    <xf numFmtId="0" fontId="2" fillId="0" borderId="134" xfId="0" applyFont="1" applyFill="1" applyBorder="1" applyAlignment="1">
      <alignment horizontal="center" vertical="center" wrapText="1"/>
    </xf>
    <xf numFmtId="0" fontId="2" fillId="0" borderId="162" xfId="0" applyFont="1" applyFill="1" applyBorder="1" applyAlignment="1">
      <alignment/>
    </xf>
    <xf numFmtId="0" fontId="2" fillId="0" borderId="161" xfId="0" applyFont="1" applyFill="1" applyBorder="1" applyAlignment="1">
      <alignment/>
    </xf>
    <xf numFmtId="37" fontId="2" fillId="0" borderId="135" xfId="0" applyNumberFormat="1" applyFont="1" applyBorder="1" applyAlignment="1">
      <alignment vertical="center"/>
    </xf>
    <xf numFmtId="0" fontId="2" fillId="0" borderId="114" xfId="0" applyNumberFormat="1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/>
    </xf>
    <xf numFmtId="0" fontId="2" fillId="0" borderId="171" xfId="0" applyFont="1" applyBorder="1" applyAlignment="1">
      <alignment horizontal="center" vertical="center" wrapText="1"/>
    </xf>
    <xf numFmtId="0" fontId="2" fillId="0" borderId="150" xfId="0" applyFont="1" applyFill="1" applyBorder="1" applyAlignment="1">
      <alignment horizontal="center" vertical="center" wrapText="1"/>
    </xf>
    <xf numFmtId="37" fontId="2" fillId="0" borderId="151" xfId="0" applyNumberFormat="1" applyFont="1" applyBorder="1" applyAlignment="1">
      <alignment vertical="center"/>
    </xf>
    <xf numFmtId="0" fontId="2" fillId="0" borderId="114" xfId="0" applyFont="1" applyFill="1" applyBorder="1" applyAlignment="1">
      <alignment horizontal="center" vertical="center" wrapText="1"/>
    </xf>
    <xf numFmtId="0" fontId="2" fillId="39" borderId="164" xfId="0" applyFont="1" applyFill="1" applyBorder="1" applyAlignment="1">
      <alignment/>
    </xf>
    <xf numFmtId="0" fontId="2" fillId="39" borderId="82" xfId="0" applyFont="1" applyFill="1" applyBorder="1" applyAlignment="1">
      <alignment/>
    </xf>
    <xf numFmtId="0" fontId="2" fillId="0" borderId="91" xfId="0" applyFont="1" applyFill="1" applyBorder="1" applyAlignment="1">
      <alignment horizontal="center" vertical="center" wrapText="1"/>
    </xf>
    <xf numFmtId="37" fontId="2" fillId="0" borderId="53" xfId="0" applyNumberFormat="1" applyFont="1" applyFill="1" applyBorder="1" applyAlignment="1">
      <alignment horizontal="center" vertical="center" wrapText="1"/>
    </xf>
    <xf numFmtId="0" fontId="2" fillId="0" borderId="172" xfId="0" applyFont="1" applyBorder="1" applyAlignment="1">
      <alignment vertical="top" wrapText="1"/>
    </xf>
    <xf numFmtId="0" fontId="2" fillId="0" borderId="173" xfId="0" applyFont="1" applyBorder="1" applyAlignment="1">
      <alignment vertical="top" wrapText="1"/>
    </xf>
    <xf numFmtId="0" fontId="2" fillId="0" borderId="17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75" xfId="0" applyFont="1" applyFill="1" applyBorder="1" applyAlignment="1">
      <alignment/>
    </xf>
    <xf numFmtId="0" fontId="2" fillId="0" borderId="123" xfId="0" applyFont="1" applyFill="1" applyBorder="1" applyAlignment="1">
      <alignment/>
    </xf>
    <xf numFmtId="0" fontId="2" fillId="39" borderId="123" xfId="0" applyFont="1" applyFill="1" applyBorder="1" applyAlignment="1">
      <alignment/>
    </xf>
    <xf numFmtId="0" fontId="2" fillId="39" borderId="176" xfId="0" applyFont="1" applyFill="1" applyBorder="1" applyAlignment="1">
      <alignment/>
    </xf>
    <xf numFmtId="0" fontId="2" fillId="0" borderId="129" xfId="0" applyFont="1" applyFill="1" applyBorder="1" applyAlignment="1">
      <alignment/>
    </xf>
    <xf numFmtId="0" fontId="2" fillId="39" borderId="175" xfId="0" applyFont="1" applyFill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37" fontId="2" fillId="0" borderId="124" xfId="0" applyNumberFormat="1" applyFont="1" applyBorder="1" applyAlignment="1">
      <alignment vertical="center" wrapText="1"/>
    </xf>
    <xf numFmtId="37" fontId="2" fillId="0" borderId="123" xfId="0" applyNumberFormat="1" applyFont="1" applyFill="1" applyBorder="1" applyAlignment="1">
      <alignment horizontal="center" vertical="center" wrapText="1"/>
    </xf>
    <xf numFmtId="37" fontId="3" fillId="37" borderId="124" xfId="0" applyNumberFormat="1" applyFont="1" applyFill="1" applyBorder="1" applyAlignment="1">
      <alignment/>
    </xf>
    <xf numFmtId="0" fontId="0" fillId="0" borderId="147" xfId="0" applyBorder="1" applyAlignment="1">
      <alignment/>
    </xf>
    <xf numFmtId="37" fontId="2" fillId="0" borderId="166" xfId="0" applyNumberFormat="1" applyFont="1" applyBorder="1" applyAlignment="1">
      <alignment/>
    </xf>
    <xf numFmtId="37" fontId="2" fillId="0" borderId="165" xfId="0" applyNumberFormat="1" applyFont="1" applyBorder="1" applyAlignment="1">
      <alignment/>
    </xf>
    <xf numFmtId="37" fontId="2" fillId="0" borderId="166" xfId="0" applyNumberFormat="1" applyFont="1" applyBorder="1" applyAlignment="1">
      <alignment horizontal="center"/>
    </xf>
    <xf numFmtId="37" fontId="2" fillId="0" borderId="166" xfId="0" applyNumberFormat="1" applyFont="1" applyBorder="1" applyAlignment="1">
      <alignment/>
    </xf>
    <xf numFmtId="0" fontId="2" fillId="0" borderId="17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78" xfId="0" applyFont="1" applyFill="1" applyBorder="1" applyAlignment="1">
      <alignment/>
    </xf>
    <xf numFmtId="0" fontId="2" fillId="39" borderId="159" xfId="0" applyFont="1" applyFill="1" applyBorder="1" applyAlignment="1">
      <alignment/>
    </xf>
    <xf numFmtId="0" fontId="2" fillId="39" borderId="178" xfId="0" applyFont="1" applyFill="1" applyBorder="1" applyAlignment="1">
      <alignment/>
    </xf>
    <xf numFmtId="37" fontId="2" fillId="0" borderId="158" xfId="0" applyNumberFormat="1" applyFont="1" applyFill="1" applyBorder="1" applyAlignment="1">
      <alignment horizontal="center" vertical="center" wrapText="1"/>
    </xf>
    <xf numFmtId="37" fontId="2" fillId="0" borderId="160" xfId="0" applyNumberFormat="1" applyFont="1" applyBorder="1" applyAlignment="1">
      <alignment vertical="center"/>
    </xf>
    <xf numFmtId="37" fontId="2" fillId="0" borderId="82" xfId="0" applyNumberFormat="1" applyFont="1" applyFill="1" applyBorder="1" applyAlignment="1">
      <alignment horizontal="center" vertical="center" wrapText="1"/>
    </xf>
    <xf numFmtId="0" fontId="2" fillId="39" borderId="81" xfId="0" applyFont="1" applyFill="1" applyBorder="1" applyAlignment="1">
      <alignment/>
    </xf>
    <xf numFmtId="0" fontId="2" fillId="39" borderId="148" xfId="0" applyFont="1" applyFill="1" applyBorder="1" applyAlignment="1">
      <alignment/>
    </xf>
    <xf numFmtId="0" fontId="2" fillId="0" borderId="17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69" xfId="0" applyFont="1" applyFill="1" applyBorder="1" applyAlignment="1">
      <alignment/>
    </xf>
    <xf numFmtId="0" fontId="2" fillId="0" borderId="165" xfId="0" applyFont="1" applyFill="1" applyBorder="1" applyAlignment="1">
      <alignment/>
    </xf>
    <xf numFmtId="0" fontId="2" fillId="39" borderId="165" xfId="0" applyFont="1" applyFill="1" applyBorder="1" applyAlignment="1">
      <alignment/>
    </xf>
    <xf numFmtId="0" fontId="2" fillId="39" borderId="77" xfId="0" applyFont="1" applyFill="1" applyBorder="1" applyAlignment="1">
      <alignment/>
    </xf>
    <xf numFmtId="37" fontId="3" fillId="0" borderId="55" xfId="0" applyNumberFormat="1" applyFont="1" applyFill="1" applyBorder="1" applyAlignment="1">
      <alignment horizontal="center" vertical="center" wrapText="1"/>
    </xf>
    <xf numFmtId="37" fontId="3" fillId="33" borderId="40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/>
    </xf>
    <xf numFmtId="0" fontId="2" fillId="39" borderId="78" xfId="0" applyFont="1" applyFill="1" applyBorder="1" applyAlignment="1">
      <alignment/>
    </xf>
    <xf numFmtId="0" fontId="2" fillId="39" borderId="163" xfId="0" applyFont="1" applyFill="1" applyBorder="1" applyAlignment="1">
      <alignment/>
    </xf>
    <xf numFmtId="37" fontId="2" fillId="0" borderId="163" xfId="0" applyNumberFormat="1" applyFont="1" applyFill="1" applyBorder="1" applyAlignment="1">
      <alignment horizontal="center" vertical="center" wrapText="1"/>
    </xf>
    <xf numFmtId="37" fontId="2" fillId="0" borderId="78" xfId="0" applyNumberFormat="1" applyFont="1" applyFill="1" applyBorder="1" applyAlignment="1">
      <alignment horizontal="center" vertical="center" wrapText="1"/>
    </xf>
    <xf numFmtId="37" fontId="2" fillId="0" borderId="179" xfId="0" applyNumberFormat="1" applyFont="1" applyBorder="1" applyAlignment="1">
      <alignment vertical="center"/>
    </xf>
    <xf numFmtId="37" fontId="2" fillId="0" borderId="161" xfId="0" applyNumberFormat="1" applyFont="1" applyFill="1" applyBorder="1" applyAlignment="1">
      <alignment horizontal="center" vertical="center" wrapText="1"/>
    </xf>
    <xf numFmtId="0" fontId="2" fillId="0" borderId="180" xfId="0" applyFont="1" applyFill="1" applyBorder="1" applyAlignment="1">
      <alignment/>
    </xf>
    <xf numFmtId="0" fontId="2" fillId="0" borderId="181" xfId="0" applyFont="1" applyFill="1" applyBorder="1" applyAlignment="1">
      <alignment/>
    </xf>
    <xf numFmtId="0" fontId="2" fillId="39" borderId="72" xfId="0" applyFont="1" applyFill="1" applyBorder="1" applyAlignment="1">
      <alignment/>
    </xf>
    <xf numFmtId="37" fontId="2" fillId="0" borderId="104" xfId="0" applyNumberFormat="1" applyFont="1" applyFill="1" applyBorder="1" applyAlignment="1">
      <alignment horizontal="center" vertical="center" wrapText="1"/>
    </xf>
    <xf numFmtId="0" fontId="2" fillId="0" borderId="182" xfId="0" applyFont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83" xfId="0" applyFont="1" applyFill="1" applyBorder="1" applyAlignment="1">
      <alignment/>
    </xf>
    <xf numFmtId="0" fontId="2" fillId="0" borderId="116" xfId="0" applyFont="1" applyFill="1" applyBorder="1" applyAlignment="1">
      <alignment/>
    </xf>
    <xf numFmtId="0" fontId="2" fillId="39" borderId="116" xfId="0" applyFont="1" applyFill="1" applyBorder="1" applyAlignment="1">
      <alignment/>
    </xf>
    <xf numFmtId="0" fontId="2" fillId="39" borderId="183" xfId="0" applyFont="1" applyFill="1" applyBorder="1" applyAlignment="1">
      <alignment/>
    </xf>
    <xf numFmtId="0" fontId="2" fillId="39" borderId="184" xfId="0" applyFont="1" applyFill="1" applyBorder="1" applyAlignment="1">
      <alignment/>
    </xf>
    <xf numFmtId="0" fontId="2" fillId="39" borderId="185" xfId="0" applyFont="1" applyFill="1" applyBorder="1" applyAlignment="1">
      <alignment/>
    </xf>
    <xf numFmtId="0" fontId="2" fillId="0" borderId="118" xfId="0" applyFont="1" applyBorder="1" applyAlignment="1">
      <alignment horizontal="center" vertical="center" wrapText="1"/>
    </xf>
    <xf numFmtId="37" fontId="2" fillId="0" borderId="184" xfId="0" applyNumberFormat="1" applyFont="1" applyFill="1" applyBorder="1" applyAlignment="1">
      <alignment horizontal="center" vertical="center" wrapText="1"/>
    </xf>
    <xf numFmtId="37" fontId="2" fillId="0" borderId="116" xfId="0" applyNumberFormat="1" applyFont="1" applyFill="1" applyBorder="1" applyAlignment="1">
      <alignment horizontal="center" vertical="center" wrapText="1"/>
    </xf>
    <xf numFmtId="37" fontId="2" fillId="0" borderId="186" xfId="0" applyNumberFormat="1" applyFont="1" applyBorder="1" applyAlignment="1">
      <alignment vertical="center"/>
    </xf>
    <xf numFmtId="37" fontId="2" fillId="0" borderId="187" xfId="0" applyNumberFormat="1" applyFont="1" applyFill="1" applyBorder="1" applyAlignment="1">
      <alignment vertical="center"/>
    </xf>
    <xf numFmtId="0" fontId="2" fillId="0" borderId="187" xfId="0" applyFont="1" applyFill="1" applyBorder="1" applyAlignment="1">
      <alignment horizontal="left" vertical="center" wrapText="1"/>
    </xf>
    <xf numFmtId="37" fontId="2" fillId="0" borderId="188" xfId="0" applyNumberFormat="1" applyFont="1" applyBorder="1" applyAlignment="1">
      <alignment vertical="center" wrapText="1"/>
    </xf>
    <xf numFmtId="0" fontId="2" fillId="0" borderId="189" xfId="0" applyFont="1" applyBorder="1" applyAlignment="1">
      <alignment horizontal="center" vertical="center" wrapText="1"/>
    </xf>
    <xf numFmtId="0" fontId="2" fillId="0" borderId="190" xfId="0" applyFont="1" applyFill="1" applyBorder="1" applyAlignment="1">
      <alignment/>
    </xf>
    <xf numFmtId="0" fontId="2" fillId="0" borderId="191" xfId="0" applyFont="1" applyFill="1" applyBorder="1" applyAlignment="1">
      <alignment/>
    </xf>
    <xf numFmtId="0" fontId="2" fillId="0" borderId="192" xfId="0" applyFont="1" applyFill="1" applyBorder="1" applyAlignment="1">
      <alignment/>
    </xf>
    <xf numFmtId="0" fontId="2" fillId="39" borderId="190" xfId="0" applyFont="1" applyFill="1" applyBorder="1" applyAlignment="1">
      <alignment/>
    </xf>
    <xf numFmtId="37" fontId="2" fillId="0" borderId="190" xfId="0" applyNumberFormat="1" applyFont="1" applyFill="1" applyBorder="1" applyAlignment="1">
      <alignment horizontal="center" vertical="center" wrapText="1"/>
    </xf>
    <xf numFmtId="0" fontId="2" fillId="39" borderId="193" xfId="0" applyFont="1" applyFill="1" applyBorder="1" applyAlignment="1">
      <alignment/>
    </xf>
    <xf numFmtId="0" fontId="2" fillId="39" borderId="191" xfId="0" applyFont="1" applyFill="1" applyBorder="1" applyAlignment="1">
      <alignment/>
    </xf>
    <xf numFmtId="0" fontId="2" fillId="0" borderId="10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49" xfId="0" applyFont="1" applyFill="1" applyBorder="1" applyAlignment="1">
      <alignment/>
    </xf>
    <xf numFmtId="0" fontId="3" fillId="36" borderId="18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7" fontId="3" fillId="35" borderId="14" xfId="0" applyNumberFormat="1" applyFont="1" applyFill="1" applyBorder="1" applyAlignment="1">
      <alignment horizontal="center" vertical="center"/>
    </xf>
    <xf numFmtId="37" fontId="2" fillId="0" borderId="16" xfId="0" applyNumberFormat="1" applyFont="1" applyFill="1" applyBorder="1" applyAlignment="1">
      <alignment horizontal="center" vertical="center"/>
    </xf>
    <xf numFmtId="37" fontId="3" fillId="35" borderId="15" xfId="0" applyNumberFormat="1" applyFont="1" applyFill="1" applyBorder="1" applyAlignment="1">
      <alignment horizontal="center" vertical="center"/>
    </xf>
    <xf numFmtId="37" fontId="2" fillId="0" borderId="13" xfId="0" applyNumberFormat="1" applyFont="1" applyFill="1" applyBorder="1" applyAlignment="1">
      <alignment horizontal="center" vertical="center"/>
    </xf>
    <xf numFmtId="37" fontId="3" fillId="33" borderId="10" xfId="0" applyNumberFormat="1" applyFont="1" applyFill="1" applyBorder="1" applyAlignment="1">
      <alignment horizontal="center" vertical="center"/>
    </xf>
    <xf numFmtId="37" fontId="3" fillId="35" borderId="18" xfId="0" applyNumberFormat="1" applyFont="1" applyFill="1" applyBorder="1" applyAlignment="1">
      <alignment horizontal="center" vertical="center"/>
    </xf>
    <xf numFmtId="37" fontId="4" fillId="0" borderId="13" xfId="0" applyNumberFormat="1" applyFont="1" applyFill="1" applyBorder="1" applyAlignment="1">
      <alignment horizontal="center" vertical="center"/>
    </xf>
    <xf numFmtId="37" fontId="2" fillId="0" borderId="37" xfId="0" applyNumberFormat="1" applyFont="1" applyFill="1" applyBorder="1" applyAlignment="1">
      <alignment horizontal="center" vertical="center"/>
    </xf>
    <xf numFmtId="37" fontId="4" fillId="0" borderId="12" xfId="0" applyNumberFormat="1" applyFont="1" applyFill="1" applyBorder="1" applyAlignment="1">
      <alignment horizontal="center" vertical="center"/>
    </xf>
    <xf numFmtId="37" fontId="2" fillId="0" borderId="18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37" fontId="2" fillId="0" borderId="12" xfId="0" applyNumberFormat="1" applyFont="1" applyFill="1" applyBorder="1" applyAlignment="1" quotePrefix="1">
      <alignment horizontal="center" vertical="center"/>
    </xf>
    <xf numFmtId="0" fontId="2" fillId="0" borderId="12" xfId="0" applyFont="1" applyBorder="1" applyAlignment="1">
      <alignment horizontal="left" wrapText="1"/>
    </xf>
    <xf numFmtId="37" fontId="2" fillId="0" borderId="187" xfId="0" applyNumberFormat="1" applyFont="1" applyFill="1" applyBorder="1" applyAlignment="1">
      <alignment/>
    </xf>
    <xf numFmtId="0" fontId="2" fillId="0" borderId="187" xfId="0" applyFont="1" applyBorder="1" applyAlignment="1">
      <alignment horizontal="left" wrapText="1"/>
    </xf>
    <xf numFmtId="0" fontId="0" fillId="0" borderId="194" xfId="0" applyBorder="1" applyAlignment="1">
      <alignment/>
    </xf>
    <xf numFmtId="0" fontId="0" fillId="0" borderId="12" xfId="0" applyBorder="1" applyAlignment="1">
      <alignment/>
    </xf>
    <xf numFmtId="0" fontId="2" fillId="0" borderId="187" xfId="0" applyFont="1" applyBorder="1" applyAlignment="1">
      <alignment horizontal="left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6" borderId="195" xfId="0" applyFont="1" applyFill="1" applyBorder="1" applyAlignment="1">
      <alignment horizontal="center" vertical="center"/>
    </xf>
    <xf numFmtId="0" fontId="3" fillId="36" borderId="196" xfId="0" applyFont="1" applyFill="1" applyBorder="1" applyAlignment="1">
      <alignment horizontal="center" vertical="center"/>
    </xf>
    <xf numFmtId="9" fontId="3" fillId="36" borderId="197" xfId="57" applyFont="1" applyFill="1" applyBorder="1" applyAlignment="1">
      <alignment horizontal="center" vertical="center"/>
    </xf>
    <xf numFmtId="9" fontId="3" fillId="36" borderId="198" xfId="57" applyFont="1" applyFill="1" applyBorder="1" applyAlignment="1">
      <alignment horizontal="center" vertical="center"/>
    </xf>
    <xf numFmtId="0" fontId="3" fillId="37" borderId="195" xfId="0" applyFont="1" applyFill="1" applyBorder="1" applyAlignment="1">
      <alignment horizontal="center" vertical="center"/>
    </xf>
    <xf numFmtId="0" fontId="3" fillId="37" borderId="196" xfId="0" applyFont="1" applyFill="1" applyBorder="1" applyAlignment="1">
      <alignment horizontal="center" vertical="center"/>
    </xf>
    <xf numFmtId="0" fontId="3" fillId="37" borderId="199" xfId="0" applyFont="1" applyFill="1" applyBorder="1" applyAlignment="1">
      <alignment horizontal="center" vertical="center"/>
    </xf>
    <xf numFmtId="0" fontId="3" fillId="37" borderId="119" xfId="0" applyFont="1" applyFill="1" applyBorder="1" applyAlignment="1">
      <alignment horizontal="center" vertical="center"/>
    </xf>
    <xf numFmtId="0" fontId="2" fillId="0" borderId="196" xfId="0" applyFont="1" applyBorder="1" applyAlignment="1">
      <alignment horizontal="center" vertical="center"/>
    </xf>
    <xf numFmtId="0" fontId="3" fillId="37" borderId="197" xfId="0" applyFont="1" applyFill="1" applyBorder="1" applyAlignment="1">
      <alignment horizontal="center" vertical="center"/>
    </xf>
    <xf numFmtId="0" fontId="2" fillId="0" borderId="198" xfId="0" applyFont="1" applyBorder="1" applyAlignment="1">
      <alignment horizontal="center" vertical="center"/>
    </xf>
    <xf numFmtId="0" fontId="3" fillId="40" borderId="58" xfId="0" applyFont="1" applyFill="1" applyBorder="1" applyAlignment="1">
      <alignment horizontal="center" vertical="center"/>
    </xf>
    <xf numFmtId="0" fontId="3" fillId="40" borderId="200" xfId="0" applyFont="1" applyFill="1" applyBorder="1" applyAlignment="1">
      <alignment horizontal="center" vertical="center"/>
    </xf>
    <xf numFmtId="0" fontId="3" fillId="40" borderId="201" xfId="0" applyFont="1" applyFill="1" applyBorder="1" applyAlignment="1">
      <alignment horizontal="center" vertical="center"/>
    </xf>
    <xf numFmtId="0" fontId="3" fillId="0" borderId="4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77" xfId="0" applyFont="1" applyBorder="1" applyAlignment="1">
      <alignment vertical="top" wrapText="1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33" borderId="148" xfId="0" applyFont="1" applyFill="1" applyBorder="1" applyAlignment="1">
      <alignment horizontal="left"/>
    </xf>
    <xf numFmtId="0" fontId="3" fillId="33" borderId="149" xfId="0" applyFont="1" applyFill="1" applyBorder="1" applyAlignment="1">
      <alignment horizontal="left"/>
    </xf>
    <xf numFmtId="0" fontId="3" fillId="37" borderId="147" xfId="0" applyFont="1" applyFill="1" applyBorder="1" applyAlignment="1">
      <alignment horizontal="center" vertical="center"/>
    </xf>
    <xf numFmtId="0" fontId="3" fillId="37" borderId="166" xfId="0" applyFont="1" applyFill="1" applyBorder="1" applyAlignment="1">
      <alignment horizontal="center" vertical="center"/>
    </xf>
    <xf numFmtId="0" fontId="3" fillId="36" borderId="103" xfId="0" applyFont="1" applyFill="1" applyBorder="1" applyAlignment="1">
      <alignment horizontal="center" vertical="center" wrapText="1"/>
    </xf>
    <xf numFmtId="0" fontId="3" fillId="36" borderId="132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38" borderId="147" xfId="0" applyFont="1" applyFill="1" applyBorder="1" applyAlignment="1">
      <alignment horizontal="center" vertical="center"/>
    </xf>
    <xf numFmtId="0" fontId="3" fillId="38" borderId="166" xfId="0" applyFont="1" applyFill="1" applyBorder="1" applyAlignment="1">
      <alignment horizontal="center" vertical="center"/>
    </xf>
    <xf numFmtId="0" fontId="3" fillId="38" borderId="165" xfId="0" applyFont="1" applyFill="1" applyBorder="1" applyAlignment="1">
      <alignment horizontal="center" vertical="center"/>
    </xf>
    <xf numFmtId="0" fontId="3" fillId="36" borderId="102" xfId="0" applyFont="1" applyFill="1" applyBorder="1" applyAlignment="1">
      <alignment horizontal="center" vertical="center" wrapText="1"/>
    </xf>
    <xf numFmtId="0" fontId="3" fillId="36" borderId="78" xfId="0" applyFont="1" applyFill="1" applyBorder="1" applyAlignment="1">
      <alignment horizontal="center" vertical="center" wrapText="1"/>
    </xf>
    <xf numFmtId="0" fontId="3" fillId="36" borderId="79" xfId="0" applyFont="1" applyFill="1" applyBorder="1" applyAlignment="1">
      <alignment horizontal="center" vertical="center" wrapText="1"/>
    </xf>
    <xf numFmtId="0" fontId="3" fillId="36" borderId="84" xfId="0" applyFont="1" applyFill="1" applyBorder="1" applyAlignment="1">
      <alignment horizontal="center" vertical="center" wrapText="1"/>
    </xf>
    <xf numFmtId="0" fontId="3" fillId="36" borderId="134" xfId="0" applyFont="1" applyFill="1" applyBorder="1" applyAlignment="1">
      <alignment horizontal="center" vertical="center" wrapText="1"/>
    </xf>
    <xf numFmtId="0" fontId="3" fillId="36" borderId="120" xfId="0" applyFont="1" applyFill="1" applyBorder="1" applyAlignment="1">
      <alignment horizontal="center" vertical="center" wrapText="1"/>
    </xf>
    <xf numFmtId="0" fontId="3" fillId="36" borderId="133" xfId="0" applyFont="1" applyFill="1" applyBorder="1" applyAlignment="1">
      <alignment horizontal="center" vertical="center" wrapText="1"/>
    </xf>
    <xf numFmtId="4" fontId="3" fillId="36" borderId="137" xfId="0" applyNumberFormat="1" applyFont="1" applyFill="1" applyBorder="1" applyAlignment="1">
      <alignment horizontal="center" vertical="center" wrapText="1"/>
    </xf>
    <xf numFmtId="0" fontId="2" fillId="36" borderId="79" xfId="0" applyFont="1" applyFill="1" applyBorder="1" applyAlignment="1">
      <alignment/>
    </xf>
    <xf numFmtId="0" fontId="3" fillId="36" borderId="80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/>
    </xf>
    <xf numFmtId="0" fontId="0" fillId="0" borderId="175" xfId="0" applyBorder="1" applyAlignment="1">
      <alignment/>
    </xf>
    <xf numFmtId="0" fontId="3" fillId="33" borderId="34" xfId="0" applyFont="1" applyFill="1" applyBorder="1" applyAlignment="1">
      <alignment horizontal="center" vertical="center" wrapText="1"/>
    </xf>
    <xf numFmtId="0" fontId="3" fillId="33" borderId="175" xfId="0" applyFont="1" applyFill="1" applyBorder="1" applyAlignment="1">
      <alignment horizontal="center" vertical="center" wrapText="1"/>
    </xf>
    <xf numFmtId="0" fontId="3" fillId="33" borderId="202" xfId="0" applyFont="1" applyFill="1" applyBorder="1" applyAlignment="1">
      <alignment horizontal="center" vertical="center" wrapText="1"/>
    </xf>
    <xf numFmtId="0" fontId="10" fillId="0" borderId="195" xfId="0" applyFont="1" applyFill="1" applyBorder="1" applyAlignment="1">
      <alignment horizontal="center" vertical="center" wrapText="1"/>
    </xf>
    <xf numFmtId="0" fontId="10" fillId="0" borderId="20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204" xfId="0" applyFont="1" applyFill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2" fillId="0" borderId="20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03" xfId="0" applyFont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/>
    </xf>
    <xf numFmtId="0" fontId="3" fillId="33" borderId="175" xfId="0" applyFont="1" applyFill="1" applyBorder="1" applyAlignment="1">
      <alignment horizontal="center"/>
    </xf>
    <xf numFmtId="0" fontId="3" fillId="33" borderId="202" xfId="0" applyFont="1" applyFill="1" applyBorder="1" applyAlignment="1">
      <alignment horizontal="center"/>
    </xf>
    <xf numFmtId="0" fontId="2" fillId="0" borderId="20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5" xfId="0" applyBorder="1" applyAlignment="1">
      <alignment horizontal="center" vertical="center" wrapText="1"/>
    </xf>
    <xf numFmtId="0" fontId="2" fillId="0" borderId="206" xfId="0" applyFont="1" applyBorder="1" applyAlignment="1">
      <alignment horizontal="center" vertical="center" wrapText="1"/>
    </xf>
    <xf numFmtId="0" fontId="2" fillId="0" borderId="207" xfId="0" applyFont="1" applyBorder="1" applyAlignment="1">
      <alignment horizontal="center" vertical="center" wrapText="1"/>
    </xf>
    <xf numFmtId="0" fontId="2" fillId="0" borderId="208" xfId="0" applyFont="1" applyBorder="1" applyAlignment="1">
      <alignment horizontal="center" vertical="center" wrapText="1"/>
    </xf>
    <xf numFmtId="0" fontId="2" fillId="0" borderId="195" xfId="0" applyFont="1" applyBorder="1" applyAlignment="1">
      <alignment horizontal="center" vertical="center" wrapText="1"/>
    </xf>
    <xf numFmtId="0" fontId="2" fillId="0" borderId="209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03" xfId="0" applyFont="1" applyFill="1" applyBorder="1" applyAlignment="1">
      <alignment horizontal="center" vertical="center" wrapText="1"/>
    </xf>
    <xf numFmtId="0" fontId="2" fillId="0" borderId="204" xfId="0" applyFont="1" applyFill="1" applyBorder="1" applyAlignment="1">
      <alignment horizontal="center" vertical="center" wrapText="1"/>
    </xf>
    <xf numFmtId="0" fontId="3" fillId="36" borderId="203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199" xfId="0" applyFont="1" applyFill="1" applyBorder="1" applyAlignment="1">
      <alignment horizontal="center" vertical="center"/>
    </xf>
    <xf numFmtId="0" fontId="3" fillId="36" borderId="210" xfId="0" applyFont="1" applyFill="1" applyBorder="1" applyAlignment="1">
      <alignment horizontal="center" vertical="center"/>
    </xf>
    <xf numFmtId="0" fontId="3" fillId="36" borderId="211" xfId="0" applyFont="1" applyFill="1" applyBorder="1" applyAlignment="1">
      <alignment horizontal="center" vertical="center"/>
    </xf>
    <xf numFmtId="0" fontId="3" fillId="36" borderId="42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77" xfId="0" applyFont="1" applyFill="1" applyBorder="1" applyAlignment="1">
      <alignment horizontal="center" vertical="center"/>
    </xf>
    <xf numFmtId="0" fontId="3" fillId="36" borderId="74" xfId="0" applyFont="1" applyFill="1" applyBorder="1" applyAlignment="1">
      <alignment horizontal="center" vertical="center"/>
    </xf>
    <xf numFmtId="0" fontId="3" fillId="36" borderId="75" xfId="0" applyFont="1" applyFill="1" applyBorder="1" applyAlignment="1">
      <alignment horizontal="center" vertical="center"/>
    </xf>
    <xf numFmtId="0" fontId="3" fillId="36" borderId="76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12" xfId="0" applyFont="1" applyFill="1" applyBorder="1" applyAlignment="1">
      <alignment horizontal="center" vertical="center"/>
    </xf>
    <xf numFmtId="0" fontId="3" fillId="36" borderId="181" xfId="0" applyFont="1" applyFill="1" applyBorder="1" applyAlignment="1">
      <alignment horizontal="center" vertical="center" wrapText="1"/>
    </xf>
    <xf numFmtId="0" fontId="3" fillId="36" borderId="213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/>
    </xf>
    <xf numFmtId="0" fontId="3" fillId="36" borderId="199" xfId="0" applyFont="1" applyFill="1" applyBorder="1" applyAlignment="1">
      <alignment horizontal="center"/>
    </xf>
    <xf numFmtId="0" fontId="3" fillId="36" borderId="179" xfId="0" applyFont="1" applyFill="1" applyBorder="1" applyAlignment="1">
      <alignment horizontal="center" vertical="center" wrapText="1"/>
    </xf>
    <xf numFmtId="0" fontId="3" fillId="36" borderId="214" xfId="0" applyFont="1" applyFill="1" applyBorder="1" applyAlignment="1">
      <alignment horizontal="center" vertical="center" wrapText="1"/>
    </xf>
    <xf numFmtId="0" fontId="3" fillId="36" borderId="215" xfId="0" applyFont="1" applyFill="1" applyBorder="1" applyAlignment="1">
      <alignment horizontal="center" vertical="center" wrapText="1"/>
    </xf>
    <xf numFmtId="0" fontId="2" fillId="0" borderId="195" xfId="0" applyFont="1" applyFill="1" applyBorder="1" applyAlignment="1">
      <alignment horizontal="center" vertical="center" wrapText="1"/>
    </xf>
    <xf numFmtId="0" fontId="2" fillId="0" borderId="19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11</xdr:row>
      <xdr:rowOff>76200</xdr:rowOff>
    </xdr:from>
    <xdr:to>
      <xdr:col>6</xdr:col>
      <xdr:colOff>695325</xdr:colOff>
      <xdr:row>11</xdr:row>
      <xdr:rowOff>76200</xdr:rowOff>
    </xdr:to>
    <xdr:sp>
      <xdr:nvSpPr>
        <xdr:cNvPr id="1" name="Line 1"/>
        <xdr:cNvSpPr>
          <a:spLocks/>
        </xdr:cNvSpPr>
      </xdr:nvSpPr>
      <xdr:spPr>
        <a:xfrm>
          <a:off x="7286625" y="1905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12</xdr:row>
      <xdr:rowOff>76200</xdr:rowOff>
    </xdr:from>
    <xdr:to>
      <xdr:col>6</xdr:col>
      <xdr:colOff>695325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7286625" y="2066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14</xdr:row>
      <xdr:rowOff>76200</xdr:rowOff>
    </xdr:from>
    <xdr:to>
      <xdr:col>6</xdr:col>
      <xdr:colOff>695325</xdr:colOff>
      <xdr:row>14</xdr:row>
      <xdr:rowOff>76200</xdr:rowOff>
    </xdr:to>
    <xdr:sp>
      <xdr:nvSpPr>
        <xdr:cNvPr id="3" name="Line 4"/>
        <xdr:cNvSpPr>
          <a:spLocks/>
        </xdr:cNvSpPr>
      </xdr:nvSpPr>
      <xdr:spPr>
        <a:xfrm>
          <a:off x="7286625" y="23907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16</xdr:row>
      <xdr:rowOff>76200</xdr:rowOff>
    </xdr:from>
    <xdr:to>
      <xdr:col>6</xdr:col>
      <xdr:colOff>695325</xdr:colOff>
      <xdr:row>16</xdr:row>
      <xdr:rowOff>76200</xdr:rowOff>
    </xdr:to>
    <xdr:sp>
      <xdr:nvSpPr>
        <xdr:cNvPr id="4" name="Line 7"/>
        <xdr:cNvSpPr>
          <a:spLocks/>
        </xdr:cNvSpPr>
      </xdr:nvSpPr>
      <xdr:spPr>
        <a:xfrm>
          <a:off x="7286625" y="2714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17</xdr:row>
      <xdr:rowOff>76200</xdr:rowOff>
    </xdr:from>
    <xdr:to>
      <xdr:col>6</xdr:col>
      <xdr:colOff>695325</xdr:colOff>
      <xdr:row>17</xdr:row>
      <xdr:rowOff>76200</xdr:rowOff>
    </xdr:to>
    <xdr:sp>
      <xdr:nvSpPr>
        <xdr:cNvPr id="5" name="Line 8"/>
        <xdr:cNvSpPr>
          <a:spLocks/>
        </xdr:cNvSpPr>
      </xdr:nvSpPr>
      <xdr:spPr>
        <a:xfrm>
          <a:off x="7286625" y="2876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18</xdr:row>
      <xdr:rowOff>76200</xdr:rowOff>
    </xdr:from>
    <xdr:to>
      <xdr:col>6</xdr:col>
      <xdr:colOff>695325</xdr:colOff>
      <xdr:row>18</xdr:row>
      <xdr:rowOff>76200</xdr:rowOff>
    </xdr:to>
    <xdr:sp>
      <xdr:nvSpPr>
        <xdr:cNvPr id="6" name="Line 9"/>
        <xdr:cNvSpPr>
          <a:spLocks/>
        </xdr:cNvSpPr>
      </xdr:nvSpPr>
      <xdr:spPr>
        <a:xfrm>
          <a:off x="7286625" y="3038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23</xdr:row>
      <xdr:rowOff>76200</xdr:rowOff>
    </xdr:from>
    <xdr:to>
      <xdr:col>6</xdr:col>
      <xdr:colOff>695325</xdr:colOff>
      <xdr:row>23</xdr:row>
      <xdr:rowOff>76200</xdr:rowOff>
    </xdr:to>
    <xdr:sp>
      <xdr:nvSpPr>
        <xdr:cNvPr id="7" name="Line 10"/>
        <xdr:cNvSpPr>
          <a:spLocks/>
        </xdr:cNvSpPr>
      </xdr:nvSpPr>
      <xdr:spPr>
        <a:xfrm>
          <a:off x="7286625" y="3876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24</xdr:row>
      <xdr:rowOff>76200</xdr:rowOff>
    </xdr:from>
    <xdr:to>
      <xdr:col>6</xdr:col>
      <xdr:colOff>695325</xdr:colOff>
      <xdr:row>24</xdr:row>
      <xdr:rowOff>76200</xdr:rowOff>
    </xdr:to>
    <xdr:sp>
      <xdr:nvSpPr>
        <xdr:cNvPr id="8" name="Line 11"/>
        <xdr:cNvSpPr>
          <a:spLocks/>
        </xdr:cNvSpPr>
      </xdr:nvSpPr>
      <xdr:spPr>
        <a:xfrm>
          <a:off x="7286625" y="4038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</xdr:row>
      <xdr:rowOff>85725</xdr:rowOff>
    </xdr:from>
    <xdr:to>
      <xdr:col>6</xdr:col>
      <xdr:colOff>695325</xdr:colOff>
      <xdr:row>13</xdr:row>
      <xdr:rowOff>85725</xdr:rowOff>
    </xdr:to>
    <xdr:sp>
      <xdr:nvSpPr>
        <xdr:cNvPr id="9" name="Line 16"/>
        <xdr:cNvSpPr>
          <a:spLocks/>
        </xdr:cNvSpPr>
      </xdr:nvSpPr>
      <xdr:spPr>
        <a:xfrm>
          <a:off x="7286625" y="2238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19</xdr:row>
      <xdr:rowOff>76200</xdr:rowOff>
    </xdr:from>
    <xdr:to>
      <xdr:col>6</xdr:col>
      <xdr:colOff>695325</xdr:colOff>
      <xdr:row>19</xdr:row>
      <xdr:rowOff>76200</xdr:rowOff>
    </xdr:to>
    <xdr:sp>
      <xdr:nvSpPr>
        <xdr:cNvPr id="10" name="Line 17"/>
        <xdr:cNvSpPr>
          <a:spLocks/>
        </xdr:cNvSpPr>
      </xdr:nvSpPr>
      <xdr:spPr>
        <a:xfrm>
          <a:off x="7286625" y="3200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20</xdr:row>
      <xdr:rowOff>76200</xdr:rowOff>
    </xdr:from>
    <xdr:to>
      <xdr:col>6</xdr:col>
      <xdr:colOff>695325</xdr:colOff>
      <xdr:row>20</xdr:row>
      <xdr:rowOff>76200</xdr:rowOff>
    </xdr:to>
    <xdr:sp>
      <xdr:nvSpPr>
        <xdr:cNvPr id="11" name="Line 18"/>
        <xdr:cNvSpPr>
          <a:spLocks/>
        </xdr:cNvSpPr>
      </xdr:nvSpPr>
      <xdr:spPr>
        <a:xfrm>
          <a:off x="7286625" y="3362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29</xdr:row>
      <xdr:rowOff>76200</xdr:rowOff>
    </xdr:from>
    <xdr:to>
      <xdr:col>6</xdr:col>
      <xdr:colOff>695325</xdr:colOff>
      <xdr:row>29</xdr:row>
      <xdr:rowOff>76200</xdr:rowOff>
    </xdr:to>
    <xdr:sp>
      <xdr:nvSpPr>
        <xdr:cNvPr id="12" name="Line 19"/>
        <xdr:cNvSpPr>
          <a:spLocks/>
        </xdr:cNvSpPr>
      </xdr:nvSpPr>
      <xdr:spPr>
        <a:xfrm>
          <a:off x="7286625" y="4876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30</xdr:row>
      <xdr:rowOff>104775</xdr:rowOff>
    </xdr:from>
    <xdr:to>
      <xdr:col>6</xdr:col>
      <xdr:colOff>695325</xdr:colOff>
      <xdr:row>30</xdr:row>
      <xdr:rowOff>104775</xdr:rowOff>
    </xdr:to>
    <xdr:sp>
      <xdr:nvSpPr>
        <xdr:cNvPr id="13" name="Line 20"/>
        <xdr:cNvSpPr>
          <a:spLocks/>
        </xdr:cNvSpPr>
      </xdr:nvSpPr>
      <xdr:spPr>
        <a:xfrm>
          <a:off x="7286625" y="506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76200</xdr:rowOff>
    </xdr:from>
    <xdr:to>
      <xdr:col>6</xdr:col>
      <xdr:colOff>695325</xdr:colOff>
      <xdr:row>28</xdr:row>
      <xdr:rowOff>76200</xdr:rowOff>
    </xdr:to>
    <xdr:sp>
      <xdr:nvSpPr>
        <xdr:cNvPr id="14" name="Line 21"/>
        <xdr:cNvSpPr>
          <a:spLocks/>
        </xdr:cNvSpPr>
      </xdr:nvSpPr>
      <xdr:spPr>
        <a:xfrm>
          <a:off x="7286625" y="4714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27</xdr:row>
      <xdr:rowOff>76200</xdr:rowOff>
    </xdr:from>
    <xdr:to>
      <xdr:col>6</xdr:col>
      <xdr:colOff>695325</xdr:colOff>
      <xdr:row>27</xdr:row>
      <xdr:rowOff>76200</xdr:rowOff>
    </xdr:to>
    <xdr:sp>
      <xdr:nvSpPr>
        <xdr:cNvPr id="15" name="Line 22"/>
        <xdr:cNvSpPr>
          <a:spLocks/>
        </xdr:cNvSpPr>
      </xdr:nvSpPr>
      <xdr:spPr>
        <a:xfrm>
          <a:off x="7286625" y="4552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26</xdr:row>
      <xdr:rowOff>76200</xdr:rowOff>
    </xdr:from>
    <xdr:to>
      <xdr:col>6</xdr:col>
      <xdr:colOff>695325</xdr:colOff>
      <xdr:row>26</xdr:row>
      <xdr:rowOff>76200</xdr:rowOff>
    </xdr:to>
    <xdr:sp>
      <xdr:nvSpPr>
        <xdr:cNvPr id="16" name="Line 23"/>
        <xdr:cNvSpPr>
          <a:spLocks/>
        </xdr:cNvSpPr>
      </xdr:nvSpPr>
      <xdr:spPr>
        <a:xfrm>
          <a:off x="7286625" y="4391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21</xdr:row>
      <xdr:rowOff>76200</xdr:rowOff>
    </xdr:from>
    <xdr:to>
      <xdr:col>6</xdr:col>
      <xdr:colOff>695325</xdr:colOff>
      <xdr:row>21</xdr:row>
      <xdr:rowOff>76200</xdr:rowOff>
    </xdr:to>
    <xdr:sp>
      <xdr:nvSpPr>
        <xdr:cNvPr id="17" name="Line 24"/>
        <xdr:cNvSpPr>
          <a:spLocks/>
        </xdr:cNvSpPr>
      </xdr:nvSpPr>
      <xdr:spPr>
        <a:xfrm>
          <a:off x="7286625" y="3524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15</xdr:row>
      <xdr:rowOff>76200</xdr:rowOff>
    </xdr:from>
    <xdr:to>
      <xdr:col>6</xdr:col>
      <xdr:colOff>695325</xdr:colOff>
      <xdr:row>15</xdr:row>
      <xdr:rowOff>76200</xdr:rowOff>
    </xdr:to>
    <xdr:sp>
      <xdr:nvSpPr>
        <xdr:cNvPr id="18" name="Line 25"/>
        <xdr:cNvSpPr>
          <a:spLocks/>
        </xdr:cNvSpPr>
      </xdr:nvSpPr>
      <xdr:spPr>
        <a:xfrm>
          <a:off x="7286625" y="2552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31</xdr:row>
      <xdr:rowOff>104775</xdr:rowOff>
    </xdr:from>
    <xdr:to>
      <xdr:col>6</xdr:col>
      <xdr:colOff>695325</xdr:colOff>
      <xdr:row>31</xdr:row>
      <xdr:rowOff>104775</xdr:rowOff>
    </xdr:to>
    <xdr:sp>
      <xdr:nvSpPr>
        <xdr:cNvPr id="19" name="Line 26"/>
        <xdr:cNvSpPr>
          <a:spLocks/>
        </xdr:cNvSpPr>
      </xdr:nvSpPr>
      <xdr:spPr>
        <a:xfrm>
          <a:off x="7286625" y="5229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33</xdr:row>
      <xdr:rowOff>104775</xdr:rowOff>
    </xdr:from>
    <xdr:to>
      <xdr:col>6</xdr:col>
      <xdr:colOff>695325</xdr:colOff>
      <xdr:row>33</xdr:row>
      <xdr:rowOff>104775</xdr:rowOff>
    </xdr:to>
    <xdr:sp>
      <xdr:nvSpPr>
        <xdr:cNvPr id="20" name="Line 27"/>
        <xdr:cNvSpPr>
          <a:spLocks/>
        </xdr:cNvSpPr>
      </xdr:nvSpPr>
      <xdr:spPr>
        <a:xfrm>
          <a:off x="7286625" y="5581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11</xdr:row>
      <xdr:rowOff>76200</xdr:rowOff>
    </xdr:from>
    <xdr:to>
      <xdr:col>6</xdr:col>
      <xdr:colOff>695325</xdr:colOff>
      <xdr:row>11</xdr:row>
      <xdr:rowOff>76200</xdr:rowOff>
    </xdr:to>
    <xdr:sp>
      <xdr:nvSpPr>
        <xdr:cNvPr id="1" name="Line 1"/>
        <xdr:cNvSpPr>
          <a:spLocks/>
        </xdr:cNvSpPr>
      </xdr:nvSpPr>
      <xdr:spPr>
        <a:xfrm>
          <a:off x="7286625" y="1905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</xdr:row>
      <xdr:rowOff>76200</xdr:rowOff>
    </xdr:from>
    <xdr:to>
      <xdr:col>6</xdr:col>
      <xdr:colOff>695325</xdr:colOff>
      <xdr:row>13</xdr:row>
      <xdr:rowOff>76200</xdr:rowOff>
    </xdr:to>
    <xdr:sp>
      <xdr:nvSpPr>
        <xdr:cNvPr id="2" name="Line 2"/>
        <xdr:cNvSpPr>
          <a:spLocks/>
        </xdr:cNvSpPr>
      </xdr:nvSpPr>
      <xdr:spPr>
        <a:xfrm>
          <a:off x="7286625" y="2228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12</xdr:row>
      <xdr:rowOff>76200</xdr:rowOff>
    </xdr:from>
    <xdr:to>
      <xdr:col>6</xdr:col>
      <xdr:colOff>685800</xdr:colOff>
      <xdr:row>12</xdr:row>
      <xdr:rowOff>76200</xdr:rowOff>
    </xdr:to>
    <xdr:sp>
      <xdr:nvSpPr>
        <xdr:cNvPr id="3" name="Line 3"/>
        <xdr:cNvSpPr>
          <a:spLocks/>
        </xdr:cNvSpPr>
      </xdr:nvSpPr>
      <xdr:spPr>
        <a:xfrm>
          <a:off x="7277100" y="2066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15</xdr:row>
      <xdr:rowOff>76200</xdr:rowOff>
    </xdr:from>
    <xdr:to>
      <xdr:col>6</xdr:col>
      <xdr:colOff>695325</xdr:colOff>
      <xdr:row>15</xdr:row>
      <xdr:rowOff>76200</xdr:rowOff>
    </xdr:to>
    <xdr:sp>
      <xdr:nvSpPr>
        <xdr:cNvPr id="4" name="Line 7"/>
        <xdr:cNvSpPr>
          <a:spLocks/>
        </xdr:cNvSpPr>
      </xdr:nvSpPr>
      <xdr:spPr>
        <a:xfrm>
          <a:off x="7286625" y="2581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17</xdr:row>
      <xdr:rowOff>76200</xdr:rowOff>
    </xdr:from>
    <xdr:to>
      <xdr:col>6</xdr:col>
      <xdr:colOff>695325</xdr:colOff>
      <xdr:row>17</xdr:row>
      <xdr:rowOff>76200</xdr:rowOff>
    </xdr:to>
    <xdr:sp>
      <xdr:nvSpPr>
        <xdr:cNvPr id="5" name="Line 9"/>
        <xdr:cNvSpPr>
          <a:spLocks/>
        </xdr:cNvSpPr>
      </xdr:nvSpPr>
      <xdr:spPr>
        <a:xfrm>
          <a:off x="7286625" y="2933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20</xdr:row>
      <xdr:rowOff>114300</xdr:rowOff>
    </xdr:from>
    <xdr:to>
      <xdr:col>6</xdr:col>
      <xdr:colOff>704850</xdr:colOff>
      <xdr:row>20</xdr:row>
      <xdr:rowOff>114300</xdr:rowOff>
    </xdr:to>
    <xdr:sp>
      <xdr:nvSpPr>
        <xdr:cNvPr id="6" name="Line 10"/>
        <xdr:cNvSpPr>
          <a:spLocks/>
        </xdr:cNvSpPr>
      </xdr:nvSpPr>
      <xdr:spPr>
        <a:xfrm>
          <a:off x="7296150" y="3486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18</xdr:row>
      <xdr:rowOff>76200</xdr:rowOff>
    </xdr:from>
    <xdr:to>
      <xdr:col>6</xdr:col>
      <xdr:colOff>695325</xdr:colOff>
      <xdr:row>18</xdr:row>
      <xdr:rowOff>76200</xdr:rowOff>
    </xdr:to>
    <xdr:sp>
      <xdr:nvSpPr>
        <xdr:cNvPr id="7" name="Line 11"/>
        <xdr:cNvSpPr>
          <a:spLocks/>
        </xdr:cNvSpPr>
      </xdr:nvSpPr>
      <xdr:spPr>
        <a:xfrm>
          <a:off x="7286625" y="3095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3"/>
  <sheetViews>
    <sheetView showGridLines="0" zoomScalePageLayoutView="0" workbookViewId="0" topLeftCell="A1">
      <selection activeCell="H46" sqref="H46"/>
    </sheetView>
  </sheetViews>
  <sheetFormatPr defaultColWidth="9.140625" defaultRowHeight="12.75"/>
  <cols>
    <col min="2" max="2" width="80.7109375" style="0" customWidth="1"/>
    <col min="3" max="5" width="12.7109375" style="0" customWidth="1"/>
    <col min="7" max="7" width="9.7109375" style="0" bestFit="1" customWidth="1"/>
  </cols>
  <sheetData>
    <row r="2" spans="2:5" ht="12.75">
      <c r="B2" s="585" t="s">
        <v>173</v>
      </c>
      <c r="C2" s="585"/>
      <c r="D2" s="585"/>
      <c r="E2" s="585"/>
    </row>
    <row r="3" spans="2:5" ht="12.75">
      <c r="B3" s="585" t="s">
        <v>186</v>
      </c>
      <c r="C3" s="585"/>
      <c r="D3" s="585"/>
      <c r="E3" s="585"/>
    </row>
    <row r="4" spans="2:5" ht="12.75">
      <c r="B4" s="585" t="s">
        <v>137</v>
      </c>
      <c r="C4" s="585"/>
      <c r="D4" s="585"/>
      <c r="E4" s="585"/>
    </row>
    <row r="5" spans="2:5" ht="12.75">
      <c r="B5" s="586"/>
      <c r="C5" s="586"/>
      <c r="D5" s="586"/>
      <c r="E5" s="586"/>
    </row>
    <row r="6" spans="2:5" ht="12.75">
      <c r="B6" s="585" t="s">
        <v>236</v>
      </c>
      <c r="C6" s="585"/>
      <c r="D6" s="585"/>
      <c r="E6" s="585"/>
    </row>
    <row r="7" spans="2:5" ht="12.75">
      <c r="B7" s="586" t="s">
        <v>132</v>
      </c>
      <c r="C7" s="586"/>
      <c r="D7" s="586"/>
      <c r="E7" s="586"/>
    </row>
    <row r="8" spans="2:5" ht="13.5" thickBot="1">
      <c r="B8" s="1"/>
      <c r="C8" s="1"/>
      <c r="D8" s="1"/>
      <c r="E8" s="1"/>
    </row>
    <row r="9" spans="2:5" ht="13.5" thickTop="1">
      <c r="B9" s="582" t="s">
        <v>133</v>
      </c>
      <c r="C9" s="579" t="s">
        <v>134</v>
      </c>
      <c r="D9" s="579" t="s">
        <v>138</v>
      </c>
      <c r="E9" s="579" t="s">
        <v>135</v>
      </c>
    </row>
    <row r="10" spans="2:5" ht="12.75" customHeight="1">
      <c r="B10" s="583"/>
      <c r="C10" s="580"/>
      <c r="D10" s="580"/>
      <c r="E10" s="580"/>
    </row>
    <row r="11" spans="2:5" ht="13.5" thickBot="1">
      <c r="B11" s="584"/>
      <c r="C11" s="581"/>
      <c r="D11" s="581"/>
      <c r="E11" s="581"/>
    </row>
    <row r="12" spans="2:5" ht="12.75" customHeight="1" thickBot="1" thickTop="1">
      <c r="B12" s="33" t="s">
        <v>167</v>
      </c>
      <c r="C12" s="3">
        <f>+C13+C25+C32+C43</f>
        <v>23230000</v>
      </c>
      <c r="D12" s="3">
        <f>+D13+D25+D32+D43</f>
        <v>0</v>
      </c>
      <c r="E12" s="3">
        <f>+E13+E25+E32+E43</f>
        <v>23230000</v>
      </c>
    </row>
    <row r="13" spans="2:5" ht="12.75" customHeight="1" thickBot="1" thickTop="1">
      <c r="B13" s="34" t="s">
        <v>709</v>
      </c>
      <c r="C13" s="14">
        <f>SUM(C14:C24)</f>
        <v>11620000</v>
      </c>
      <c r="D13" s="14">
        <f>SUM(D14:D24)</f>
        <v>0</v>
      </c>
      <c r="E13" s="14">
        <f>SUM(E14:E24)</f>
        <v>11620000</v>
      </c>
    </row>
    <row r="14" spans="2:5" ht="25.5" customHeight="1">
      <c r="B14" s="6" t="s">
        <v>695</v>
      </c>
      <c r="C14" s="4">
        <f>3600000</f>
        <v>3600000</v>
      </c>
      <c r="D14" s="4">
        <f>0</f>
        <v>0</v>
      </c>
      <c r="E14" s="17">
        <f>+C14+D14</f>
        <v>3600000</v>
      </c>
    </row>
    <row r="15" spans="2:5" ht="33.75" customHeight="1">
      <c r="B15" s="7" t="s">
        <v>139</v>
      </c>
      <c r="C15" s="5">
        <f>1000000</f>
        <v>1000000</v>
      </c>
      <c r="D15" s="5">
        <f>0</f>
        <v>0</v>
      </c>
      <c r="E15" s="5">
        <f aca="true" t="shared" si="0" ref="E15:E24">+C15+D15</f>
        <v>1000000</v>
      </c>
    </row>
    <row r="16" spans="2:5" ht="38.25" customHeight="1">
      <c r="B16" s="21" t="s">
        <v>140</v>
      </c>
      <c r="C16" s="18">
        <f>2720000</f>
        <v>2720000</v>
      </c>
      <c r="D16" s="18">
        <f>0</f>
        <v>0</v>
      </c>
      <c r="E16" s="5">
        <f t="shared" si="0"/>
        <v>2720000</v>
      </c>
    </row>
    <row r="17" spans="2:5" ht="25.5" customHeight="1">
      <c r="B17" s="7" t="s">
        <v>359</v>
      </c>
      <c r="C17" s="5">
        <f>500000</f>
        <v>500000</v>
      </c>
      <c r="D17" s="5">
        <f>0</f>
        <v>0</v>
      </c>
      <c r="E17" s="5">
        <f t="shared" si="0"/>
        <v>500000</v>
      </c>
    </row>
    <row r="18" spans="2:5" ht="25.5" customHeight="1">
      <c r="B18" s="7" t="s">
        <v>141</v>
      </c>
      <c r="C18" s="5">
        <f>300000</f>
        <v>300000</v>
      </c>
      <c r="D18" s="5">
        <f>0</f>
        <v>0</v>
      </c>
      <c r="E18" s="5">
        <f t="shared" si="0"/>
        <v>300000</v>
      </c>
    </row>
    <row r="19" spans="2:5" ht="25.5" customHeight="1">
      <c r="B19" s="7" t="s">
        <v>696</v>
      </c>
      <c r="C19" s="5">
        <f>1400000</f>
        <v>1400000</v>
      </c>
      <c r="D19" s="5">
        <f>0</f>
        <v>0</v>
      </c>
      <c r="E19" s="5">
        <f t="shared" si="0"/>
        <v>1400000</v>
      </c>
    </row>
    <row r="20" spans="2:5" ht="12.75" customHeight="1">
      <c r="B20" s="7" t="s">
        <v>697</v>
      </c>
      <c r="C20" s="5">
        <f>1100000</f>
        <v>1100000</v>
      </c>
      <c r="D20" s="5">
        <f>0</f>
        <v>0</v>
      </c>
      <c r="E20" s="5">
        <f t="shared" si="0"/>
        <v>1100000</v>
      </c>
    </row>
    <row r="21" spans="2:5" ht="12.75" customHeight="1">
      <c r="B21" s="7" t="s">
        <v>143</v>
      </c>
      <c r="C21" s="5">
        <f>100000</f>
        <v>100000</v>
      </c>
      <c r="D21" s="5">
        <f>0</f>
        <v>0</v>
      </c>
      <c r="E21" s="5">
        <f t="shared" si="0"/>
        <v>100000</v>
      </c>
    </row>
    <row r="22" spans="2:5" ht="12.75" customHeight="1">
      <c r="B22" s="7" t="s">
        <v>144</v>
      </c>
      <c r="C22" s="5">
        <f>250000</f>
        <v>250000</v>
      </c>
      <c r="D22" s="5">
        <f>0</f>
        <v>0</v>
      </c>
      <c r="E22" s="5">
        <f t="shared" si="0"/>
        <v>250000</v>
      </c>
    </row>
    <row r="23" spans="2:5" ht="25.5" customHeight="1">
      <c r="B23" s="7" t="s">
        <v>145</v>
      </c>
      <c r="C23" s="5">
        <f>300000</f>
        <v>300000</v>
      </c>
      <c r="D23" s="5">
        <f>0</f>
        <v>0</v>
      </c>
      <c r="E23" s="5">
        <f t="shared" si="0"/>
        <v>300000</v>
      </c>
    </row>
    <row r="24" spans="2:5" ht="12.75" customHeight="1" thickBot="1">
      <c r="B24" s="7" t="s">
        <v>146</v>
      </c>
      <c r="C24" s="5">
        <f>350000</f>
        <v>350000</v>
      </c>
      <c r="D24" s="5">
        <f>0</f>
        <v>0</v>
      </c>
      <c r="E24" s="5">
        <f t="shared" si="0"/>
        <v>350000</v>
      </c>
    </row>
    <row r="25" spans="2:5" ht="12.75" customHeight="1" thickBot="1">
      <c r="B25" s="16" t="s">
        <v>708</v>
      </c>
      <c r="C25" s="15">
        <f>SUM(C26:C31)</f>
        <v>1900000</v>
      </c>
      <c r="D25" s="15">
        <f>SUM(D26:D31)</f>
        <v>0</v>
      </c>
      <c r="E25" s="28">
        <f>SUM(E26:E31)</f>
        <v>1900000</v>
      </c>
    </row>
    <row r="26" spans="2:5" ht="12.75" customHeight="1">
      <c r="B26" s="9" t="s">
        <v>694</v>
      </c>
      <c r="C26" s="4">
        <f>50000</f>
        <v>50000</v>
      </c>
      <c r="D26" s="4">
        <f>0</f>
        <v>0</v>
      </c>
      <c r="E26" s="17">
        <f aca="true" t="shared" si="1" ref="E26:E31">+C26+D26</f>
        <v>50000</v>
      </c>
    </row>
    <row r="27" spans="2:5" ht="25.5" customHeight="1">
      <c r="B27" s="10" t="s">
        <v>148</v>
      </c>
      <c r="C27" s="5">
        <f>50000</f>
        <v>50000</v>
      </c>
      <c r="D27" s="5">
        <f>0</f>
        <v>0</v>
      </c>
      <c r="E27" s="5">
        <f t="shared" si="1"/>
        <v>50000</v>
      </c>
    </row>
    <row r="28" spans="2:5" ht="38.25" customHeight="1">
      <c r="B28" s="10" t="s">
        <v>698</v>
      </c>
      <c r="C28" s="5">
        <f>600000</f>
        <v>600000</v>
      </c>
      <c r="D28" s="5">
        <f>0</f>
        <v>0</v>
      </c>
      <c r="E28" s="5">
        <f t="shared" si="1"/>
        <v>600000</v>
      </c>
    </row>
    <row r="29" spans="2:5" ht="21.75" customHeight="1">
      <c r="B29" s="11" t="s">
        <v>699</v>
      </c>
      <c r="C29" s="5">
        <f>100000</f>
        <v>100000</v>
      </c>
      <c r="D29" s="5">
        <f>0</f>
        <v>0</v>
      </c>
      <c r="E29" s="5">
        <f t="shared" si="1"/>
        <v>100000</v>
      </c>
    </row>
    <row r="30" spans="2:17" ht="12" customHeight="1">
      <c r="B30" s="10" t="s">
        <v>721</v>
      </c>
      <c r="C30" s="5">
        <v>800000</v>
      </c>
      <c r="D30" s="5">
        <f>0</f>
        <v>0</v>
      </c>
      <c r="E30" s="5">
        <f t="shared" si="1"/>
        <v>800000</v>
      </c>
      <c r="Q30" s="552"/>
    </row>
    <row r="31" spans="2:5" ht="12.75" customHeight="1" thickBot="1">
      <c r="B31" s="12" t="s">
        <v>701</v>
      </c>
      <c r="C31" s="4">
        <f>300000</f>
        <v>300000</v>
      </c>
      <c r="D31" s="4">
        <f>0</f>
        <v>0</v>
      </c>
      <c r="E31" s="27">
        <f t="shared" si="1"/>
        <v>300000</v>
      </c>
    </row>
    <row r="32" spans="2:5" ht="12.75" customHeight="1" thickBot="1">
      <c r="B32" s="16" t="s">
        <v>707</v>
      </c>
      <c r="C32" s="15">
        <f>SUM(C33:C42)</f>
        <v>3180000</v>
      </c>
      <c r="D32" s="15">
        <f>SUM(D33:D42)</f>
        <v>0</v>
      </c>
      <c r="E32" s="15">
        <f>SUM(E33:E42)</f>
        <v>3180000</v>
      </c>
    </row>
    <row r="33" spans="2:5" ht="12.75" customHeight="1">
      <c r="B33" s="12" t="s">
        <v>150</v>
      </c>
      <c r="C33" s="4">
        <f>700000</f>
        <v>700000</v>
      </c>
      <c r="D33" s="4">
        <f>0</f>
        <v>0</v>
      </c>
      <c r="E33" s="17">
        <f aca="true" t="shared" si="2" ref="E33:E42">+C33+D33</f>
        <v>700000</v>
      </c>
    </row>
    <row r="34" spans="2:5" ht="12.75" customHeight="1">
      <c r="B34" s="12" t="s">
        <v>151</v>
      </c>
      <c r="C34" s="5">
        <f>400000</f>
        <v>400000</v>
      </c>
      <c r="D34" s="5">
        <f>0</f>
        <v>0</v>
      </c>
      <c r="E34" s="5">
        <f t="shared" si="2"/>
        <v>400000</v>
      </c>
    </row>
    <row r="35" spans="2:5" ht="24.75" customHeight="1">
      <c r="B35" s="10" t="s">
        <v>702</v>
      </c>
      <c r="C35" s="5">
        <f>30000</f>
        <v>30000</v>
      </c>
      <c r="D35" s="5">
        <f>0</f>
        <v>0</v>
      </c>
      <c r="E35" s="5">
        <f t="shared" si="2"/>
        <v>30000</v>
      </c>
    </row>
    <row r="36" spans="2:5" ht="36.75" customHeight="1">
      <c r="B36" s="10" t="s">
        <v>705</v>
      </c>
      <c r="C36" s="5">
        <f>70000</f>
        <v>70000</v>
      </c>
      <c r="D36" s="5">
        <f>0</f>
        <v>0</v>
      </c>
      <c r="E36" s="5">
        <f t="shared" si="2"/>
        <v>70000</v>
      </c>
    </row>
    <row r="37" spans="2:5" ht="12.75" customHeight="1">
      <c r="B37" s="10" t="s">
        <v>668</v>
      </c>
      <c r="C37" s="5">
        <f>30000</f>
        <v>30000</v>
      </c>
      <c r="D37" s="5">
        <f>0</f>
        <v>0</v>
      </c>
      <c r="E37" s="5">
        <f t="shared" si="2"/>
        <v>30000</v>
      </c>
    </row>
    <row r="38" spans="2:5" ht="23.25" customHeight="1">
      <c r="B38" s="10" t="s">
        <v>703</v>
      </c>
      <c r="C38" s="5">
        <f>100000</f>
        <v>100000</v>
      </c>
      <c r="D38" s="5">
        <f>0</f>
        <v>0</v>
      </c>
      <c r="E38" s="5">
        <f t="shared" si="2"/>
        <v>100000</v>
      </c>
    </row>
    <row r="39" spans="2:5" ht="12.75" customHeight="1">
      <c r="B39" s="10" t="s">
        <v>154</v>
      </c>
      <c r="C39" s="5">
        <f>500000</f>
        <v>500000</v>
      </c>
      <c r="D39" s="5">
        <f>0</f>
        <v>0</v>
      </c>
      <c r="E39" s="5">
        <f t="shared" si="2"/>
        <v>500000</v>
      </c>
    </row>
    <row r="40" spans="2:5" ht="12.75" customHeight="1">
      <c r="B40" s="10" t="s">
        <v>704</v>
      </c>
      <c r="C40" s="5">
        <f>250000</f>
        <v>250000</v>
      </c>
      <c r="D40" s="5">
        <f>0</f>
        <v>0</v>
      </c>
      <c r="E40" s="5">
        <f t="shared" si="2"/>
        <v>250000</v>
      </c>
    </row>
    <row r="41" spans="2:5" ht="25.5" customHeight="1">
      <c r="B41" s="10" t="s">
        <v>156</v>
      </c>
      <c r="C41" s="5">
        <f>100000</f>
        <v>100000</v>
      </c>
      <c r="D41" s="5">
        <f>0</f>
        <v>0</v>
      </c>
      <c r="E41" s="5">
        <f t="shared" si="2"/>
        <v>100000</v>
      </c>
    </row>
    <row r="42" spans="2:5" ht="12.75" customHeight="1" thickBot="1">
      <c r="B42" s="10" t="s">
        <v>157</v>
      </c>
      <c r="C42" s="5">
        <f>1000000</f>
        <v>1000000</v>
      </c>
      <c r="D42" s="5">
        <f>0</f>
        <v>0</v>
      </c>
      <c r="E42" s="27">
        <f t="shared" si="2"/>
        <v>1000000</v>
      </c>
    </row>
    <row r="43" spans="2:5" ht="12.75" customHeight="1" thickBot="1">
      <c r="B43" s="16" t="s">
        <v>706</v>
      </c>
      <c r="C43" s="15">
        <f>SUM(C44:C57)</f>
        <v>6530000</v>
      </c>
      <c r="D43" s="15">
        <f>SUM(D44:D57)</f>
        <v>0</v>
      </c>
      <c r="E43" s="15">
        <f>SUM(E44:E57)</f>
        <v>6530000</v>
      </c>
    </row>
    <row r="44" spans="2:5" ht="12.75" customHeight="1">
      <c r="B44" s="35" t="s">
        <v>732</v>
      </c>
      <c r="C44" s="17">
        <f>60000</f>
        <v>60000</v>
      </c>
      <c r="D44" s="17">
        <f>0</f>
        <v>0</v>
      </c>
      <c r="E44" s="17">
        <f aca="true" t="shared" si="3" ref="E44:E57">+C44+D44</f>
        <v>60000</v>
      </c>
    </row>
    <row r="45" spans="2:5" ht="12.75" customHeight="1">
      <c r="B45" s="12" t="s">
        <v>722</v>
      </c>
      <c r="C45" s="5">
        <f>250000</f>
        <v>250000</v>
      </c>
      <c r="D45" s="5">
        <f>0</f>
        <v>0</v>
      </c>
      <c r="E45" s="5">
        <f t="shared" si="3"/>
        <v>250000</v>
      </c>
    </row>
    <row r="46" spans="2:5" ht="12.75" customHeight="1">
      <c r="B46" s="12" t="s">
        <v>723</v>
      </c>
      <c r="C46" s="5">
        <f>130000</f>
        <v>130000</v>
      </c>
      <c r="D46" s="5">
        <f>0</f>
        <v>0</v>
      </c>
      <c r="E46" s="5">
        <f t="shared" si="3"/>
        <v>130000</v>
      </c>
    </row>
    <row r="47" spans="2:7" ht="12.75" customHeight="1">
      <c r="B47" s="12" t="s">
        <v>724</v>
      </c>
      <c r="C47" s="5">
        <v>2265600</v>
      </c>
      <c r="D47" s="5">
        <f>0</f>
        <v>0</v>
      </c>
      <c r="E47" s="5">
        <f t="shared" si="3"/>
        <v>2265600</v>
      </c>
      <c r="G47" s="207"/>
    </row>
    <row r="48" spans="2:5" ht="22.5" customHeight="1">
      <c r="B48" s="10" t="s">
        <v>725</v>
      </c>
      <c r="C48" s="5">
        <f>25000</f>
        <v>25000</v>
      </c>
      <c r="D48" s="5">
        <f>0</f>
        <v>0</v>
      </c>
      <c r="E48" s="5">
        <f t="shared" si="3"/>
        <v>25000</v>
      </c>
    </row>
    <row r="49" spans="2:5" ht="12.75" customHeight="1">
      <c r="B49" s="12" t="s">
        <v>726</v>
      </c>
      <c r="C49" s="5">
        <f>70000</f>
        <v>70000</v>
      </c>
      <c r="D49" s="5">
        <f>0</f>
        <v>0</v>
      </c>
      <c r="E49" s="5">
        <f t="shared" si="3"/>
        <v>70000</v>
      </c>
    </row>
    <row r="50" spans="2:5" ht="12.75" customHeight="1">
      <c r="B50" s="12" t="s">
        <v>162</v>
      </c>
      <c r="C50" s="5">
        <f>100000</f>
        <v>100000</v>
      </c>
      <c r="D50" s="5">
        <f>0</f>
        <v>0</v>
      </c>
      <c r="E50" s="5">
        <f t="shared" si="3"/>
        <v>100000</v>
      </c>
    </row>
    <row r="51" spans="2:5" ht="12.75" customHeight="1">
      <c r="B51" s="12" t="s">
        <v>727</v>
      </c>
      <c r="C51" s="5">
        <f>40000</f>
        <v>40000</v>
      </c>
      <c r="D51" s="5">
        <f>0</f>
        <v>0</v>
      </c>
      <c r="E51" s="5">
        <f t="shared" si="3"/>
        <v>40000</v>
      </c>
    </row>
    <row r="52" spans="2:5" ht="12.75" customHeight="1">
      <c r="B52" s="12" t="s">
        <v>164</v>
      </c>
      <c r="C52" s="5">
        <f>280000</f>
        <v>280000</v>
      </c>
      <c r="D52" s="5">
        <f>0</f>
        <v>0</v>
      </c>
      <c r="E52" s="5">
        <f t="shared" si="3"/>
        <v>280000</v>
      </c>
    </row>
    <row r="53" spans="2:5" ht="12.75" customHeight="1">
      <c r="B53" s="12" t="s">
        <v>728</v>
      </c>
      <c r="C53" s="5">
        <f>185000</f>
        <v>185000</v>
      </c>
      <c r="D53" s="5">
        <f>0</f>
        <v>0</v>
      </c>
      <c r="E53" s="5">
        <f t="shared" si="3"/>
        <v>185000</v>
      </c>
    </row>
    <row r="54" spans="2:5" ht="12.75" customHeight="1">
      <c r="B54" s="12" t="s">
        <v>729</v>
      </c>
      <c r="C54" s="5">
        <f>1647200+60000</f>
        <v>1707200</v>
      </c>
      <c r="D54" s="5">
        <f>0</f>
        <v>0</v>
      </c>
      <c r="E54" s="5">
        <f t="shared" si="3"/>
        <v>1707200</v>
      </c>
    </row>
    <row r="55" spans="2:5" ht="12.75" customHeight="1">
      <c r="B55" s="12" t="s">
        <v>731</v>
      </c>
      <c r="C55" s="5">
        <f>250000</f>
        <v>250000</v>
      </c>
      <c r="D55" s="5">
        <f>0</f>
        <v>0</v>
      </c>
      <c r="E55" s="5">
        <f t="shared" si="3"/>
        <v>250000</v>
      </c>
    </row>
    <row r="56" spans="2:5" ht="12.75" customHeight="1">
      <c r="B56" s="12" t="s">
        <v>730</v>
      </c>
      <c r="C56" s="5">
        <f>1067200</f>
        <v>1067200</v>
      </c>
      <c r="D56" s="5">
        <f>0</f>
        <v>0</v>
      </c>
      <c r="E56" s="5">
        <f t="shared" si="3"/>
        <v>1067200</v>
      </c>
    </row>
    <row r="57" spans="2:5" ht="12.75" customHeight="1" thickBot="1">
      <c r="B57" s="12" t="s">
        <v>637</v>
      </c>
      <c r="C57" s="18">
        <f>100000</f>
        <v>100000</v>
      </c>
      <c r="D57" s="18">
        <f>0</f>
        <v>0</v>
      </c>
      <c r="E57" s="18">
        <f t="shared" si="3"/>
        <v>100000</v>
      </c>
    </row>
    <row r="58" spans="2:5" ht="12.75" customHeight="1" thickBot="1" thickTop="1">
      <c r="B58" s="24" t="s">
        <v>166</v>
      </c>
      <c r="C58" s="2">
        <f>+C59+C69+C71</f>
        <v>1770000</v>
      </c>
      <c r="D58" s="2">
        <f>+D59+D69+D71</f>
        <v>0</v>
      </c>
      <c r="E58" s="2">
        <f>+E59+E69+E71</f>
        <v>1770000</v>
      </c>
    </row>
    <row r="59" spans="2:5" ht="12.75" customHeight="1" thickBot="1" thickTop="1">
      <c r="B59" s="25" t="s">
        <v>168</v>
      </c>
      <c r="C59" s="26">
        <f>+C60+C64+C68</f>
        <v>1200000</v>
      </c>
      <c r="D59" s="26">
        <f>+D60+D64+D68</f>
        <v>0</v>
      </c>
      <c r="E59" s="26">
        <f>+E60+E64+E68</f>
        <v>1200000</v>
      </c>
    </row>
    <row r="60" spans="2:5" ht="12.75" customHeight="1">
      <c r="B60" s="36" t="s">
        <v>198</v>
      </c>
      <c r="C60" s="63">
        <f>SUM(C61:C63)</f>
        <v>1008000</v>
      </c>
      <c r="D60" s="63">
        <f>SUM(D61:D63)</f>
        <v>0</v>
      </c>
      <c r="E60" s="64">
        <f>SUM(E61:E63)</f>
        <v>1008000</v>
      </c>
    </row>
    <row r="61" spans="2:5" ht="12.75" customHeight="1">
      <c r="B61" s="60" t="s">
        <v>196</v>
      </c>
      <c r="C61" s="61">
        <f>+'ADMINIST.SAL.'!G11</f>
        <v>330000</v>
      </c>
      <c r="D61" s="61">
        <f>0</f>
        <v>0</v>
      </c>
      <c r="E61" s="62">
        <f>+C61+D61</f>
        <v>330000</v>
      </c>
    </row>
    <row r="62" spans="2:5" ht="12.75" customHeight="1">
      <c r="B62" s="37" t="s">
        <v>199</v>
      </c>
      <c r="C62" s="8">
        <f>+'ADMINIST.SAL.'!G14</f>
        <v>408000</v>
      </c>
      <c r="D62" s="8">
        <f>0</f>
        <v>0</v>
      </c>
      <c r="E62" s="5">
        <f>+C62+D62</f>
        <v>408000</v>
      </c>
    </row>
    <row r="63" spans="2:5" ht="12.75" customHeight="1">
      <c r="B63" s="37" t="s">
        <v>197</v>
      </c>
      <c r="C63" s="8">
        <f>+'ADMINIST.SAL.'!G19</f>
        <v>270000</v>
      </c>
      <c r="D63" s="8">
        <f>0</f>
        <v>0</v>
      </c>
      <c r="E63" s="5">
        <f>+C63+D63</f>
        <v>270000</v>
      </c>
    </row>
    <row r="64" spans="2:5" ht="12.75" customHeight="1">
      <c r="B64" s="37" t="s">
        <v>200</v>
      </c>
      <c r="C64" s="65">
        <f>SUM(C65:C67)</f>
        <v>102800</v>
      </c>
      <c r="D64" s="65">
        <f>SUM(D65:D67)</f>
        <v>0</v>
      </c>
      <c r="E64" s="66">
        <f>SUM(E65:E67)</f>
        <v>102800</v>
      </c>
    </row>
    <row r="65" spans="2:5" ht="12.75" customHeight="1">
      <c r="B65" s="37" t="s">
        <v>234</v>
      </c>
      <c r="C65" s="8">
        <f>+'ADMINIST.EQUIP.'!E11+'ADMINIST.EQUIP.'!E23</f>
        <v>58800</v>
      </c>
      <c r="D65" s="8">
        <f>0</f>
        <v>0</v>
      </c>
      <c r="E65" s="5">
        <f>+C65+D65</f>
        <v>58800</v>
      </c>
    </row>
    <row r="66" spans="2:5" ht="12.75" customHeight="1">
      <c r="B66" s="37" t="s">
        <v>201</v>
      </c>
      <c r="C66" s="8">
        <f>+'ADMINIST.EQUIP.'!E26</f>
        <v>17000</v>
      </c>
      <c r="D66" s="8">
        <f>0</f>
        <v>0</v>
      </c>
      <c r="E66" s="5">
        <f>+C66+D66</f>
        <v>17000</v>
      </c>
    </row>
    <row r="67" spans="2:5" ht="12.75" customHeight="1">
      <c r="B67" s="37" t="s">
        <v>202</v>
      </c>
      <c r="C67" s="8">
        <f>+'ADMINIST.EQUIP.'!E33</f>
        <v>27000</v>
      </c>
      <c r="D67" s="8">
        <f>0</f>
        <v>0</v>
      </c>
      <c r="E67" s="5">
        <f>+C67+D67</f>
        <v>27000</v>
      </c>
    </row>
    <row r="68" spans="2:5" ht="12.75" customHeight="1" thickBot="1">
      <c r="B68" s="37" t="s">
        <v>203</v>
      </c>
      <c r="C68" s="65">
        <f>+'ADMINIST.OPER.'!E22</f>
        <v>89200</v>
      </c>
      <c r="D68" s="65">
        <f>0</f>
        <v>0</v>
      </c>
      <c r="E68" s="66">
        <f>+C68+D68</f>
        <v>89200</v>
      </c>
    </row>
    <row r="69" spans="2:5" ht="12.75" customHeight="1" thickBot="1">
      <c r="B69" s="29" t="s">
        <v>169</v>
      </c>
      <c r="C69" s="15">
        <f>SUM(C70)</f>
        <v>130000</v>
      </c>
      <c r="D69" s="15">
        <f>SUM(D70)</f>
        <v>0</v>
      </c>
      <c r="E69" s="15">
        <f>SUM(E70)</f>
        <v>130000</v>
      </c>
    </row>
    <row r="70" spans="2:5" ht="12.75" customHeight="1" thickBot="1">
      <c r="B70" s="38" t="s">
        <v>170</v>
      </c>
      <c r="C70" s="22">
        <f>130000</f>
        <v>130000</v>
      </c>
      <c r="D70" s="22">
        <f>0</f>
        <v>0</v>
      </c>
      <c r="E70" s="22">
        <f>+C70+D70</f>
        <v>130000</v>
      </c>
    </row>
    <row r="71" spans="2:5" ht="12.75" customHeight="1" thickBot="1">
      <c r="B71" s="16" t="s">
        <v>171</v>
      </c>
      <c r="C71" s="30">
        <f>+C72+C76</f>
        <v>440000</v>
      </c>
      <c r="D71" s="30">
        <f>+D72+D76</f>
        <v>0</v>
      </c>
      <c r="E71" s="30">
        <f>+E72+E76</f>
        <v>440000</v>
      </c>
    </row>
    <row r="72" spans="2:5" ht="12.75" customHeight="1">
      <c r="B72" s="36" t="s">
        <v>646</v>
      </c>
      <c r="C72" s="63">
        <f>SUM(C73:C75)</f>
        <v>90000</v>
      </c>
      <c r="D72" s="63">
        <f>SUM(D73:D75)</f>
        <v>0</v>
      </c>
      <c r="E72" s="63">
        <f>SUM(E73:E75)</f>
        <v>90000</v>
      </c>
    </row>
    <row r="73" spans="2:5" ht="12.75" customHeight="1">
      <c r="B73" s="37" t="s">
        <v>647</v>
      </c>
      <c r="C73" s="8">
        <f>20000</f>
        <v>20000</v>
      </c>
      <c r="D73" s="8">
        <f>0</f>
        <v>0</v>
      </c>
      <c r="E73" s="5">
        <f>+C73+D73</f>
        <v>20000</v>
      </c>
    </row>
    <row r="74" spans="2:5" ht="12.75" customHeight="1">
      <c r="B74" s="37" t="s">
        <v>648</v>
      </c>
      <c r="C74" s="8">
        <f>30000</f>
        <v>30000</v>
      </c>
      <c r="D74" s="8">
        <f>0</f>
        <v>0</v>
      </c>
      <c r="E74" s="5">
        <f>+C74+D74</f>
        <v>30000</v>
      </c>
    </row>
    <row r="75" spans="2:5" ht="12.75" customHeight="1">
      <c r="B75" s="37" t="s">
        <v>649</v>
      </c>
      <c r="C75" s="8">
        <f>40000</f>
        <v>40000</v>
      </c>
      <c r="D75" s="8">
        <f>0</f>
        <v>0</v>
      </c>
      <c r="E75" s="5">
        <f>+C75+D75</f>
        <v>40000</v>
      </c>
    </row>
    <row r="76" spans="2:5" ht="12.75" customHeight="1">
      <c r="B76" s="37" t="s">
        <v>650</v>
      </c>
      <c r="C76" s="65">
        <f>SUM(C77:C78)</f>
        <v>350000</v>
      </c>
      <c r="D76" s="65">
        <f>SUM(D77:D78)</f>
        <v>0</v>
      </c>
      <c r="E76" s="65">
        <f>SUM(E77:E78)</f>
        <v>350000</v>
      </c>
    </row>
    <row r="77" spans="2:5" ht="12.75" customHeight="1">
      <c r="B77" s="38" t="s">
        <v>651</v>
      </c>
      <c r="C77" s="22">
        <f>150000</f>
        <v>150000</v>
      </c>
      <c r="D77" s="22">
        <f>0</f>
        <v>0</v>
      </c>
      <c r="E77" s="5">
        <f>+C77+D77</f>
        <v>150000</v>
      </c>
    </row>
    <row r="78" spans="2:5" ht="12.75" customHeight="1" thickBot="1">
      <c r="B78" s="541" t="s">
        <v>652</v>
      </c>
      <c r="C78" s="540">
        <f>200000</f>
        <v>200000</v>
      </c>
      <c r="D78" s="540">
        <f>0</f>
        <v>0</v>
      </c>
      <c r="E78" s="5">
        <f>+C78+D78</f>
        <v>200000</v>
      </c>
    </row>
    <row r="79" spans="2:5" ht="12.75" customHeight="1" thickBot="1" thickTop="1">
      <c r="B79" s="13" t="s">
        <v>172</v>
      </c>
      <c r="C79" s="2">
        <f>0</f>
        <v>0</v>
      </c>
      <c r="D79" s="2">
        <f>0</f>
        <v>0</v>
      </c>
      <c r="E79" s="2">
        <f>0</f>
        <v>0</v>
      </c>
    </row>
    <row r="80" spans="2:5" ht="12.75" customHeight="1" thickBot="1" thickTop="1">
      <c r="B80" s="19" t="s">
        <v>136</v>
      </c>
      <c r="C80" s="20">
        <f>+C12+C58+C79</f>
        <v>25000000</v>
      </c>
      <c r="D80" s="20">
        <f>+D12+D58+D79</f>
        <v>0</v>
      </c>
      <c r="E80" s="20">
        <f>+E12+E58+E79</f>
        <v>25000000</v>
      </c>
    </row>
    <row r="81" ht="13.5" thickTop="1"/>
    <row r="83" ht="12.75">
      <c r="C83" s="207"/>
    </row>
    <row r="88" ht="12.75" customHeight="1"/>
  </sheetData>
  <sheetProtection/>
  <mergeCells count="10">
    <mergeCell ref="D9:D11"/>
    <mergeCell ref="E9:E11"/>
    <mergeCell ref="B9:B11"/>
    <mergeCell ref="C9:C11"/>
    <mergeCell ref="B2:E2"/>
    <mergeCell ref="B7:E7"/>
    <mergeCell ref="B3:E3"/>
    <mergeCell ref="B4:E4"/>
    <mergeCell ref="B5:E5"/>
    <mergeCell ref="B6:E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53.28125" style="0" customWidth="1"/>
    <col min="3" max="4" width="12.7109375" style="0" customWidth="1"/>
    <col min="5" max="5" width="63.57421875" style="0" customWidth="1"/>
    <col min="6" max="8" width="12.7109375" style="0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2:8" ht="12.75">
      <c r="B2" s="585" t="s">
        <v>173</v>
      </c>
      <c r="C2" s="585"/>
      <c r="D2" s="585"/>
      <c r="E2" s="585"/>
      <c r="F2" s="585"/>
      <c r="G2" s="585"/>
      <c r="H2" s="585"/>
    </row>
    <row r="3" spans="2:8" ht="12.75">
      <c r="B3" s="585" t="s">
        <v>186</v>
      </c>
      <c r="C3" s="585"/>
      <c r="D3" s="585"/>
      <c r="E3" s="585"/>
      <c r="F3" s="585"/>
      <c r="G3" s="585"/>
      <c r="H3" s="585"/>
    </row>
    <row r="4" spans="2:8" ht="12.75">
      <c r="B4" s="585" t="s">
        <v>137</v>
      </c>
      <c r="C4" s="585"/>
      <c r="D4" s="585"/>
      <c r="E4" s="585"/>
      <c r="F4" s="585"/>
      <c r="G4" s="585"/>
      <c r="H4" s="585"/>
    </row>
    <row r="5" spans="2:8" ht="12.75">
      <c r="B5" s="585"/>
      <c r="C5" s="585"/>
      <c r="D5" s="585"/>
      <c r="E5" s="585"/>
      <c r="F5" s="585"/>
      <c r="G5" s="585"/>
      <c r="H5" s="585"/>
    </row>
    <row r="6" spans="2:8" ht="12.75">
      <c r="B6" s="585" t="s">
        <v>174</v>
      </c>
      <c r="C6" s="585"/>
      <c r="D6" s="585"/>
      <c r="E6" s="585"/>
      <c r="F6" s="585"/>
      <c r="G6" s="585"/>
      <c r="H6" s="585"/>
    </row>
    <row r="7" spans="2:8" ht="12.75">
      <c r="B7" s="586" t="s">
        <v>132</v>
      </c>
      <c r="C7" s="586"/>
      <c r="D7" s="586"/>
      <c r="E7" s="586"/>
      <c r="F7" s="586"/>
      <c r="G7" s="586"/>
      <c r="H7" s="586"/>
    </row>
    <row r="8" spans="2:8" ht="13.5" thickBot="1">
      <c r="B8" s="1"/>
      <c r="C8" s="1"/>
      <c r="D8" s="1"/>
      <c r="E8" s="1"/>
      <c r="F8" s="1"/>
      <c r="G8" s="1"/>
      <c r="H8" s="1"/>
    </row>
    <row r="9" spans="2:8" ht="13.5" thickTop="1">
      <c r="B9" s="587" t="s">
        <v>175</v>
      </c>
      <c r="C9" s="67" t="s">
        <v>176</v>
      </c>
      <c r="D9" s="67" t="s">
        <v>176</v>
      </c>
      <c r="E9" s="67" t="s">
        <v>177</v>
      </c>
      <c r="F9" s="67" t="s">
        <v>178</v>
      </c>
      <c r="G9" s="589" t="s">
        <v>135</v>
      </c>
      <c r="H9" s="68" t="s">
        <v>179</v>
      </c>
    </row>
    <row r="10" spans="2:8" ht="13.5" thickBot="1">
      <c r="B10" s="588"/>
      <c r="C10" s="69" t="s">
        <v>180</v>
      </c>
      <c r="D10" s="69" t="s">
        <v>181</v>
      </c>
      <c r="E10" s="69" t="s">
        <v>182</v>
      </c>
      <c r="F10" s="69" t="s">
        <v>183</v>
      </c>
      <c r="G10" s="590"/>
      <c r="H10" s="70" t="s">
        <v>184</v>
      </c>
    </row>
    <row r="11" spans="2:8" ht="14.25" thickBot="1" thickTop="1">
      <c r="B11" s="71" t="s">
        <v>185</v>
      </c>
      <c r="C11" s="72"/>
      <c r="D11" s="72"/>
      <c r="E11" s="73"/>
      <c r="F11" s="73"/>
      <c r="G11" s="74">
        <f>SUM(G12:G13)</f>
        <v>330000</v>
      </c>
      <c r="H11" s="75"/>
    </row>
    <row r="12" spans="2:8" ht="12.75">
      <c r="B12" s="46" t="s">
        <v>190</v>
      </c>
      <c r="C12" s="47">
        <f>3500</f>
        <v>3500</v>
      </c>
      <c r="D12" s="47">
        <f>12*C12</f>
        <v>42000</v>
      </c>
      <c r="E12" s="48" t="s">
        <v>187</v>
      </c>
      <c r="F12" s="48">
        <f>5*12</f>
        <v>60</v>
      </c>
      <c r="G12" s="49">
        <f>C12*F12</f>
        <v>210000</v>
      </c>
      <c r="H12" s="50"/>
    </row>
    <row r="13" spans="2:8" ht="13.5" thickBot="1">
      <c r="B13" s="51" t="s">
        <v>191</v>
      </c>
      <c r="C13" s="52">
        <f>2000</f>
        <v>2000</v>
      </c>
      <c r="D13" s="52">
        <f>12*C13</f>
        <v>24000</v>
      </c>
      <c r="E13" s="53" t="s">
        <v>187</v>
      </c>
      <c r="F13" s="53">
        <f>5*12</f>
        <v>60</v>
      </c>
      <c r="G13" s="54">
        <f>C13*F13</f>
        <v>120000</v>
      </c>
      <c r="H13" s="55"/>
    </row>
    <row r="14" spans="2:8" ht="14.25" thickBot="1" thickTop="1">
      <c r="B14" s="71" t="s">
        <v>189</v>
      </c>
      <c r="C14" s="72"/>
      <c r="D14" s="72"/>
      <c r="E14" s="73"/>
      <c r="F14" s="73"/>
      <c r="G14" s="74">
        <f>SUM(G15:G18)</f>
        <v>408000</v>
      </c>
      <c r="H14" s="75"/>
    </row>
    <row r="15" spans="2:8" ht="12.75">
      <c r="B15" s="46" t="s">
        <v>192</v>
      </c>
      <c r="C15" s="47">
        <f>2000</f>
        <v>2000</v>
      </c>
      <c r="D15" s="47">
        <f aca="true" t="shared" si="0" ref="D15:D20">12*C15</f>
        <v>24000</v>
      </c>
      <c r="E15" s="48" t="s">
        <v>187</v>
      </c>
      <c r="F15" s="48">
        <f>5*12</f>
        <v>60</v>
      </c>
      <c r="G15" s="49">
        <f>C15*F15</f>
        <v>120000</v>
      </c>
      <c r="H15" s="50"/>
    </row>
    <row r="16" spans="2:8" ht="12.75">
      <c r="B16" s="51" t="s">
        <v>193</v>
      </c>
      <c r="C16" s="52">
        <f>2000</f>
        <v>2000</v>
      </c>
      <c r="D16" s="52">
        <f t="shared" si="0"/>
        <v>24000</v>
      </c>
      <c r="E16" s="53" t="s">
        <v>187</v>
      </c>
      <c r="F16" s="53">
        <f>5*12</f>
        <v>60</v>
      </c>
      <c r="G16" s="54">
        <f>C16*F16</f>
        <v>120000</v>
      </c>
      <c r="H16" s="55"/>
    </row>
    <row r="17" spans="2:8" ht="12.75">
      <c r="B17" s="51" t="s">
        <v>194</v>
      </c>
      <c r="C17" s="52">
        <f>2000</f>
        <v>2000</v>
      </c>
      <c r="D17" s="52">
        <f t="shared" si="0"/>
        <v>24000</v>
      </c>
      <c r="E17" s="53" t="s">
        <v>187</v>
      </c>
      <c r="F17" s="53">
        <f>5*12</f>
        <v>60</v>
      </c>
      <c r="G17" s="54">
        <f>C17*F17</f>
        <v>120000</v>
      </c>
      <c r="H17" s="55"/>
    </row>
    <row r="18" spans="2:8" ht="13.5" thickBot="1">
      <c r="B18" s="51" t="s">
        <v>195</v>
      </c>
      <c r="C18" s="52">
        <f>800</f>
        <v>800</v>
      </c>
      <c r="D18" s="52">
        <f t="shared" si="0"/>
        <v>9600</v>
      </c>
      <c r="E18" s="53" t="s">
        <v>187</v>
      </c>
      <c r="F18" s="53">
        <f>5*12</f>
        <v>60</v>
      </c>
      <c r="G18" s="54">
        <f>C18*F18</f>
        <v>48000</v>
      </c>
      <c r="H18" s="55"/>
    </row>
    <row r="19" spans="2:8" ht="14.25" thickBot="1" thickTop="1">
      <c r="B19" s="71" t="s">
        <v>188</v>
      </c>
      <c r="C19" s="72"/>
      <c r="D19" s="72"/>
      <c r="E19" s="73"/>
      <c r="F19" s="73"/>
      <c r="G19" s="74">
        <f>SUM(G20:G21)</f>
        <v>270000</v>
      </c>
      <c r="H19" s="75"/>
    </row>
    <row r="20" spans="2:8" ht="12.75">
      <c r="B20" s="51" t="s">
        <v>495</v>
      </c>
      <c r="C20" s="52">
        <f>2500</f>
        <v>2500</v>
      </c>
      <c r="D20" s="52">
        <f t="shared" si="0"/>
        <v>30000</v>
      </c>
      <c r="E20" s="48" t="s">
        <v>187</v>
      </c>
      <c r="F20" s="53">
        <f>5*12</f>
        <v>60</v>
      </c>
      <c r="G20" s="54">
        <f>C20*F20</f>
        <v>150000</v>
      </c>
      <c r="H20" s="55"/>
    </row>
    <row r="21" spans="2:8" ht="13.5" thickBot="1">
      <c r="B21" s="51" t="s">
        <v>496</v>
      </c>
      <c r="C21" s="52">
        <f>2000</f>
        <v>2000</v>
      </c>
      <c r="D21" s="52">
        <f>12*C21</f>
        <v>24000</v>
      </c>
      <c r="E21" s="53" t="s">
        <v>187</v>
      </c>
      <c r="F21" s="53">
        <f>5*12</f>
        <v>60</v>
      </c>
      <c r="G21" s="54">
        <f>C21*F21</f>
        <v>120000</v>
      </c>
      <c r="H21" s="55"/>
    </row>
    <row r="22" spans="2:8" ht="14.25" thickBot="1" thickTop="1">
      <c r="B22" s="76" t="s">
        <v>136</v>
      </c>
      <c r="C22" s="77"/>
      <c r="D22" s="77"/>
      <c r="E22" s="78"/>
      <c r="F22" s="78"/>
      <c r="G22" s="79">
        <f>+G11+G14+G19</f>
        <v>1008000</v>
      </c>
      <c r="H22" s="80"/>
    </row>
    <row r="23" spans="2:8" ht="13.5" thickTop="1">
      <c r="B23" s="1"/>
      <c r="C23" s="59"/>
      <c r="D23" s="59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</sheetData>
  <sheetProtection/>
  <mergeCells count="8">
    <mergeCell ref="B7:H7"/>
    <mergeCell ref="B9:B10"/>
    <mergeCell ref="G9:G10"/>
    <mergeCell ref="B5:H5"/>
    <mergeCell ref="B2:H2"/>
    <mergeCell ref="B3:H3"/>
    <mergeCell ref="B4:H4"/>
    <mergeCell ref="B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6.28125" style="0" customWidth="1"/>
    <col min="3" max="7" width="12.7109375" style="0" customWidth="1"/>
    <col min="8" max="8" width="76.7109375" style="0" customWidth="1"/>
    <col min="9" max="9" width="12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585" t="s">
        <v>173</v>
      </c>
      <c r="C2" s="585"/>
      <c r="D2" s="585"/>
      <c r="E2" s="585"/>
      <c r="F2" s="585"/>
      <c r="G2" s="81"/>
      <c r="H2" s="81"/>
      <c r="I2" s="81"/>
    </row>
    <row r="3" spans="1:9" ht="12.75">
      <c r="A3" s="1"/>
      <c r="B3" s="585" t="s">
        <v>212</v>
      </c>
      <c r="C3" s="585"/>
      <c r="D3" s="585"/>
      <c r="E3" s="585"/>
      <c r="F3" s="585"/>
      <c r="G3" s="81"/>
      <c r="H3" s="81"/>
      <c r="I3" s="81"/>
    </row>
    <row r="4" spans="1:9" ht="12.75">
      <c r="A4" s="1"/>
      <c r="B4" s="585" t="s">
        <v>137</v>
      </c>
      <c r="C4" s="585"/>
      <c r="D4" s="585"/>
      <c r="E4" s="585"/>
      <c r="F4" s="585"/>
      <c r="G4" s="81"/>
      <c r="H4" s="81"/>
      <c r="I4" s="81"/>
    </row>
    <row r="5" spans="1:9" ht="12.75">
      <c r="A5" s="1"/>
      <c r="B5" s="585"/>
      <c r="C5" s="585"/>
      <c r="D5" s="585"/>
      <c r="E5" s="585"/>
      <c r="F5" s="585"/>
      <c r="G5" s="1"/>
      <c r="H5" s="1"/>
      <c r="I5" s="1"/>
    </row>
    <row r="6" spans="1:9" ht="12.75">
      <c r="A6" s="1"/>
      <c r="B6" s="585" t="s">
        <v>235</v>
      </c>
      <c r="C6" s="585"/>
      <c r="D6" s="585"/>
      <c r="E6" s="585"/>
      <c r="F6" s="585"/>
      <c r="G6" s="81"/>
      <c r="H6" s="81"/>
      <c r="I6" s="81"/>
    </row>
    <row r="7" spans="1:9" ht="12.75">
      <c r="A7" s="1"/>
      <c r="B7" s="586" t="s">
        <v>132</v>
      </c>
      <c r="C7" s="586"/>
      <c r="D7" s="586"/>
      <c r="E7" s="586"/>
      <c r="F7" s="586"/>
      <c r="G7" s="82"/>
      <c r="H7" s="82"/>
      <c r="I7" s="82"/>
    </row>
    <row r="8" spans="1:9" ht="13.5" thickBot="1">
      <c r="A8" s="1"/>
      <c r="B8" s="1"/>
      <c r="C8" s="1"/>
      <c r="D8" s="1"/>
      <c r="E8" s="1"/>
      <c r="F8" s="1"/>
      <c r="G8" s="1"/>
      <c r="H8" s="1"/>
      <c r="I8" s="1"/>
    </row>
    <row r="9" spans="1:9" ht="13.5" thickTop="1">
      <c r="A9" s="1"/>
      <c r="B9" s="591" t="s">
        <v>204</v>
      </c>
      <c r="C9" s="40" t="s">
        <v>205</v>
      </c>
      <c r="D9" s="40" t="s">
        <v>213</v>
      </c>
      <c r="E9" s="593" t="s">
        <v>135</v>
      </c>
      <c r="F9" s="83" t="s">
        <v>179</v>
      </c>
      <c r="G9" s="1"/>
      <c r="H9" s="84"/>
      <c r="I9" s="1"/>
    </row>
    <row r="10" spans="1:9" ht="13.5" thickBot="1">
      <c r="A10" s="1"/>
      <c r="B10" s="592"/>
      <c r="C10" s="42" t="s">
        <v>206</v>
      </c>
      <c r="D10" s="42" t="s">
        <v>207</v>
      </c>
      <c r="E10" s="594"/>
      <c r="F10" s="85" t="s">
        <v>184</v>
      </c>
      <c r="G10" s="1"/>
      <c r="H10" s="84"/>
      <c r="I10" s="1"/>
    </row>
    <row r="11" spans="1:9" ht="14.25" thickBot="1" thickTop="1">
      <c r="A11" s="1"/>
      <c r="B11" s="44" t="s">
        <v>233</v>
      </c>
      <c r="C11" s="45"/>
      <c r="D11" s="86"/>
      <c r="E11" s="87">
        <f>SUM(E12:E22)</f>
        <v>51300</v>
      </c>
      <c r="F11" s="88"/>
      <c r="G11" s="39"/>
      <c r="H11" s="209" t="s">
        <v>123</v>
      </c>
      <c r="I11" s="39"/>
    </row>
    <row r="12" spans="1:9" ht="12.75">
      <c r="A12" s="1"/>
      <c r="B12" s="46" t="s">
        <v>214</v>
      </c>
      <c r="C12" s="47">
        <f>2500</f>
        <v>2500</v>
      </c>
      <c r="D12" s="89">
        <f>7</f>
        <v>7</v>
      </c>
      <c r="E12" s="90">
        <f>C12*D12</f>
        <v>17500</v>
      </c>
      <c r="F12" s="91"/>
      <c r="G12" s="92"/>
      <c r="H12" s="93" t="s">
        <v>218</v>
      </c>
      <c r="I12" s="1"/>
    </row>
    <row r="13" spans="1:9" ht="12.75">
      <c r="A13" s="1"/>
      <c r="B13" s="51" t="s">
        <v>208</v>
      </c>
      <c r="C13" s="52">
        <f>1000</f>
        <v>1000</v>
      </c>
      <c r="D13" s="94">
        <f>1</f>
        <v>1</v>
      </c>
      <c r="E13" s="95">
        <f>C13*D13</f>
        <v>1000</v>
      </c>
      <c r="F13" s="96"/>
      <c r="G13" s="92"/>
      <c r="H13" s="84" t="s">
        <v>217</v>
      </c>
      <c r="I13" s="1"/>
    </row>
    <row r="14" spans="1:9" ht="12.75">
      <c r="A14" s="1"/>
      <c r="B14" s="51" t="s">
        <v>272</v>
      </c>
      <c r="C14" s="52">
        <f>700</f>
        <v>700</v>
      </c>
      <c r="D14" s="94">
        <v>1</v>
      </c>
      <c r="E14" s="95">
        <f>C14*D14</f>
        <v>700</v>
      </c>
      <c r="F14" s="96"/>
      <c r="G14" s="92"/>
      <c r="H14" s="84" t="s">
        <v>216</v>
      </c>
      <c r="I14" s="1"/>
    </row>
    <row r="15" spans="1:9" ht="12.75">
      <c r="A15" s="1"/>
      <c r="B15" s="51" t="s">
        <v>273</v>
      </c>
      <c r="C15" s="52">
        <f>4500</f>
        <v>4500</v>
      </c>
      <c r="D15" s="94">
        <f>1</f>
        <v>1</v>
      </c>
      <c r="E15" s="95">
        <f>C15*D15</f>
        <v>4500</v>
      </c>
      <c r="F15" s="96"/>
      <c r="G15" s="92"/>
      <c r="H15" s="84" t="s">
        <v>216</v>
      </c>
      <c r="I15" s="1"/>
    </row>
    <row r="16" spans="1:9" ht="12.75">
      <c r="A16" s="1"/>
      <c r="B16" s="51" t="s">
        <v>274</v>
      </c>
      <c r="C16" s="52">
        <f>16000</f>
        <v>16000</v>
      </c>
      <c r="D16" s="94">
        <f>1</f>
        <v>1</v>
      </c>
      <c r="E16" s="95">
        <f>C16*D16</f>
        <v>16000</v>
      </c>
      <c r="F16" s="96"/>
      <c r="G16" s="92"/>
      <c r="H16" s="84" t="s">
        <v>216</v>
      </c>
      <c r="I16" s="1"/>
    </row>
    <row r="17" spans="1:9" ht="12.75">
      <c r="A17" s="1"/>
      <c r="B17" s="51" t="s">
        <v>222</v>
      </c>
      <c r="C17" s="52">
        <f>1200</f>
        <v>1200</v>
      </c>
      <c r="D17" s="94">
        <f>1</f>
        <v>1</v>
      </c>
      <c r="E17" s="95">
        <f aca="true" t="shared" si="0" ref="E17:E25">C17*D17</f>
        <v>1200</v>
      </c>
      <c r="F17" s="96"/>
      <c r="G17" s="92"/>
      <c r="H17" s="84" t="s">
        <v>216</v>
      </c>
      <c r="I17" s="1"/>
    </row>
    <row r="18" spans="1:9" ht="12.75">
      <c r="A18" s="1"/>
      <c r="B18" s="51" t="s">
        <v>223</v>
      </c>
      <c r="C18" s="52">
        <f>200</f>
        <v>200</v>
      </c>
      <c r="D18" s="94">
        <f>1</f>
        <v>1</v>
      </c>
      <c r="E18" s="95">
        <f t="shared" si="0"/>
        <v>200</v>
      </c>
      <c r="F18" s="96"/>
      <c r="G18" s="92"/>
      <c r="H18" s="84" t="s">
        <v>216</v>
      </c>
      <c r="I18" s="1"/>
    </row>
    <row r="19" spans="1:9" ht="12.75">
      <c r="A19" s="1"/>
      <c r="B19" s="46" t="s">
        <v>224</v>
      </c>
      <c r="C19" s="47">
        <f>300</f>
        <v>300</v>
      </c>
      <c r="D19" s="89">
        <f>8</f>
        <v>8</v>
      </c>
      <c r="E19" s="90">
        <f t="shared" si="0"/>
        <v>2400</v>
      </c>
      <c r="F19" s="91"/>
      <c r="G19" s="92"/>
      <c r="H19" s="84" t="s">
        <v>215</v>
      </c>
      <c r="I19" s="1"/>
    </row>
    <row r="20" spans="1:9" ht="12.75">
      <c r="A20" s="1"/>
      <c r="B20" s="103" t="s">
        <v>225</v>
      </c>
      <c r="C20" s="104">
        <f>5000</f>
        <v>5000</v>
      </c>
      <c r="D20" s="105">
        <f>1</f>
        <v>1</v>
      </c>
      <c r="E20" s="106">
        <f>C20*D20</f>
        <v>5000</v>
      </c>
      <c r="F20" s="107"/>
      <c r="G20" s="92"/>
      <c r="H20" s="84" t="s">
        <v>216</v>
      </c>
      <c r="I20" s="1"/>
    </row>
    <row r="21" spans="1:9" ht="12.75">
      <c r="A21" s="1"/>
      <c r="B21" s="103" t="s">
        <v>232</v>
      </c>
      <c r="C21" s="104">
        <f>800</f>
        <v>800</v>
      </c>
      <c r="D21" s="105">
        <f>1</f>
        <v>1</v>
      </c>
      <c r="E21" s="106">
        <f>+C21*D21</f>
        <v>800</v>
      </c>
      <c r="F21" s="107"/>
      <c r="G21" s="92"/>
      <c r="H21" s="84" t="s">
        <v>216</v>
      </c>
      <c r="I21" s="1"/>
    </row>
    <row r="22" spans="1:9" ht="13.5" thickBot="1">
      <c r="A22" s="1"/>
      <c r="B22" s="103" t="s">
        <v>271</v>
      </c>
      <c r="C22" s="104">
        <f>250</f>
        <v>250</v>
      </c>
      <c r="D22" s="105">
        <f>8</f>
        <v>8</v>
      </c>
      <c r="E22" s="106">
        <f>+C22*D22</f>
        <v>2000</v>
      </c>
      <c r="F22" s="107"/>
      <c r="G22" s="92"/>
      <c r="H22" s="84" t="s">
        <v>231</v>
      </c>
      <c r="I22" s="1"/>
    </row>
    <row r="23" spans="1:9" ht="14.25" thickBot="1" thickTop="1">
      <c r="A23" s="1"/>
      <c r="B23" s="44" t="s">
        <v>209</v>
      </c>
      <c r="C23" s="45"/>
      <c r="D23" s="86"/>
      <c r="E23" s="87">
        <f>SUM(E24:E25)</f>
        <v>7500</v>
      </c>
      <c r="F23" s="88"/>
      <c r="G23" s="1"/>
      <c r="H23" s="84"/>
      <c r="I23" s="1"/>
    </row>
    <row r="24" spans="1:9" ht="12.75">
      <c r="A24" s="1"/>
      <c r="B24" s="46" t="s">
        <v>210</v>
      </c>
      <c r="C24" s="47">
        <f>500</f>
        <v>500</v>
      </c>
      <c r="D24" s="89">
        <f>8</f>
        <v>8</v>
      </c>
      <c r="E24" s="90">
        <f t="shared" si="0"/>
        <v>4000</v>
      </c>
      <c r="F24" s="91"/>
      <c r="G24" s="92"/>
      <c r="H24" s="84" t="s">
        <v>219</v>
      </c>
      <c r="I24" s="1"/>
    </row>
    <row r="25" spans="1:9" ht="13.5" thickBot="1">
      <c r="A25" s="1"/>
      <c r="B25" s="51" t="s">
        <v>211</v>
      </c>
      <c r="C25" s="52">
        <f>500</f>
        <v>500</v>
      </c>
      <c r="D25" s="94">
        <f>7</f>
        <v>7</v>
      </c>
      <c r="E25" s="95">
        <f t="shared" si="0"/>
        <v>3500</v>
      </c>
      <c r="F25" s="96"/>
      <c r="G25" s="92"/>
      <c r="H25" s="84" t="s">
        <v>220</v>
      </c>
      <c r="I25" s="1"/>
    </row>
    <row r="26" spans="1:9" ht="14.25" thickBot="1" thickTop="1">
      <c r="A26" s="1"/>
      <c r="B26" s="44" t="s">
        <v>221</v>
      </c>
      <c r="C26" s="45"/>
      <c r="D26" s="86"/>
      <c r="E26" s="87">
        <f>SUM(E27:E32)</f>
        <v>17000</v>
      </c>
      <c r="F26" s="88"/>
      <c r="G26" s="92"/>
      <c r="H26" s="84"/>
      <c r="I26" s="1"/>
    </row>
    <row r="27" spans="1:9" ht="12.75">
      <c r="A27" s="1"/>
      <c r="B27" s="46" t="s">
        <v>226</v>
      </c>
      <c r="C27" s="47">
        <f>600</f>
        <v>600</v>
      </c>
      <c r="D27" s="89">
        <f>8</f>
        <v>8</v>
      </c>
      <c r="E27" s="90">
        <f aca="true" t="shared" si="1" ref="E27:E32">+C27*D27</f>
        <v>4800</v>
      </c>
      <c r="F27" s="91"/>
      <c r="G27" s="92"/>
      <c r="H27" s="84" t="s">
        <v>216</v>
      </c>
      <c r="I27" s="1"/>
    </row>
    <row r="28" spans="1:9" ht="12.75">
      <c r="A28" s="1"/>
      <c r="B28" s="51" t="s">
        <v>227</v>
      </c>
      <c r="C28" s="52">
        <f>200</f>
        <v>200</v>
      </c>
      <c r="D28" s="94">
        <f>8</f>
        <v>8</v>
      </c>
      <c r="E28" s="95">
        <f t="shared" si="1"/>
        <v>1600</v>
      </c>
      <c r="F28" s="96"/>
      <c r="G28" s="92"/>
      <c r="H28" s="84" t="s">
        <v>216</v>
      </c>
      <c r="I28" s="1"/>
    </row>
    <row r="29" spans="1:9" ht="12.75">
      <c r="A29" s="1"/>
      <c r="B29" s="51" t="s">
        <v>228</v>
      </c>
      <c r="C29" s="52">
        <f>250</f>
        <v>250</v>
      </c>
      <c r="D29" s="94">
        <f>8</f>
        <v>8</v>
      </c>
      <c r="E29" s="95">
        <f t="shared" si="1"/>
        <v>2000</v>
      </c>
      <c r="F29" s="96"/>
      <c r="G29" s="92"/>
      <c r="H29" s="84" t="s">
        <v>216</v>
      </c>
      <c r="I29" s="1"/>
    </row>
    <row r="30" spans="1:9" ht="12.75">
      <c r="A30" s="1"/>
      <c r="B30" s="51" t="s">
        <v>117</v>
      </c>
      <c r="C30" s="52">
        <f>1500</f>
        <v>1500</v>
      </c>
      <c r="D30" s="94">
        <f>1</f>
        <v>1</v>
      </c>
      <c r="E30" s="95">
        <f t="shared" si="1"/>
        <v>1500</v>
      </c>
      <c r="F30" s="96"/>
      <c r="G30" s="92"/>
      <c r="H30" s="84" t="s">
        <v>216</v>
      </c>
      <c r="I30" s="1"/>
    </row>
    <row r="31" spans="1:9" ht="12.75">
      <c r="A31" s="1"/>
      <c r="B31" s="51" t="s">
        <v>275</v>
      </c>
      <c r="C31" s="52">
        <f>600</f>
        <v>600</v>
      </c>
      <c r="D31" s="94">
        <f>6</f>
        <v>6</v>
      </c>
      <c r="E31" s="95">
        <f t="shared" si="1"/>
        <v>3600</v>
      </c>
      <c r="F31" s="96"/>
      <c r="G31" s="92"/>
      <c r="H31" s="84" t="s">
        <v>216</v>
      </c>
      <c r="I31" s="1"/>
    </row>
    <row r="32" spans="1:9" ht="13.5" thickBot="1">
      <c r="A32" s="1"/>
      <c r="B32" s="46" t="s">
        <v>116</v>
      </c>
      <c r="C32" s="47">
        <f>3000+500</f>
        <v>3500</v>
      </c>
      <c r="D32" s="89">
        <f>1</f>
        <v>1</v>
      </c>
      <c r="E32" s="90">
        <f t="shared" si="1"/>
        <v>3500</v>
      </c>
      <c r="F32" s="91"/>
      <c r="G32" s="92"/>
      <c r="H32" s="84" t="s">
        <v>216</v>
      </c>
      <c r="I32" s="1"/>
    </row>
    <row r="33" spans="1:9" ht="14.25" thickBot="1" thickTop="1">
      <c r="A33" s="1"/>
      <c r="B33" s="44" t="s">
        <v>229</v>
      </c>
      <c r="C33" s="45"/>
      <c r="D33" s="86"/>
      <c r="E33" s="87">
        <f>SUM(E34)</f>
        <v>27000</v>
      </c>
      <c r="F33" s="88"/>
      <c r="G33" s="1"/>
      <c r="H33" s="84"/>
      <c r="I33" s="1"/>
    </row>
    <row r="34" spans="1:9" ht="13.5" thickBot="1">
      <c r="A34" s="1"/>
      <c r="B34" s="97" t="s">
        <v>230</v>
      </c>
      <c r="C34" s="47">
        <f>27000</f>
        <v>27000</v>
      </c>
      <c r="D34" s="89">
        <v>1</v>
      </c>
      <c r="E34" s="98">
        <f>C34*D34</f>
        <v>27000</v>
      </c>
      <c r="F34" s="91"/>
      <c r="G34" s="92"/>
      <c r="H34" s="84" t="s">
        <v>216</v>
      </c>
      <c r="I34" s="1"/>
    </row>
    <row r="35" spans="1:9" ht="14.25" thickBot="1" thickTop="1">
      <c r="A35" s="1"/>
      <c r="B35" s="99" t="s">
        <v>136</v>
      </c>
      <c r="C35" s="57"/>
      <c r="D35" s="100"/>
      <c r="E35" s="101">
        <f>+E11+E23+E26+E33</f>
        <v>102800</v>
      </c>
      <c r="F35" s="102"/>
      <c r="G35" s="1"/>
      <c r="H35" s="84"/>
      <c r="I35" s="1"/>
    </row>
    <row r="36" ht="13.5" thickTop="1"/>
  </sheetData>
  <sheetProtection/>
  <mergeCells count="8">
    <mergeCell ref="B7:F7"/>
    <mergeCell ref="B9:B10"/>
    <mergeCell ref="E9:E10"/>
    <mergeCell ref="B5:F5"/>
    <mergeCell ref="B2:F2"/>
    <mergeCell ref="B3:F3"/>
    <mergeCell ref="B4:F4"/>
    <mergeCell ref="B6:F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6.28125" style="0" customWidth="1"/>
    <col min="3" max="7" width="12.7109375" style="0" customWidth="1"/>
    <col min="8" max="8" width="126.0039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585" t="s">
        <v>173</v>
      </c>
      <c r="C2" s="585"/>
      <c r="D2" s="585"/>
      <c r="E2" s="585"/>
      <c r="F2" s="585"/>
      <c r="G2" s="31"/>
      <c r="H2" s="31"/>
    </row>
    <row r="3" spans="1:8" ht="12.75">
      <c r="A3" s="1"/>
      <c r="B3" s="585" t="s">
        <v>212</v>
      </c>
      <c r="C3" s="585"/>
      <c r="D3" s="585"/>
      <c r="E3" s="585"/>
      <c r="F3" s="585"/>
      <c r="G3" s="31"/>
      <c r="H3" s="31"/>
    </row>
    <row r="4" spans="1:8" ht="12.75">
      <c r="A4" s="1"/>
      <c r="B4" s="585" t="s">
        <v>137</v>
      </c>
      <c r="C4" s="585"/>
      <c r="D4" s="585"/>
      <c r="E4" s="585"/>
      <c r="F4" s="585"/>
      <c r="G4" s="31"/>
      <c r="H4" s="31"/>
    </row>
    <row r="5" spans="1:8" ht="12.75">
      <c r="A5" s="1"/>
      <c r="B5" s="585"/>
      <c r="C5" s="585"/>
      <c r="D5" s="585"/>
      <c r="E5" s="585"/>
      <c r="F5" s="585"/>
      <c r="G5" s="31"/>
      <c r="H5" s="31"/>
    </row>
    <row r="6" spans="1:8" ht="12.75">
      <c r="A6" s="1"/>
      <c r="B6" s="585" t="s">
        <v>326</v>
      </c>
      <c r="C6" s="585"/>
      <c r="D6" s="585"/>
      <c r="E6" s="585"/>
      <c r="F6" s="585"/>
      <c r="G6" s="1"/>
      <c r="H6" s="1"/>
    </row>
    <row r="7" spans="1:8" ht="12.75">
      <c r="A7" s="1"/>
      <c r="B7" s="586" t="s">
        <v>132</v>
      </c>
      <c r="C7" s="586"/>
      <c r="D7" s="586"/>
      <c r="E7" s="586"/>
      <c r="F7" s="586"/>
      <c r="G7" s="31"/>
      <c r="H7" s="31"/>
    </row>
    <row r="8" spans="1:8" ht="13.5" thickBot="1">
      <c r="A8" s="1"/>
      <c r="B8" s="1"/>
      <c r="C8" s="1"/>
      <c r="D8" s="1"/>
      <c r="E8" s="1"/>
      <c r="F8" s="1"/>
      <c r="G8" s="1"/>
      <c r="H8" s="1"/>
    </row>
    <row r="9" spans="1:8" ht="13.5" thickTop="1">
      <c r="A9" s="1"/>
      <c r="B9" s="591" t="s">
        <v>118</v>
      </c>
      <c r="C9" s="40" t="s">
        <v>205</v>
      </c>
      <c r="D9" s="40" t="s">
        <v>213</v>
      </c>
      <c r="E9" s="596" t="s">
        <v>135</v>
      </c>
      <c r="F9" s="41" t="s">
        <v>179</v>
      </c>
      <c r="G9" s="92"/>
      <c r="H9" s="208"/>
    </row>
    <row r="10" spans="1:8" ht="13.5" thickBot="1">
      <c r="A10" s="1"/>
      <c r="B10" s="595"/>
      <c r="C10" s="42" t="s">
        <v>206</v>
      </c>
      <c r="D10" s="42" t="s">
        <v>207</v>
      </c>
      <c r="E10" s="597"/>
      <c r="F10" s="43" t="s">
        <v>184</v>
      </c>
      <c r="G10" s="92"/>
      <c r="H10" s="92"/>
    </row>
    <row r="11" spans="1:8" ht="14.25" thickBot="1" thickTop="1">
      <c r="A11" s="1"/>
      <c r="B11" s="44" t="s">
        <v>120</v>
      </c>
      <c r="C11" s="45"/>
      <c r="D11" s="86"/>
      <c r="E11" s="87">
        <f>SUM(E12:E14)</f>
        <v>53200</v>
      </c>
      <c r="F11" s="88"/>
      <c r="G11" s="92"/>
      <c r="H11" s="209" t="s">
        <v>123</v>
      </c>
    </row>
    <row r="12" spans="1:8" ht="12.75">
      <c r="A12" s="1"/>
      <c r="B12" s="210" t="s">
        <v>121</v>
      </c>
      <c r="C12" s="211">
        <f>11</f>
        <v>11</v>
      </c>
      <c r="D12" s="212">
        <f>35*2*12*5</f>
        <v>4200</v>
      </c>
      <c r="E12" s="213">
        <f>+C12*D12</f>
        <v>46200</v>
      </c>
      <c r="F12" s="214"/>
      <c r="G12" s="92"/>
      <c r="H12" s="1" t="s">
        <v>124</v>
      </c>
    </row>
    <row r="13" spans="1:8" ht="12.75">
      <c r="A13" s="1"/>
      <c r="B13" s="215" t="s">
        <v>122</v>
      </c>
      <c r="C13" s="216">
        <f>200</f>
        <v>200</v>
      </c>
      <c r="D13" s="217">
        <f>100000/5000</f>
        <v>20</v>
      </c>
      <c r="E13" s="233">
        <f>+C13*D13</f>
        <v>4000</v>
      </c>
      <c r="F13" s="218"/>
      <c r="G13" s="92"/>
      <c r="H13" s="82" t="s">
        <v>276</v>
      </c>
    </row>
    <row r="14" spans="1:8" ht="13.5" thickBot="1">
      <c r="A14" s="1"/>
      <c r="B14" s="219" t="s">
        <v>119</v>
      </c>
      <c r="C14" s="220">
        <f>50</f>
        <v>50</v>
      </c>
      <c r="D14" s="221">
        <f>1*12*5</f>
        <v>60</v>
      </c>
      <c r="E14" s="222">
        <f>+C14*D14</f>
        <v>3000</v>
      </c>
      <c r="F14" s="223"/>
      <c r="G14" s="92"/>
      <c r="H14" s="84" t="s">
        <v>125</v>
      </c>
    </row>
    <row r="15" spans="1:8" ht="14.25" thickBot="1" thickTop="1">
      <c r="A15" s="1"/>
      <c r="B15" s="44" t="s">
        <v>128</v>
      </c>
      <c r="C15" s="224"/>
      <c r="D15" s="225"/>
      <c r="E15" s="87">
        <f>SUM(E16)</f>
        <v>15000</v>
      </c>
      <c r="F15" s="226"/>
      <c r="G15" s="92"/>
      <c r="H15" s="93"/>
    </row>
    <row r="16" spans="1:8" ht="13.5" thickBot="1">
      <c r="A16" s="1"/>
      <c r="B16" s="46" t="s">
        <v>126</v>
      </c>
      <c r="C16" s="47">
        <f>250</f>
        <v>250</v>
      </c>
      <c r="D16" s="89">
        <f>1*12*5</f>
        <v>60</v>
      </c>
      <c r="E16" s="227">
        <f>+C16*D16</f>
        <v>15000</v>
      </c>
      <c r="F16" s="227"/>
      <c r="G16" s="92"/>
      <c r="H16" s="93" t="s">
        <v>127</v>
      </c>
    </row>
    <row r="17" spans="1:8" ht="14.25" thickBot="1" thickTop="1">
      <c r="A17" s="1"/>
      <c r="B17" s="44" t="s">
        <v>327</v>
      </c>
      <c r="C17" s="224"/>
      <c r="D17" s="225"/>
      <c r="E17" s="87">
        <f>SUM(E18:E19)</f>
        <v>15000</v>
      </c>
      <c r="F17" s="226"/>
      <c r="G17" s="92"/>
      <c r="H17" s="93"/>
    </row>
    <row r="18" spans="1:8" ht="12.75">
      <c r="A18" s="1"/>
      <c r="B18" s="228" t="s">
        <v>129</v>
      </c>
      <c r="C18" s="229">
        <f>200</f>
        <v>200</v>
      </c>
      <c r="D18" s="230">
        <f>5*12</f>
        <v>60</v>
      </c>
      <c r="E18" s="231">
        <f>+C18*D18</f>
        <v>12000</v>
      </c>
      <c r="F18" s="231"/>
      <c r="G18" s="92"/>
      <c r="H18" s="93" t="s">
        <v>317</v>
      </c>
    </row>
    <row r="19" spans="1:8" ht="13.5" thickBot="1">
      <c r="A19" s="1"/>
      <c r="B19" s="46" t="s">
        <v>130</v>
      </c>
      <c r="C19" s="47">
        <f>50</f>
        <v>50</v>
      </c>
      <c r="D19" s="89">
        <f>5*12</f>
        <v>60</v>
      </c>
      <c r="E19" s="227">
        <f>+C19*D19</f>
        <v>3000</v>
      </c>
      <c r="F19" s="227"/>
      <c r="G19" s="92"/>
      <c r="H19" s="93" t="s">
        <v>325</v>
      </c>
    </row>
    <row r="20" spans="1:8" ht="14.25" thickBot="1" thickTop="1">
      <c r="A20" s="1"/>
      <c r="B20" s="44" t="s">
        <v>328</v>
      </c>
      <c r="C20" s="224"/>
      <c r="D20" s="225"/>
      <c r="E20" s="87">
        <f>SUM(E21)</f>
        <v>6000</v>
      </c>
      <c r="F20" s="226"/>
      <c r="G20" s="92"/>
      <c r="H20" s="93"/>
    </row>
    <row r="21" spans="1:8" ht="13.5" thickBot="1">
      <c r="A21" s="1"/>
      <c r="B21" s="46" t="s">
        <v>131</v>
      </c>
      <c r="C21" s="47">
        <f>50</f>
        <v>50</v>
      </c>
      <c r="D21" s="89">
        <f>2*12*5</f>
        <v>120</v>
      </c>
      <c r="E21" s="227">
        <f>+C21*D21</f>
        <v>6000</v>
      </c>
      <c r="F21" s="227"/>
      <c r="G21" s="92"/>
      <c r="H21" s="93" t="s">
        <v>318</v>
      </c>
    </row>
    <row r="22" spans="1:8" ht="14.25" thickBot="1" thickTop="1">
      <c r="A22" s="1"/>
      <c r="B22" s="56" t="s">
        <v>136</v>
      </c>
      <c r="C22" s="57"/>
      <c r="D22" s="100"/>
      <c r="E22" s="58">
        <f>+E11+E15+E17+E20</f>
        <v>89200</v>
      </c>
      <c r="F22" s="232"/>
      <c r="G22" s="92"/>
      <c r="H22" s="93"/>
    </row>
    <row r="23" ht="13.5" thickTop="1"/>
  </sheetData>
  <sheetProtection/>
  <mergeCells count="8">
    <mergeCell ref="B6:F6"/>
    <mergeCell ref="B7:F7"/>
    <mergeCell ref="B9:B10"/>
    <mergeCell ref="E9:E10"/>
    <mergeCell ref="B2:F2"/>
    <mergeCell ref="B3:F3"/>
    <mergeCell ref="B4:F4"/>
    <mergeCell ref="B5:F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82"/>
  <sheetViews>
    <sheetView showGridLines="0" zoomScalePageLayoutView="0" workbookViewId="0" topLeftCell="A1">
      <selection activeCell="E54" sqref="E54"/>
    </sheetView>
  </sheetViews>
  <sheetFormatPr defaultColWidth="9.140625" defaultRowHeight="12.75"/>
  <cols>
    <col min="2" max="2" width="79.00390625" style="0" customWidth="1"/>
    <col min="3" max="8" width="12.7109375" style="0" customWidth="1"/>
  </cols>
  <sheetData>
    <row r="2" spans="2:8" ht="12.75">
      <c r="B2" s="585" t="s">
        <v>173</v>
      </c>
      <c r="C2" s="585"/>
      <c r="D2" s="585"/>
      <c r="E2" s="585"/>
      <c r="F2" s="585"/>
      <c r="G2" s="585"/>
      <c r="H2" s="585"/>
    </row>
    <row r="3" spans="2:8" ht="12.75">
      <c r="B3" s="585" t="s">
        <v>186</v>
      </c>
      <c r="C3" s="585"/>
      <c r="D3" s="585"/>
      <c r="E3" s="585"/>
      <c r="F3" s="585"/>
      <c r="G3" s="585"/>
      <c r="H3" s="585"/>
    </row>
    <row r="4" spans="2:8" ht="12.75">
      <c r="B4" s="585" t="s">
        <v>137</v>
      </c>
      <c r="C4" s="585"/>
      <c r="D4" s="585"/>
      <c r="E4" s="585"/>
      <c r="F4" s="585"/>
      <c r="G4" s="585"/>
      <c r="H4" s="585"/>
    </row>
    <row r="5" spans="2:8" ht="12.75">
      <c r="B5" s="586"/>
      <c r="C5" s="586"/>
      <c r="D5" s="586"/>
      <c r="E5" s="586"/>
      <c r="F5" s="586"/>
      <c r="G5" s="586"/>
      <c r="H5" s="586"/>
    </row>
    <row r="6" spans="2:8" ht="12.75">
      <c r="B6" s="585" t="s">
        <v>242</v>
      </c>
      <c r="C6" s="585"/>
      <c r="D6" s="585"/>
      <c r="E6" s="585"/>
      <c r="F6" s="585"/>
      <c r="G6" s="585"/>
      <c r="H6" s="585"/>
    </row>
    <row r="7" spans="2:8" ht="12.75">
      <c r="B7" s="586" t="s">
        <v>132</v>
      </c>
      <c r="C7" s="586"/>
      <c r="D7" s="586"/>
      <c r="E7" s="586"/>
      <c r="F7" s="586"/>
      <c r="G7" s="586"/>
      <c r="H7" s="586"/>
    </row>
    <row r="8" spans="2:8" ht="13.5" thickBot="1">
      <c r="B8" s="1"/>
      <c r="C8" s="1"/>
      <c r="D8" s="1"/>
      <c r="E8" s="1"/>
      <c r="F8" s="1"/>
      <c r="G8" s="1"/>
      <c r="H8" s="1"/>
    </row>
    <row r="9" spans="2:8" ht="13.5" thickTop="1">
      <c r="B9" s="582" t="s">
        <v>133</v>
      </c>
      <c r="C9" s="579" t="s">
        <v>237</v>
      </c>
      <c r="D9" s="579" t="s">
        <v>238</v>
      </c>
      <c r="E9" s="579" t="s">
        <v>239</v>
      </c>
      <c r="F9" s="579" t="s">
        <v>240</v>
      </c>
      <c r="G9" s="579" t="s">
        <v>241</v>
      </c>
      <c r="H9" s="579" t="s">
        <v>135</v>
      </c>
    </row>
    <row r="10" spans="2:8" ht="12.75">
      <c r="B10" s="583"/>
      <c r="C10" s="580"/>
      <c r="D10" s="580"/>
      <c r="E10" s="580"/>
      <c r="F10" s="580"/>
      <c r="G10" s="580"/>
      <c r="H10" s="580"/>
    </row>
    <row r="11" spans="2:8" ht="13.5" thickBot="1">
      <c r="B11" s="584"/>
      <c r="C11" s="581"/>
      <c r="D11" s="581"/>
      <c r="E11" s="581"/>
      <c r="F11" s="581"/>
      <c r="G11" s="581"/>
      <c r="H11" s="581"/>
    </row>
    <row r="12" spans="2:8" ht="14.25" thickBot="1" thickTop="1">
      <c r="B12" s="33" t="s">
        <v>167</v>
      </c>
      <c r="C12" s="3">
        <f aca="true" t="shared" si="0" ref="C12:H12">+C13+C25+C32+C43</f>
        <v>1690000</v>
      </c>
      <c r="D12" s="3">
        <f t="shared" si="0"/>
        <v>5280500</v>
      </c>
      <c r="E12" s="3">
        <f t="shared" si="0"/>
        <v>8590500</v>
      </c>
      <c r="F12" s="3">
        <f t="shared" si="0"/>
        <v>5889000</v>
      </c>
      <c r="G12" s="3">
        <f t="shared" si="0"/>
        <v>1780000</v>
      </c>
      <c r="H12" s="3">
        <f t="shared" si="0"/>
        <v>23230000</v>
      </c>
    </row>
    <row r="13" spans="2:8" ht="14.25" thickBot="1" thickTop="1">
      <c r="B13" s="34" t="s">
        <v>709</v>
      </c>
      <c r="C13" s="14">
        <f aca="true" t="shared" si="1" ref="C13:H13">SUM(C14:C24)</f>
        <v>895000</v>
      </c>
      <c r="D13" s="14">
        <f t="shared" si="1"/>
        <v>2468000</v>
      </c>
      <c r="E13" s="14">
        <f t="shared" si="1"/>
        <v>3360000</v>
      </c>
      <c r="F13" s="14">
        <f t="shared" si="1"/>
        <v>4302000</v>
      </c>
      <c r="G13" s="14">
        <f t="shared" si="1"/>
        <v>595000</v>
      </c>
      <c r="H13" s="14">
        <f t="shared" si="1"/>
        <v>11620000</v>
      </c>
    </row>
    <row r="14" spans="2:8" ht="22.5">
      <c r="B14" s="6" t="s">
        <v>695</v>
      </c>
      <c r="C14" s="17">
        <f>120000</f>
        <v>120000</v>
      </c>
      <c r="D14" s="17">
        <f>850000</f>
        <v>850000</v>
      </c>
      <c r="E14" s="17">
        <f>1130000</f>
        <v>1130000</v>
      </c>
      <c r="F14" s="17">
        <f>1500000</f>
        <v>1500000</v>
      </c>
      <c r="G14" s="17">
        <f>0</f>
        <v>0</v>
      </c>
      <c r="H14" s="17">
        <f>+C14+D14+E14+F14+G14</f>
        <v>3600000</v>
      </c>
    </row>
    <row r="15" spans="2:8" ht="33.75">
      <c r="B15" s="7" t="s">
        <v>139</v>
      </c>
      <c r="C15" s="5">
        <f>160000</f>
        <v>160000</v>
      </c>
      <c r="D15" s="5">
        <f>210000</f>
        <v>210000</v>
      </c>
      <c r="E15" s="5">
        <f>270000</f>
        <v>270000</v>
      </c>
      <c r="F15" s="5">
        <f>360000</f>
        <v>360000</v>
      </c>
      <c r="G15" s="5">
        <f>0</f>
        <v>0</v>
      </c>
      <c r="H15" s="5">
        <f aca="true" t="shared" si="2" ref="H15:H24">+C15+D15+E15+F15+G15</f>
        <v>1000000</v>
      </c>
    </row>
    <row r="16" spans="2:8" ht="33.75">
      <c r="B16" s="21" t="s">
        <v>140</v>
      </c>
      <c r="C16" s="5">
        <f>200000</f>
        <v>200000</v>
      </c>
      <c r="D16" s="5">
        <f>668000</f>
        <v>668000</v>
      </c>
      <c r="E16" s="5">
        <f>810000</f>
        <v>810000</v>
      </c>
      <c r="F16" s="5">
        <f>1042000</f>
        <v>1042000</v>
      </c>
      <c r="G16" s="5">
        <f>0</f>
        <v>0</v>
      </c>
      <c r="H16" s="5">
        <f t="shared" si="2"/>
        <v>2720000</v>
      </c>
    </row>
    <row r="17" spans="2:8" ht="22.5">
      <c r="B17" s="7" t="s">
        <v>359</v>
      </c>
      <c r="C17" s="5">
        <f>0</f>
        <v>0</v>
      </c>
      <c r="D17" s="5">
        <f>65000</f>
        <v>65000</v>
      </c>
      <c r="E17" s="5">
        <f>175000</f>
        <v>175000</v>
      </c>
      <c r="F17" s="5">
        <f>260000</f>
        <v>260000</v>
      </c>
      <c r="G17" s="5">
        <f>0</f>
        <v>0</v>
      </c>
      <c r="H17" s="5">
        <f t="shared" si="2"/>
        <v>500000</v>
      </c>
    </row>
    <row r="18" spans="2:8" ht="22.5">
      <c r="B18" s="7" t="s">
        <v>141</v>
      </c>
      <c r="C18" s="5">
        <f>0</f>
        <v>0</v>
      </c>
      <c r="D18" s="5">
        <f>110000</f>
        <v>110000</v>
      </c>
      <c r="E18" s="5">
        <f>190000</f>
        <v>190000</v>
      </c>
      <c r="F18" s="5">
        <f>0</f>
        <v>0</v>
      </c>
      <c r="G18" s="5">
        <f>0</f>
        <v>0</v>
      </c>
      <c r="H18" s="5">
        <f t="shared" si="2"/>
        <v>300000</v>
      </c>
    </row>
    <row r="19" spans="2:8" ht="22.5">
      <c r="B19" s="7" t="s">
        <v>696</v>
      </c>
      <c r="C19" s="5">
        <f>125000</f>
        <v>125000</v>
      </c>
      <c r="D19" s="5">
        <f>375000</f>
        <v>375000</v>
      </c>
      <c r="E19" s="5">
        <f>400000</f>
        <v>400000</v>
      </c>
      <c r="F19" s="5">
        <f>500000</f>
        <v>500000</v>
      </c>
      <c r="G19" s="5">
        <f>0</f>
        <v>0</v>
      </c>
      <c r="H19" s="5">
        <f t="shared" si="2"/>
        <v>1400000</v>
      </c>
    </row>
    <row r="20" spans="2:8" ht="12.75">
      <c r="B20" s="7" t="s">
        <v>697</v>
      </c>
      <c r="C20" s="5">
        <f>0</f>
        <v>0</v>
      </c>
      <c r="D20" s="5">
        <f>130000</f>
        <v>130000</v>
      </c>
      <c r="E20" s="5">
        <f>240000</f>
        <v>240000</v>
      </c>
      <c r="F20" s="5">
        <f>320000</f>
        <v>320000</v>
      </c>
      <c r="G20" s="5">
        <f>410000</f>
        <v>410000</v>
      </c>
      <c r="H20" s="5">
        <f t="shared" si="2"/>
        <v>1100000</v>
      </c>
    </row>
    <row r="21" spans="2:8" ht="12.75">
      <c r="B21" s="7" t="s">
        <v>143</v>
      </c>
      <c r="C21" s="5">
        <f>0</f>
        <v>0</v>
      </c>
      <c r="D21" s="5">
        <f>0</f>
        <v>0</v>
      </c>
      <c r="E21" s="5">
        <f>0</f>
        <v>0</v>
      </c>
      <c r="F21" s="5">
        <f>35000</f>
        <v>35000</v>
      </c>
      <c r="G21" s="5">
        <f>65000</f>
        <v>65000</v>
      </c>
      <c r="H21" s="5">
        <f t="shared" si="2"/>
        <v>100000</v>
      </c>
    </row>
    <row r="22" spans="2:8" ht="12.75">
      <c r="B22" s="7" t="s">
        <v>144</v>
      </c>
      <c r="C22" s="5">
        <f>0</f>
        <v>0</v>
      </c>
      <c r="D22" s="5">
        <f>0</f>
        <v>0</v>
      </c>
      <c r="E22" s="5">
        <f>80000</f>
        <v>80000</v>
      </c>
      <c r="F22" s="5">
        <f>140000</f>
        <v>140000</v>
      </c>
      <c r="G22" s="5">
        <f>30000</f>
        <v>30000</v>
      </c>
      <c r="H22" s="5">
        <f t="shared" si="2"/>
        <v>250000</v>
      </c>
    </row>
    <row r="23" spans="2:8" ht="22.5">
      <c r="B23" s="7" t="s">
        <v>145</v>
      </c>
      <c r="C23" s="5">
        <f>0</f>
        <v>0</v>
      </c>
      <c r="D23" s="5">
        <f>0</f>
        <v>0</v>
      </c>
      <c r="E23" s="5">
        <f>65000</f>
        <v>65000</v>
      </c>
      <c r="F23" s="5">
        <f>145000</f>
        <v>145000</v>
      </c>
      <c r="G23" s="5">
        <f>90000</f>
        <v>90000</v>
      </c>
      <c r="H23" s="5">
        <f t="shared" si="2"/>
        <v>300000</v>
      </c>
    </row>
    <row r="24" spans="2:8" ht="13.5" thickBot="1">
      <c r="B24" s="7" t="s">
        <v>146</v>
      </c>
      <c r="C24" s="27">
        <f>290000</f>
        <v>290000</v>
      </c>
      <c r="D24" s="27">
        <f>60000</f>
        <v>60000</v>
      </c>
      <c r="E24" s="27">
        <f>0</f>
        <v>0</v>
      </c>
      <c r="F24" s="27">
        <f>0</f>
        <v>0</v>
      </c>
      <c r="G24" s="27">
        <f>0</f>
        <v>0</v>
      </c>
      <c r="H24" s="27">
        <f t="shared" si="2"/>
        <v>350000</v>
      </c>
    </row>
    <row r="25" spans="2:8" ht="13.5" thickBot="1">
      <c r="B25" s="16" t="s">
        <v>708</v>
      </c>
      <c r="C25" s="108">
        <f aca="true" t="shared" si="3" ref="C25:H25">SUM(C26:C31)</f>
        <v>150000</v>
      </c>
      <c r="D25" s="108">
        <f t="shared" si="3"/>
        <v>360000</v>
      </c>
      <c r="E25" s="108">
        <f t="shared" si="3"/>
        <v>578000</v>
      </c>
      <c r="F25" s="108">
        <f t="shared" si="3"/>
        <v>577000</v>
      </c>
      <c r="G25" s="108">
        <f t="shared" si="3"/>
        <v>235000</v>
      </c>
      <c r="H25" s="23">
        <f t="shared" si="3"/>
        <v>1900000</v>
      </c>
    </row>
    <row r="26" spans="2:8" ht="12.75">
      <c r="B26" s="9" t="s">
        <v>694</v>
      </c>
      <c r="C26" s="17">
        <f>35000</f>
        <v>35000</v>
      </c>
      <c r="D26" s="17">
        <f>15000</f>
        <v>15000</v>
      </c>
      <c r="E26" s="17">
        <f>0</f>
        <v>0</v>
      </c>
      <c r="F26" s="17">
        <f>0</f>
        <v>0</v>
      </c>
      <c r="G26" s="17">
        <f>0</f>
        <v>0</v>
      </c>
      <c r="H26" s="17">
        <f aca="true" t="shared" si="4" ref="H26:H31">+C26+D26+E26+F26+G26</f>
        <v>50000</v>
      </c>
    </row>
    <row r="27" spans="2:8" ht="22.5">
      <c r="B27" s="10" t="s">
        <v>148</v>
      </c>
      <c r="C27" s="5">
        <f>35000</f>
        <v>35000</v>
      </c>
      <c r="D27" s="5">
        <f>15000</f>
        <v>15000</v>
      </c>
      <c r="E27" s="5">
        <f>0</f>
        <v>0</v>
      </c>
      <c r="F27" s="5">
        <f>0</f>
        <v>0</v>
      </c>
      <c r="G27" s="5">
        <f>0</f>
        <v>0</v>
      </c>
      <c r="H27" s="5">
        <f t="shared" si="4"/>
        <v>50000</v>
      </c>
    </row>
    <row r="28" spans="2:8" ht="33.75">
      <c r="B28" s="10" t="s">
        <v>698</v>
      </c>
      <c r="C28" s="5">
        <f>80000*0.75-10000</f>
        <v>50000</v>
      </c>
      <c r="D28" s="5">
        <f>120000*0.75+10000</f>
        <v>100000</v>
      </c>
      <c r="E28" s="5">
        <f>200000*0.75</f>
        <v>150000</v>
      </c>
      <c r="F28" s="5">
        <f>200000*0.75</f>
        <v>150000</v>
      </c>
      <c r="G28" s="5">
        <f>200000*0.75</f>
        <v>150000</v>
      </c>
      <c r="H28" s="5">
        <f t="shared" si="4"/>
        <v>600000</v>
      </c>
    </row>
    <row r="29" spans="2:8" ht="22.5">
      <c r="B29" s="11" t="s">
        <v>713</v>
      </c>
      <c r="C29" s="5">
        <v>30000</v>
      </c>
      <c r="D29" s="5">
        <v>25000</v>
      </c>
      <c r="E29" s="5">
        <v>15000</v>
      </c>
      <c r="F29" s="5">
        <v>15000</v>
      </c>
      <c r="G29" s="5">
        <v>15000</v>
      </c>
      <c r="H29" s="5">
        <f t="shared" si="4"/>
        <v>100000</v>
      </c>
    </row>
    <row r="30" spans="2:8" ht="12.75">
      <c r="B30" s="10" t="s">
        <v>700</v>
      </c>
      <c r="C30" s="5">
        <f>0</f>
        <v>0</v>
      </c>
      <c r="D30" s="5">
        <v>115000</v>
      </c>
      <c r="E30" s="5">
        <v>343000</v>
      </c>
      <c r="F30" s="5">
        <v>342000</v>
      </c>
      <c r="G30" s="5">
        <v>0</v>
      </c>
      <c r="H30" s="5">
        <f t="shared" si="4"/>
        <v>800000</v>
      </c>
    </row>
    <row r="31" spans="2:8" ht="13.5" thickBot="1">
      <c r="B31" s="12" t="s">
        <v>701</v>
      </c>
      <c r="C31" s="27">
        <f>0</f>
        <v>0</v>
      </c>
      <c r="D31" s="27">
        <f>90000</f>
        <v>90000</v>
      </c>
      <c r="E31" s="27">
        <f>70000</f>
        <v>70000</v>
      </c>
      <c r="F31" s="27">
        <f>70000</f>
        <v>70000</v>
      </c>
      <c r="G31" s="27">
        <f>70000</f>
        <v>70000</v>
      </c>
      <c r="H31" s="27">
        <f t="shared" si="4"/>
        <v>300000</v>
      </c>
    </row>
    <row r="32" spans="2:8" ht="13.5" thickBot="1">
      <c r="B32" s="16" t="s">
        <v>707</v>
      </c>
      <c r="C32" s="15">
        <f aca="true" t="shared" si="5" ref="C32:H32">SUM(C33:C42)</f>
        <v>180000</v>
      </c>
      <c r="D32" s="15">
        <f t="shared" si="5"/>
        <v>445000</v>
      </c>
      <c r="E32" s="15">
        <f t="shared" si="5"/>
        <v>740000</v>
      </c>
      <c r="F32" s="15">
        <f t="shared" si="5"/>
        <v>925000</v>
      </c>
      <c r="G32" s="15">
        <f t="shared" si="5"/>
        <v>890000</v>
      </c>
      <c r="H32" s="15">
        <f t="shared" si="5"/>
        <v>3180000</v>
      </c>
    </row>
    <row r="33" spans="2:8" ht="12.75">
      <c r="B33" s="12" t="s">
        <v>150</v>
      </c>
      <c r="C33" s="17">
        <f>80000</f>
        <v>80000</v>
      </c>
      <c r="D33" s="17">
        <f>150000</f>
        <v>150000</v>
      </c>
      <c r="E33" s="17">
        <f>150000</f>
        <v>150000</v>
      </c>
      <c r="F33" s="17">
        <f>170000</f>
        <v>170000</v>
      </c>
      <c r="G33" s="17">
        <f>150000</f>
        <v>150000</v>
      </c>
      <c r="H33" s="17">
        <f aca="true" t="shared" si="6" ref="H33:H42">+C33+D33+E33+F33+G33</f>
        <v>700000</v>
      </c>
    </row>
    <row r="34" spans="2:8" ht="12.75">
      <c r="B34" s="12" t="s">
        <v>151</v>
      </c>
      <c r="C34" s="5">
        <f>0</f>
        <v>0</v>
      </c>
      <c r="D34" s="5">
        <f>50000</f>
        <v>50000</v>
      </c>
      <c r="E34" s="5">
        <f>125000</f>
        <v>125000</v>
      </c>
      <c r="F34" s="5">
        <f>125000</f>
        <v>125000</v>
      </c>
      <c r="G34" s="5">
        <f>100000</f>
        <v>100000</v>
      </c>
      <c r="H34" s="5">
        <f t="shared" si="6"/>
        <v>400000</v>
      </c>
    </row>
    <row r="35" spans="2:8" ht="22.5">
      <c r="B35" s="10" t="s">
        <v>702</v>
      </c>
      <c r="C35" s="5">
        <f>0</f>
        <v>0</v>
      </c>
      <c r="D35" s="5">
        <f>0</f>
        <v>0</v>
      </c>
      <c r="E35" s="5">
        <f>30000</f>
        <v>30000</v>
      </c>
      <c r="F35" s="5">
        <f>0</f>
        <v>0</v>
      </c>
      <c r="G35" s="5">
        <f>0</f>
        <v>0</v>
      </c>
      <c r="H35" s="5">
        <f t="shared" si="6"/>
        <v>30000</v>
      </c>
    </row>
    <row r="36" spans="2:8" ht="22.5">
      <c r="B36" s="10" t="s">
        <v>705</v>
      </c>
      <c r="C36" s="5">
        <f>0</f>
        <v>0</v>
      </c>
      <c r="D36" s="5">
        <f>35000</f>
        <v>35000</v>
      </c>
      <c r="E36" s="5">
        <f>35000</f>
        <v>35000</v>
      </c>
      <c r="F36" s="5">
        <f>0</f>
        <v>0</v>
      </c>
      <c r="G36" s="5">
        <f>0</f>
        <v>0</v>
      </c>
      <c r="H36" s="5">
        <f t="shared" si="6"/>
        <v>70000</v>
      </c>
    </row>
    <row r="37" spans="2:8" ht="12.75">
      <c r="B37" s="10" t="s">
        <v>668</v>
      </c>
      <c r="C37" s="5">
        <f>0</f>
        <v>0</v>
      </c>
      <c r="D37" s="5">
        <f>20000</f>
        <v>20000</v>
      </c>
      <c r="E37" s="5">
        <f>10000</f>
        <v>10000</v>
      </c>
      <c r="F37" s="5">
        <f>0</f>
        <v>0</v>
      </c>
      <c r="G37" s="5">
        <f>0</f>
        <v>0</v>
      </c>
      <c r="H37" s="5">
        <f t="shared" si="6"/>
        <v>30000</v>
      </c>
    </row>
    <row r="38" spans="2:8" ht="22.5">
      <c r="B38" s="10" t="s">
        <v>703</v>
      </c>
      <c r="C38" s="5">
        <f>0</f>
        <v>0</v>
      </c>
      <c r="D38" s="5">
        <f>20000</f>
        <v>20000</v>
      </c>
      <c r="E38" s="5">
        <f>50000</f>
        <v>50000</v>
      </c>
      <c r="F38" s="5">
        <f>30000</f>
        <v>30000</v>
      </c>
      <c r="G38" s="5">
        <f>0</f>
        <v>0</v>
      </c>
      <c r="H38" s="5">
        <f t="shared" si="6"/>
        <v>100000</v>
      </c>
    </row>
    <row r="39" spans="2:8" ht="12.75">
      <c r="B39" s="10" t="s">
        <v>154</v>
      </c>
      <c r="C39" s="5">
        <f>100000</f>
        <v>100000</v>
      </c>
      <c r="D39" s="5">
        <f>100000</f>
        <v>100000</v>
      </c>
      <c r="E39" s="5">
        <f>100000</f>
        <v>100000</v>
      </c>
      <c r="F39" s="5">
        <f>100000</f>
        <v>100000</v>
      </c>
      <c r="G39" s="5">
        <f>100000</f>
        <v>100000</v>
      </c>
      <c r="H39" s="5">
        <f t="shared" si="6"/>
        <v>500000</v>
      </c>
    </row>
    <row r="40" spans="2:8" ht="12.75">
      <c r="B40" s="10" t="s">
        <v>704</v>
      </c>
      <c r="C40" s="5">
        <f>0</f>
        <v>0</v>
      </c>
      <c r="D40" s="5">
        <f>70000</f>
        <v>70000</v>
      </c>
      <c r="E40" s="5">
        <f>60000</f>
        <v>60000</v>
      </c>
      <c r="F40" s="5">
        <f>60000</f>
        <v>60000</v>
      </c>
      <c r="G40" s="5">
        <f>60000</f>
        <v>60000</v>
      </c>
      <c r="H40" s="5">
        <f t="shared" si="6"/>
        <v>250000</v>
      </c>
    </row>
    <row r="41" spans="2:8" ht="12.75">
      <c r="B41" s="10" t="s">
        <v>156</v>
      </c>
      <c r="C41" s="5">
        <f>0</f>
        <v>0</v>
      </c>
      <c r="D41" s="5">
        <f>0</f>
        <v>0</v>
      </c>
      <c r="E41" s="5">
        <f>30000</f>
        <v>30000</v>
      </c>
      <c r="F41" s="5">
        <f>40000</f>
        <v>40000</v>
      </c>
      <c r="G41" s="5">
        <f>30000</f>
        <v>30000</v>
      </c>
      <c r="H41" s="5">
        <f t="shared" si="6"/>
        <v>100000</v>
      </c>
    </row>
    <row r="42" spans="2:8" ht="13.5" thickBot="1">
      <c r="B42" s="10" t="s">
        <v>157</v>
      </c>
      <c r="C42" s="27">
        <f>0</f>
        <v>0</v>
      </c>
      <c r="D42" s="27">
        <f>0</f>
        <v>0</v>
      </c>
      <c r="E42" s="27">
        <f>150000</f>
        <v>150000</v>
      </c>
      <c r="F42" s="27">
        <f>400000</f>
        <v>400000</v>
      </c>
      <c r="G42" s="27">
        <f>450000</f>
        <v>450000</v>
      </c>
      <c r="H42" s="27">
        <f t="shared" si="6"/>
        <v>1000000</v>
      </c>
    </row>
    <row r="43" spans="2:8" ht="13.5" thickBot="1">
      <c r="B43" s="16" t="s">
        <v>706</v>
      </c>
      <c r="C43" s="15">
        <f aca="true" t="shared" si="7" ref="C43:H43">SUM(C44:C57)</f>
        <v>465000</v>
      </c>
      <c r="D43" s="15">
        <f t="shared" si="7"/>
        <v>2007500</v>
      </c>
      <c r="E43" s="15">
        <f t="shared" si="7"/>
        <v>3912500</v>
      </c>
      <c r="F43" s="15">
        <f t="shared" si="7"/>
        <v>85000</v>
      </c>
      <c r="G43" s="15">
        <f t="shared" si="7"/>
        <v>60000</v>
      </c>
      <c r="H43" s="15">
        <f t="shared" si="7"/>
        <v>6530000</v>
      </c>
    </row>
    <row r="44" spans="2:8" ht="12.75">
      <c r="B44" s="35" t="s">
        <v>732</v>
      </c>
      <c r="C44" s="17">
        <f>30000</f>
        <v>30000</v>
      </c>
      <c r="D44" s="17">
        <f>20000</f>
        <v>20000</v>
      </c>
      <c r="E44" s="17">
        <f>10000</f>
        <v>10000</v>
      </c>
      <c r="F44" s="17">
        <f>0</f>
        <v>0</v>
      </c>
      <c r="G44" s="17">
        <f>0</f>
        <v>0</v>
      </c>
      <c r="H44" s="17">
        <f aca="true" t="shared" si="8" ref="H44:H57">+C44+D44+E44+F44+G44</f>
        <v>60000</v>
      </c>
    </row>
    <row r="45" spans="2:8" ht="12.75">
      <c r="B45" s="12" t="s">
        <v>722</v>
      </c>
      <c r="C45" s="5">
        <f>0</f>
        <v>0</v>
      </c>
      <c r="D45" s="5">
        <f>70000</f>
        <v>70000</v>
      </c>
      <c r="E45" s="5">
        <f>60000</f>
        <v>60000</v>
      </c>
      <c r="F45" s="5">
        <f>60000</f>
        <v>60000</v>
      </c>
      <c r="G45" s="5">
        <f>60000</f>
        <v>60000</v>
      </c>
      <c r="H45" s="5">
        <f t="shared" si="8"/>
        <v>250000</v>
      </c>
    </row>
    <row r="46" spans="2:8" ht="12.75">
      <c r="B46" s="12" t="s">
        <v>723</v>
      </c>
      <c r="C46" s="5">
        <f>60000</f>
        <v>60000</v>
      </c>
      <c r="D46" s="5">
        <f>70000</f>
        <v>70000</v>
      </c>
      <c r="E46" s="5">
        <f>0</f>
        <v>0</v>
      </c>
      <c r="F46" s="5">
        <f>0</f>
        <v>0</v>
      </c>
      <c r="G46" s="5">
        <f>0</f>
        <v>0</v>
      </c>
      <c r="H46" s="5">
        <f t="shared" si="8"/>
        <v>130000</v>
      </c>
    </row>
    <row r="47" spans="2:8" ht="12.75">
      <c r="B47" s="12" t="s">
        <v>724</v>
      </c>
      <c r="C47" s="5">
        <f>50000</f>
        <v>50000</v>
      </c>
      <c r="D47" s="5">
        <f>(2265600-50000)*0.3</f>
        <v>664680</v>
      </c>
      <c r="E47" s="5">
        <f>(2265600-50000)*0.7</f>
        <v>1550920</v>
      </c>
      <c r="F47" s="5">
        <f>0</f>
        <v>0</v>
      </c>
      <c r="G47" s="5">
        <f>0</f>
        <v>0</v>
      </c>
      <c r="H47" s="5">
        <f t="shared" si="8"/>
        <v>2265600</v>
      </c>
    </row>
    <row r="48" spans="2:8" ht="22.5">
      <c r="B48" s="10" t="s">
        <v>725</v>
      </c>
      <c r="C48" s="5">
        <f>0</f>
        <v>0</v>
      </c>
      <c r="D48" s="5">
        <f>0</f>
        <v>0</v>
      </c>
      <c r="E48" s="5">
        <f>0</f>
        <v>0</v>
      </c>
      <c r="F48" s="5">
        <v>25000</v>
      </c>
      <c r="G48" s="5">
        <f>0</f>
        <v>0</v>
      </c>
      <c r="H48" s="5">
        <f t="shared" si="8"/>
        <v>25000</v>
      </c>
    </row>
    <row r="49" spans="2:8" ht="12.75">
      <c r="B49" s="12" t="s">
        <v>726</v>
      </c>
      <c r="C49" s="5">
        <f>0</f>
        <v>0</v>
      </c>
      <c r="D49" s="5">
        <f>70000</f>
        <v>70000</v>
      </c>
      <c r="E49" s="5">
        <f>0</f>
        <v>0</v>
      </c>
      <c r="F49" s="5">
        <f>0</f>
        <v>0</v>
      </c>
      <c r="G49" s="5">
        <f>0</f>
        <v>0</v>
      </c>
      <c r="H49" s="5">
        <f t="shared" si="8"/>
        <v>70000</v>
      </c>
    </row>
    <row r="50" spans="2:8" ht="12.75">
      <c r="B50" s="12" t="s">
        <v>162</v>
      </c>
      <c r="C50" s="5">
        <f>70000</f>
        <v>70000</v>
      </c>
      <c r="D50" s="5">
        <f>30000</f>
        <v>30000</v>
      </c>
      <c r="E50" s="5">
        <f>0</f>
        <v>0</v>
      </c>
      <c r="F50" s="5">
        <f>0</f>
        <v>0</v>
      </c>
      <c r="G50" s="5">
        <f>0</f>
        <v>0</v>
      </c>
      <c r="H50" s="5">
        <f t="shared" si="8"/>
        <v>100000</v>
      </c>
    </row>
    <row r="51" spans="2:8" ht="12.75">
      <c r="B51" s="12" t="s">
        <v>727</v>
      </c>
      <c r="C51" s="5">
        <f>40000</f>
        <v>40000</v>
      </c>
      <c r="D51" s="5">
        <f>0</f>
        <v>0</v>
      </c>
      <c r="E51" s="5">
        <f>0</f>
        <v>0</v>
      </c>
      <c r="F51" s="5">
        <f>0</f>
        <v>0</v>
      </c>
      <c r="G51" s="5">
        <f>0</f>
        <v>0</v>
      </c>
      <c r="H51" s="5">
        <f t="shared" si="8"/>
        <v>40000</v>
      </c>
    </row>
    <row r="52" spans="2:8" ht="12.75">
      <c r="B52" s="12" t="s">
        <v>164</v>
      </c>
      <c r="C52" s="5">
        <f>0</f>
        <v>0</v>
      </c>
      <c r="D52" s="5">
        <f>50000</f>
        <v>50000</v>
      </c>
      <c r="E52" s="5">
        <f>230000</f>
        <v>230000</v>
      </c>
      <c r="F52" s="5">
        <f>0</f>
        <v>0</v>
      </c>
      <c r="G52" s="5">
        <f>0</f>
        <v>0</v>
      </c>
      <c r="H52" s="5">
        <f t="shared" si="8"/>
        <v>280000</v>
      </c>
    </row>
    <row r="53" spans="2:8" ht="12.75">
      <c r="B53" s="12" t="s">
        <v>728</v>
      </c>
      <c r="C53" s="5">
        <f>0</f>
        <v>0</v>
      </c>
      <c r="D53" s="5">
        <f>100000</f>
        <v>100000</v>
      </c>
      <c r="E53" s="5">
        <f>85000</f>
        <v>85000</v>
      </c>
      <c r="F53" s="5">
        <f>0</f>
        <v>0</v>
      </c>
      <c r="G53" s="5">
        <f>0</f>
        <v>0</v>
      </c>
      <c r="H53" s="5">
        <f t="shared" si="8"/>
        <v>185000</v>
      </c>
    </row>
    <row r="54" spans="2:8" ht="12.75">
      <c r="B54" s="12" t="s">
        <v>729</v>
      </c>
      <c r="C54" s="5">
        <f>80000+60000</f>
        <v>140000</v>
      </c>
      <c r="D54" s="5">
        <f>(692200+875000)*0.3</f>
        <v>470160</v>
      </c>
      <c r="E54" s="5">
        <f>(692200+875000)*0.7</f>
        <v>1097040</v>
      </c>
      <c r="F54" s="5">
        <f>0</f>
        <v>0</v>
      </c>
      <c r="G54" s="5">
        <f>0</f>
        <v>0</v>
      </c>
      <c r="H54" s="5">
        <f t="shared" si="8"/>
        <v>1707200</v>
      </c>
    </row>
    <row r="55" spans="2:8" ht="12.75">
      <c r="B55" s="12" t="s">
        <v>731</v>
      </c>
      <c r="C55" s="5">
        <f>0</f>
        <v>0</v>
      </c>
      <c r="D55" s="5">
        <f>125000</f>
        <v>125000</v>
      </c>
      <c r="E55" s="5">
        <f>125000</f>
        <v>125000</v>
      </c>
      <c r="F55" s="5">
        <f>0</f>
        <v>0</v>
      </c>
      <c r="G55" s="5">
        <f>0</f>
        <v>0</v>
      </c>
      <c r="H55" s="5">
        <f t="shared" si="8"/>
        <v>250000</v>
      </c>
    </row>
    <row r="56" spans="2:8" ht="12.75">
      <c r="B56" s="12" t="s">
        <v>730</v>
      </c>
      <c r="C56" s="5">
        <f>25000</f>
        <v>25000</v>
      </c>
      <c r="D56" s="5">
        <f>(322200+720000)*0.3</f>
        <v>312660</v>
      </c>
      <c r="E56" s="5">
        <f>(322200+720000)*0.7</f>
        <v>729540</v>
      </c>
      <c r="F56" s="5">
        <f>0</f>
        <v>0</v>
      </c>
      <c r="G56" s="5">
        <f>0</f>
        <v>0</v>
      </c>
      <c r="H56" s="5">
        <f t="shared" si="8"/>
        <v>1067200</v>
      </c>
    </row>
    <row r="57" spans="2:8" ht="13.5" thickBot="1">
      <c r="B57" s="12" t="s">
        <v>637</v>
      </c>
      <c r="C57" s="27">
        <f>50000</f>
        <v>50000</v>
      </c>
      <c r="D57" s="27">
        <f>25000</f>
        <v>25000</v>
      </c>
      <c r="E57" s="27">
        <f>25000</f>
        <v>25000</v>
      </c>
      <c r="F57" s="27">
        <f>0</f>
        <v>0</v>
      </c>
      <c r="G57" s="27">
        <f>0</f>
        <v>0</v>
      </c>
      <c r="H57" s="27">
        <f t="shared" si="8"/>
        <v>100000</v>
      </c>
    </row>
    <row r="58" spans="2:8" ht="14.25" thickBot="1" thickTop="1">
      <c r="B58" s="24" t="s">
        <v>166</v>
      </c>
      <c r="C58" s="109">
        <f aca="true" t="shared" si="9" ref="C58:H58">+C59+C69+C71</f>
        <v>498240</v>
      </c>
      <c r="D58" s="109">
        <f t="shared" si="9"/>
        <v>265440</v>
      </c>
      <c r="E58" s="109">
        <f t="shared" si="9"/>
        <v>275440</v>
      </c>
      <c r="F58" s="109">
        <f t="shared" si="9"/>
        <v>245440</v>
      </c>
      <c r="G58" s="109">
        <f t="shared" si="9"/>
        <v>485440</v>
      </c>
      <c r="H58" s="109">
        <f t="shared" si="9"/>
        <v>1770000</v>
      </c>
    </row>
    <row r="59" spans="2:8" ht="14.25" thickBot="1" thickTop="1">
      <c r="B59" s="25" t="s">
        <v>168</v>
      </c>
      <c r="C59" s="26">
        <f aca="true" t="shared" si="10" ref="C59:H59">+C60+C64+C68</f>
        <v>322240</v>
      </c>
      <c r="D59" s="26">
        <f t="shared" si="10"/>
        <v>219440</v>
      </c>
      <c r="E59" s="26">
        <f t="shared" si="10"/>
        <v>219440</v>
      </c>
      <c r="F59" s="26">
        <f t="shared" si="10"/>
        <v>219440</v>
      </c>
      <c r="G59" s="26">
        <f t="shared" si="10"/>
        <v>219440</v>
      </c>
      <c r="H59" s="26">
        <f t="shared" si="10"/>
        <v>1200000</v>
      </c>
    </row>
    <row r="60" spans="2:8" ht="12.75">
      <c r="B60" s="36" t="s">
        <v>198</v>
      </c>
      <c r="C60" s="63">
        <f aca="true" t="shared" si="11" ref="C60:H60">SUM(C61:C63)</f>
        <v>201600</v>
      </c>
      <c r="D60" s="63">
        <f t="shared" si="11"/>
        <v>201600</v>
      </c>
      <c r="E60" s="63">
        <f t="shared" si="11"/>
        <v>201600</v>
      </c>
      <c r="F60" s="63">
        <f t="shared" si="11"/>
        <v>201600</v>
      </c>
      <c r="G60" s="63">
        <f t="shared" si="11"/>
        <v>201600</v>
      </c>
      <c r="H60" s="64">
        <f t="shared" si="11"/>
        <v>1008000</v>
      </c>
    </row>
    <row r="61" spans="2:8" ht="12.75">
      <c r="B61" s="60" t="s">
        <v>196</v>
      </c>
      <c r="C61" s="8">
        <f>+'ADMINIST.SAL.'!$D$12+'ADMINIST.SAL.'!$D$13</f>
        <v>66000</v>
      </c>
      <c r="D61" s="8">
        <f>+'ADMINIST.SAL.'!$D$12+'ADMINIST.SAL.'!$D$13</f>
        <v>66000</v>
      </c>
      <c r="E61" s="8">
        <f>+'ADMINIST.SAL.'!$D$12+'ADMINIST.SAL.'!$D$13</f>
        <v>66000</v>
      </c>
      <c r="F61" s="8">
        <f>+'ADMINIST.SAL.'!$D$12+'ADMINIST.SAL.'!$D$13</f>
        <v>66000</v>
      </c>
      <c r="G61" s="8">
        <f>+'ADMINIST.SAL.'!$D$12+'ADMINIST.SAL.'!$D$13</f>
        <v>66000</v>
      </c>
      <c r="H61" s="5">
        <f>+C61+D61+E61+F61+G61</f>
        <v>330000</v>
      </c>
    </row>
    <row r="62" spans="2:8" ht="12.75">
      <c r="B62" s="37" t="s">
        <v>199</v>
      </c>
      <c r="C62" s="8">
        <f>+'ADMINIST.SAL.'!$D$15+'ADMINIST.SAL.'!$D$16+'ADMINIST.SAL.'!$D$17+'ADMINIST.SAL.'!$D$18</f>
        <v>81600</v>
      </c>
      <c r="D62" s="8">
        <f>+'ADMINIST.SAL.'!$D$15+'ADMINIST.SAL.'!$D$16+'ADMINIST.SAL.'!$D$17+'ADMINIST.SAL.'!$D$18</f>
        <v>81600</v>
      </c>
      <c r="E62" s="8">
        <f>+'ADMINIST.SAL.'!$D$15+'ADMINIST.SAL.'!$D$16+'ADMINIST.SAL.'!$D$17+'ADMINIST.SAL.'!$D$18</f>
        <v>81600</v>
      </c>
      <c r="F62" s="8">
        <f>+'ADMINIST.SAL.'!$D$15+'ADMINIST.SAL.'!$D$16+'ADMINIST.SAL.'!$D$17+'ADMINIST.SAL.'!$D$18</f>
        <v>81600</v>
      </c>
      <c r="G62" s="8">
        <f>+'ADMINIST.SAL.'!$D$15+'ADMINIST.SAL.'!$D$16+'ADMINIST.SAL.'!$D$17+'ADMINIST.SAL.'!$D$18</f>
        <v>81600</v>
      </c>
      <c r="H62" s="5">
        <f>+C62+D62+E62+F62+G62</f>
        <v>408000</v>
      </c>
    </row>
    <row r="63" spans="2:8" ht="12.75">
      <c r="B63" s="37" t="s">
        <v>197</v>
      </c>
      <c r="C63" s="8">
        <f>+'ADMINIST.SAL.'!$D$20+'ADMINIST.SAL.'!$D$21</f>
        <v>54000</v>
      </c>
      <c r="D63" s="8">
        <f>+'ADMINIST.SAL.'!$D$20+'ADMINIST.SAL.'!$D$21</f>
        <v>54000</v>
      </c>
      <c r="E63" s="8">
        <f>+'ADMINIST.SAL.'!$D$20+'ADMINIST.SAL.'!$D$21</f>
        <v>54000</v>
      </c>
      <c r="F63" s="8">
        <f>+'ADMINIST.SAL.'!$D$20+'ADMINIST.SAL.'!$D$21</f>
        <v>54000</v>
      </c>
      <c r="G63" s="8">
        <f>+'ADMINIST.SAL.'!$D$20+'ADMINIST.SAL.'!$D$21</f>
        <v>54000</v>
      </c>
      <c r="H63" s="5">
        <f>+C63+D63+E63+F63+G63</f>
        <v>270000</v>
      </c>
    </row>
    <row r="64" spans="2:8" ht="12.75">
      <c r="B64" s="37" t="s">
        <v>200</v>
      </c>
      <c r="C64" s="65">
        <f aca="true" t="shared" si="12" ref="C64:H64">SUM(C65:C67)</f>
        <v>102800</v>
      </c>
      <c r="D64" s="65">
        <f t="shared" si="12"/>
        <v>0</v>
      </c>
      <c r="E64" s="65">
        <f t="shared" si="12"/>
        <v>0</v>
      </c>
      <c r="F64" s="65">
        <f t="shared" si="12"/>
        <v>0</v>
      </c>
      <c r="G64" s="65">
        <f t="shared" si="12"/>
        <v>0</v>
      </c>
      <c r="H64" s="66">
        <f t="shared" si="12"/>
        <v>102800</v>
      </c>
    </row>
    <row r="65" spans="2:8" ht="12.75">
      <c r="B65" s="37" t="s">
        <v>234</v>
      </c>
      <c r="C65" s="8">
        <f>+'ADMINIST.EQUIP.'!E11+'ADMINIST.EQUIP.'!E23</f>
        <v>58800</v>
      </c>
      <c r="D65" s="8">
        <f>0</f>
        <v>0</v>
      </c>
      <c r="E65" s="8">
        <f>0</f>
        <v>0</v>
      </c>
      <c r="F65" s="8">
        <f>0</f>
        <v>0</v>
      </c>
      <c r="G65" s="8">
        <f>0</f>
        <v>0</v>
      </c>
      <c r="H65" s="5">
        <f>+C65+D65+E65+F65+G65</f>
        <v>58800</v>
      </c>
    </row>
    <row r="66" spans="2:8" ht="12.75">
      <c r="B66" s="37" t="s">
        <v>201</v>
      </c>
      <c r="C66" s="8">
        <f>+'ADMINIST.EQUIP.'!E26</f>
        <v>17000</v>
      </c>
      <c r="D66" s="8">
        <f>0</f>
        <v>0</v>
      </c>
      <c r="E66" s="8">
        <f>0</f>
        <v>0</v>
      </c>
      <c r="F66" s="8">
        <f>0</f>
        <v>0</v>
      </c>
      <c r="G66" s="8">
        <f>0</f>
        <v>0</v>
      </c>
      <c r="H66" s="5">
        <f>+C66+D66+E66+F66+G66</f>
        <v>17000</v>
      </c>
    </row>
    <row r="67" spans="2:8" ht="12.75">
      <c r="B67" s="37" t="s">
        <v>202</v>
      </c>
      <c r="C67" s="8">
        <f>+'ADMINIST.EQUIP.'!$E$33</f>
        <v>27000</v>
      </c>
      <c r="D67" s="8">
        <f>0</f>
        <v>0</v>
      </c>
      <c r="E67" s="8">
        <f>0</f>
        <v>0</v>
      </c>
      <c r="F67" s="8">
        <f>0</f>
        <v>0</v>
      </c>
      <c r="G67" s="8">
        <f>0</f>
        <v>0</v>
      </c>
      <c r="H67" s="5">
        <f>+C67+D67+E67+F67+G67</f>
        <v>27000</v>
      </c>
    </row>
    <row r="68" spans="2:8" ht="13.5" thickBot="1">
      <c r="B68" s="37" t="s">
        <v>203</v>
      </c>
      <c r="C68" s="110">
        <f>+'ADMINIST.OPER.'!$E$22/5</f>
        <v>17840</v>
      </c>
      <c r="D68" s="110">
        <f>+'ADMINIST.OPER.'!$E$22/5</f>
        <v>17840</v>
      </c>
      <c r="E68" s="110">
        <f>+'ADMINIST.OPER.'!$E$22/5</f>
        <v>17840</v>
      </c>
      <c r="F68" s="110">
        <f>+'ADMINIST.OPER.'!$E$22/5</f>
        <v>17840</v>
      </c>
      <c r="G68" s="110">
        <f>+'ADMINIST.OPER.'!$E$22/5</f>
        <v>17840</v>
      </c>
      <c r="H68" s="111">
        <f>+C68+D68+E68+F68+G68</f>
        <v>89200</v>
      </c>
    </row>
    <row r="69" spans="2:8" ht="13.5" thickBot="1">
      <c r="B69" s="29" t="s">
        <v>169</v>
      </c>
      <c r="C69" s="15">
        <f aca="true" t="shared" si="13" ref="C69:H69">SUM(C70)</f>
        <v>26000</v>
      </c>
      <c r="D69" s="15">
        <f t="shared" si="13"/>
        <v>26000</v>
      </c>
      <c r="E69" s="15">
        <f t="shared" si="13"/>
        <v>26000</v>
      </c>
      <c r="F69" s="15">
        <f t="shared" si="13"/>
        <v>26000</v>
      </c>
      <c r="G69" s="15">
        <f t="shared" si="13"/>
        <v>26000</v>
      </c>
      <c r="H69" s="15">
        <f t="shared" si="13"/>
        <v>130000</v>
      </c>
    </row>
    <row r="70" spans="2:8" ht="13.5" thickBot="1">
      <c r="B70" s="38" t="s">
        <v>170</v>
      </c>
      <c r="C70" s="22">
        <f>+'PRESUP.CONS.'!$C$70/5</f>
        <v>26000</v>
      </c>
      <c r="D70" s="22">
        <f>+'PRESUP.CONS.'!$C$70/5</f>
        <v>26000</v>
      </c>
      <c r="E70" s="22">
        <f>+'PRESUP.CONS.'!$C$70/5</f>
        <v>26000</v>
      </c>
      <c r="F70" s="22">
        <f>+'PRESUP.CONS.'!$C$70/5</f>
        <v>26000</v>
      </c>
      <c r="G70" s="22">
        <f>+'PRESUP.CONS.'!$C$70/5</f>
        <v>26000</v>
      </c>
      <c r="H70" s="17">
        <f>+C70+D70+E70+F70+G70</f>
        <v>130000</v>
      </c>
    </row>
    <row r="71" spans="2:8" ht="13.5" thickBot="1">
      <c r="B71" s="16" t="s">
        <v>171</v>
      </c>
      <c r="C71" s="30">
        <f aca="true" t="shared" si="14" ref="C71:H71">+C72+C76</f>
        <v>150000</v>
      </c>
      <c r="D71" s="30">
        <f t="shared" si="14"/>
        <v>20000</v>
      </c>
      <c r="E71" s="30">
        <f t="shared" si="14"/>
        <v>30000</v>
      </c>
      <c r="F71" s="30">
        <f t="shared" si="14"/>
        <v>0</v>
      </c>
      <c r="G71" s="30">
        <f t="shared" si="14"/>
        <v>240000</v>
      </c>
      <c r="H71" s="30">
        <f t="shared" si="14"/>
        <v>440000</v>
      </c>
    </row>
    <row r="72" spans="2:8" ht="12.75">
      <c r="B72" s="36" t="s">
        <v>646</v>
      </c>
      <c r="C72" s="63">
        <f aca="true" t="shared" si="15" ref="C72:H72">SUM(C73:C75)</f>
        <v>0</v>
      </c>
      <c r="D72" s="63">
        <f t="shared" si="15"/>
        <v>20000</v>
      </c>
      <c r="E72" s="63">
        <f t="shared" si="15"/>
        <v>30000</v>
      </c>
      <c r="F72" s="63">
        <f t="shared" si="15"/>
        <v>0</v>
      </c>
      <c r="G72" s="63">
        <f t="shared" si="15"/>
        <v>40000</v>
      </c>
      <c r="H72" s="63">
        <f t="shared" si="15"/>
        <v>90000</v>
      </c>
    </row>
    <row r="73" spans="2:8" ht="12.75">
      <c r="B73" s="37" t="s">
        <v>647</v>
      </c>
      <c r="C73" s="8">
        <f>0</f>
        <v>0</v>
      </c>
      <c r="D73" s="8">
        <f>+'PRESUP.CONS.'!C73</f>
        <v>20000</v>
      </c>
      <c r="E73" s="8">
        <f>0</f>
        <v>0</v>
      </c>
      <c r="F73" s="8">
        <f>0</f>
        <v>0</v>
      </c>
      <c r="G73" s="8">
        <f>0</f>
        <v>0</v>
      </c>
      <c r="H73" s="5">
        <f>+C73+D73+E73+F73+G73</f>
        <v>20000</v>
      </c>
    </row>
    <row r="74" spans="2:8" ht="12.75">
      <c r="B74" s="37" t="s">
        <v>648</v>
      </c>
      <c r="C74" s="8">
        <f>0</f>
        <v>0</v>
      </c>
      <c r="D74" s="8">
        <f>0</f>
        <v>0</v>
      </c>
      <c r="E74" s="8">
        <f>+'PRESUP.CONS.'!C74</f>
        <v>30000</v>
      </c>
      <c r="F74" s="8">
        <f>0</f>
        <v>0</v>
      </c>
      <c r="G74" s="8">
        <f>0</f>
        <v>0</v>
      </c>
      <c r="H74" s="5">
        <f>+C74+D74+E74+F74+G74</f>
        <v>30000</v>
      </c>
    </row>
    <row r="75" spans="2:8" ht="12.75">
      <c r="B75" s="37" t="s">
        <v>649</v>
      </c>
      <c r="C75" s="8">
        <f>0</f>
        <v>0</v>
      </c>
      <c r="D75" s="8">
        <f>0</f>
        <v>0</v>
      </c>
      <c r="E75" s="8">
        <f>0</f>
        <v>0</v>
      </c>
      <c r="F75" s="8">
        <f>0</f>
        <v>0</v>
      </c>
      <c r="G75" s="8">
        <f>+'PRESUP.CONS.'!C75</f>
        <v>40000</v>
      </c>
      <c r="H75" s="5">
        <f>+C75+D75+E75+F75+G75</f>
        <v>40000</v>
      </c>
    </row>
    <row r="76" spans="2:8" ht="12.75">
      <c r="B76" s="37" t="s">
        <v>650</v>
      </c>
      <c r="C76" s="65">
        <f aca="true" t="shared" si="16" ref="C76:H76">SUM(C77:C78)</f>
        <v>150000</v>
      </c>
      <c r="D76" s="65">
        <f t="shared" si="16"/>
        <v>0</v>
      </c>
      <c r="E76" s="65">
        <f t="shared" si="16"/>
        <v>0</v>
      </c>
      <c r="F76" s="65">
        <f t="shared" si="16"/>
        <v>0</v>
      </c>
      <c r="G76" s="65">
        <f t="shared" si="16"/>
        <v>200000</v>
      </c>
      <c r="H76" s="65">
        <f t="shared" si="16"/>
        <v>350000</v>
      </c>
    </row>
    <row r="77" spans="2:8" ht="12.75">
      <c r="B77" s="38" t="s">
        <v>651</v>
      </c>
      <c r="C77" s="22">
        <f>+'PRESUP.CONS.'!C77</f>
        <v>150000</v>
      </c>
      <c r="D77" s="22">
        <f>0</f>
        <v>0</v>
      </c>
      <c r="E77" s="22">
        <f>0</f>
        <v>0</v>
      </c>
      <c r="F77" s="22">
        <f>0</f>
        <v>0</v>
      </c>
      <c r="G77" s="22">
        <f>0</f>
        <v>0</v>
      </c>
      <c r="H77" s="5">
        <f>+C77+D77+E77+F77+G77</f>
        <v>150000</v>
      </c>
    </row>
    <row r="78" spans="2:8" ht="13.5" thickBot="1">
      <c r="B78" s="541" t="s">
        <v>652</v>
      </c>
      <c r="C78" s="540">
        <f>0</f>
        <v>0</v>
      </c>
      <c r="D78" s="540">
        <f>0</f>
        <v>0</v>
      </c>
      <c r="E78" s="540">
        <f>0</f>
        <v>0</v>
      </c>
      <c r="F78" s="540">
        <f>0</f>
        <v>0</v>
      </c>
      <c r="G78" s="540">
        <f>+'PRESUP.CONS.'!C78</f>
        <v>200000</v>
      </c>
      <c r="H78" s="5">
        <f>+C78+D78+E78+F78+G78</f>
        <v>200000</v>
      </c>
    </row>
    <row r="79" spans="2:8" ht="14.25" thickBot="1" thickTop="1">
      <c r="B79" s="13" t="s">
        <v>172</v>
      </c>
      <c r="C79" s="2">
        <f>0</f>
        <v>0</v>
      </c>
      <c r="D79" s="2">
        <f>0</f>
        <v>0</v>
      </c>
      <c r="E79" s="2">
        <f>0</f>
        <v>0</v>
      </c>
      <c r="F79" s="2">
        <f>0</f>
        <v>0</v>
      </c>
      <c r="G79" s="2">
        <f>0</f>
        <v>0</v>
      </c>
      <c r="H79" s="112">
        <f>+C79+D79+E79+F79+G79</f>
        <v>0</v>
      </c>
    </row>
    <row r="80" spans="2:8" ht="14.25" thickBot="1" thickTop="1">
      <c r="B80" s="19" t="s">
        <v>136</v>
      </c>
      <c r="C80" s="20">
        <f aca="true" t="shared" si="17" ref="C80:H80">+C12+C58+C79</f>
        <v>2188240</v>
      </c>
      <c r="D80" s="20">
        <f t="shared" si="17"/>
        <v>5545940</v>
      </c>
      <c r="E80" s="20">
        <f t="shared" si="17"/>
        <v>8865940</v>
      </c>
      <c r="F80" s="20">
        <f t="shared" si="17"/>
        <v>6134440</v>
      </c>
      <c r="G80" s="20">
        <f t="shared" si="17"/>
        <v>2265440</v>
      </c>
      <c r="H80" s="20">
        <f t="shared" si="17"/>
        <v>25000000</v>
      </c>
    </row>
    <row r="81" ht="14.25" thickBot="1" thickTop="1"/>
    <row r="82" spans="2:8" ht="14.25" thickBot="1" thickTop="1">
      <c r="B82" s="114" t="s">
        <v>243</v>
      </c>
      <c r="C82" s="113">
        <f>+C80/$H$80</f>
        <v>0.0875296</v>
      </c>
      <c r="D82" s="113">
        <f>+D80/$H$80</f>
        <v>0.2218376</v>
      </c>
      <c r="E82" s="113">
        <f>+E80/$H$80</f>
        <v>0.3546376</v>
      </c>
      <c r="F82" s="113">
        <f>+F80/$H$80</f>
        <v>0.2453776</v>
      </c>
      <c r="G82" s="113">
        <f>+G80/$H$80</f>
        <v>0.0906176</v>
      </c>
      <c r="H82" s="113">
        <f>+C82+D82+E82+F82+G82</f>
        <v>1</v>
      </c>
    </row>
    <row r="83" ht="13.5" thickTop="1"/>
  </sheetData>
  <sheetProtection/>
  <mergeCells count="13">
    <mergeCell ref="B2:H2"/>
    <mergeCell ref="B3:H3"/>
    <mergeCell ref="B4:H4"/>
    <mergeCell ref="B5:H5"/>
    <mergeCell ref="B6:H6"/>
    <mergeCell ref="B7:H7"/>
    <mergeCell ref="B9:B11"/>
    <mergeCell ref="C9:C11"/>
    <mergeCell ref="D9:D11"/>
    <mergeCell ref="H9:H11"/>
    <mergeCell ref="E9:E11"/>
    <mergeCell ref="F9:F11"/>
    <mergeCell ref="G9:G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48"/>
  <sheetViews>
    <sheetView showGridLines="0" zoomScalePageLayoutView="0" workbookViewId="0" topLeftCell="A1">
      <selection activeCell="C24" sqref="C24"/>
    </sheetView>
  </sheetViews>
  <sheetFormatPr defaultColWidth="9.140625" defaultRowHeight="12.75"/>
  <cols>
    <col min="2" max="2" width="16.57421875" style="0" customWidth="1"/>
    <col min="3" max="3" width="84.421875" style="0" customWidth="1"/>
    <col min="4" max="4" width="14.28125" style="0" customWidth="1"/>
    <col min="5" max="9" width="8.7109375" style="0" customWidth="1"/>
    <col min="10" max="10" width="19.00390625" style="0" customWidth="1"/>
    <col min="11" max="11" width="15.57421875" style="0" customWidth="1"/>
    <col min="12" max="13" width="15.421875" style="0" customWidth="1"/>
    <col min="14" max="14" width="13.7109375" style="0" customWidth="1"/>
    <col min="15" max="16" width="21.7109375" style="0" customWidth="1"/>
    <col min="17" max="17" width="11.421875" style="0" customWidth="1"/>
    <col min="18" max="18" width="15.7109375" style="0" customWidth="1"/>
  </cols>
  <sheetData>
    <row r="1" ht="13.5" thickBot="1"/>
    <row r="2" spans="1:18" ht="12.75">
      <c r="A2" s="1"/>
      <c r="B2" s="613" t="s">
        <v>173</v>
      </c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5"/>
    </row>
    <row r="3" spans="1:18" ht="12.75">
      <c r="A3" s="1"/>
      <c r="B3" s="604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6"/>
    </row>
    <row r="4" spans="1:18" ht="12.75">
      <c r="A4" s="1"/>
      <c r="B4" s="604" t="s">
        <v>471</v>
      </c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6"/>
    </row>
    <row r="5" spans="1:18" ht="12.75">
      <c r="A5" s="1"/>
      <c r="B5" s="616" t="s">
        <v>137</v>
      </c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8"/>
    </row>
    <row r="6" spans="1:18" ht="12.75">
      <c r="A6" s="1"/>
      <c r="B6" s="184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5"/>
    </row>
    <row r="7" spans="1:18" ht="12.75">
      <c r="A7" s="1"/>
      <c r="B7" s="604" t="s">
        <v>244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6"/>
    </row>
    <row r="8" spans="1:18" ht="13.5" thickBot="1">
      <c r="A8" s="1"/>
      <c r="B8" s="616"/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8"/>
    </row>
    <row r="9" spans="1:18" ht="13.5" thickBot="1">
      <c r="A9" s="1"/>
      <c r="B9" s="619" t="s">
        <v>245</v>
      </c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0"/>
      <c r="R9" s="621"/>
    </row>
    <row r="10" spans="1:18" ht="12.75">
      <c r="A10" s="1"/>
      <c r="B10" s="625" t="s">
        <v>246</v>
      </c>
      <c r="C10" s="627" t="s">
        <v>247</v>
      </c>
      <c r="D10" s="191" t="s">
        <v>248</v>
      </c>
      <c r="E10" s="629" t="s">
        <v>249</v>
      </c>
      <c r="F10" s="629"/>
      <c r="G10" s="629"/>
      <c r="H10" s="629"/>
      <c r="I10" s="629"/>
      <c r="J10" s="623" t="s">
        <v>250</v>
      </c>
      <c r="K10" s="192" t="s">
        <v>251</v>
      </c>
      <c r="L10" s="622" t="s">
        <v>252</v>
      </c>
      <c r="M10" s="622"/>
      <c r="N10" s="622" t="s">
        <v>253</v>
      </c>
      <c r="O10" s="622" t="s">
        <v>254</v>
      </c>
      <c r="P10" s="622"/>
      <c r="Q10" s="623" t="s">
        <v>255</v>
      </c>
      <c r="R10" s="611" t="s">
        <v>256</v>
      </c>
    </row>
    <row r="11" spans="1:18" ht="23.25" thickBot="1">
      <c r="A11" s="1"/>
      <c r="B11" s="626"/>
      <c r="C11" s="628"/>
      <c r="D11" s="193" t="s">
        <v>257</v>
      </c>
      <c r="E11" s="235">
        <v>2014</v>
      </c>
      <c r="F11" s="235">
        <v>2015</v>
      </c>
      <c r="G11" s="235">
        <v>2016</v>
      </c>
      <c r="H11" s="235">
        <v>2017</v>
      </c>
      <c r="I11" s="235">
        <v>2018</v>
      </c>
      <c r="J11" s="630"/>
      <c r="K11" s="194" t="s">
        <v>258</v>
      </c>
      <c r="L11" s="195" t="s">
        <v>259</v>
      </c>
      <c r="M11" s="195" t="s">
        <v>260</v>
      </c>
      <c r="N11" s="631"/>
      <c r="O11" s="195" t="s">
        <v>261</v>
      </c>
      <c r="P11" s="195" t="s">
        <v>262</v>
      </c>
      <c r="Q11" s="624"/>
      <c r="R11" s="612"/>
    </row>
    <row r="12" spans="1:18" ht="13.5" thickBot="1">
      <c r="A12" s="1"/>
      <c r="B12" s="607" t="s">
        <v>263</v>
      </c>
      <c r="C12" s="608"/>
      <c r="D12" s="115">
        <f aca="true" t="shared" si="0" ref="D12:I12">SUM(D13:D25)</f>
        <v>643800</v>
      </c>
      <c r="E12" s="115">
        <f t="shared" si="0"/>
        <v>202800</v>
      </c>
      <c r="F12" s="115">
        <f t="shared" si="0"/>
        <v>197000</v>
      </c>
      <c r="G12" s="196">
        <f t="shared" si="0"/>
        <v>70000</v>
      </c>
      <c r="H12" s="196">
        <f t="shared" si="0"/>
        <v>74000</v>
      </c>
      <c r="I12" s="196">
        <f t="shared" si="0"/>
        <v>100000</v>
      </c>
      <c r="J12" s="197"/>
      <c r="K12" s="197"/>
      <c r="L12" s="197"/>
      <c r="M12" s="197"/>
      <c r="N12" s="197"/>
      <c r="O12" s="197"/>
      <c r="P12" s="197"/>
      <c r="Q12" s="197"/>
      <c r="R12" s="198"/>
    </row>
    <row r="13" spans="1:18" ht="22.5">
      <c r="A13" s="1"/>
      <c r="B13" s="116" t="s">
        <v>440</v>
      </c>
      <c r="C13" s="241" t="s">
        <v>441</v>
      </c>
      <c r="D13" s="117">
        <f>15000+45000</f>
        <v>60000</v>
      </c>
      <c r="E13" s="117">
        <f>0</f>
        <v>0</v>
      </c>
      <c r="F13" s="117">
        <f>+D13</f>
        <v>60000</v>
      </c>
      <c r="G13" s="118">
        <f>0</f>
        <v>0</v>
      </c>
      <c r="H13" s="118">
        <f>0</f>
        <v>0</v>
      </c>
      <c r="I13" s="118">
        <f>0</f>
        <v>0</v>
      </c>
      <c r="J13" s="119" t="s">
        <v>343</v>
      </c>
      <c r="K13" s="120" t="s">
        <v>331</v>
      </c>
      <c r="L13" s="121">
        <v>1</v>
      </c>
      <c r="M13" s="122">
        <v>0</v>
      </c>
      <c r="N13" s="120" t="s">
        <v>332</v>
      </c>
      <c r="O13" s="120" t="s">
        <v>383</v>
      </c>
      <c r="P13" s="120" t="s">
        <v>363</v>
      </c>
      <c r="Q13" s="120" t="s">
        <v>335</v>
      </c>
      <c r="R13" s="123"/>
    </row>
    <row r="14" spans="1:18" ht="22.5">
      <c r="A14" s="1"/>
      <c r="B14" s="124" t="s">
        <v>447</v>
      </c>
      <c r="C14" s="242" t="s">
        <v>442</v>
      </c>
      <c r="D14" s="125">
        <f>10000+30000</f>
        <v>40000</v>
      </c>
      <c r="E14" s="125">
        <f>0</f>
        <v>0</v>
      </c>
      <c r="F14" s="125">
        <f>+D14</f>
        <v>40000</v>
      </c>
      <c r="G14" s="126">
        <f>0</f>
        <v>0</v>
      </c>
      <c r="H14" s="126">
        <f>0</f>
        <v>0</v>
      </c>
      <c r="I14" s="126">
        <f>0</f>
        <v>0</v>
      </c>
      <c r="J14" s="127" t="s">
        <v>382</v>
      </c>
      <c r="K14" s="127" t="s">
        <v>598</v>
      </c>
      <c r="L14" s="128">
        <v>1</v>
      </c>
      <c r="M14" s="128">
        <v>0</v>
      </c>
      <c r="N14" s="127" t="s">
        <v>332</v>
      </c>
      <c r="O14" s="129" t="s">
        <v>383</v>
      </c>
      <c r="P14" s="129" t="s">
        <v>363</v>
      </c>
      <c r="Q14" s="127" t="s">
        <v>335</v>
      </c>
      <c r="R14" s="130"/>
    </row>
    <row r="15" spans="1:18" ht="22.5">
      <c r="A15" s="1"/>
      <c r="B15" s="131" t="s">
        <v>448</v>
      </c>
      <c r="C15" s="243" t="s">
        <v>632</v>
      </c>
      <c r="D15" s="117">
        <f>18000</f>
        <v>18000</v>
      </c>
      <c r="E15" s="117">
        <f>0</f>
        <v>0</v>
      </c>
      <c r="F15" s="117">
        <f>+D15</f>
        <v>18000</v>
      </c>
      <c r="G15" s="118">
        <f>0</f>
        <v>0</v>
      </c>
      <c r="H15" s="118">
        <f>0</f>
        <v>0</v>
      </c>
      <c r="I15" s="118">
        <f>0</f>
        <v>0</v>
      </c>
      <c r="J15" s="119" t="s">
        <v>382</v>
      </c>
      <c r="K15" s="120" t="s">
        <v>598</v>
      </c>
      <c r="L15" s="121">
        <v>1</v>
      </c>
      <c r="M15" s="122">
        <v>0</v>
      </c>
      <c r="N15" s="120" t="s">
        <v>332</v>
      </c>
      <c r="O15" s="120" t="s">
        <v>363</v>
      </c>
      <c r="P15" s="120" t="s">
        <v>368</v>
      </c>
      <c r="Q15" s="120" t="s">
        <v>335</v>
      </c>
      <c r="R15" s="123"/>
    </row>
    <row r="16" spans="1:18" ht="22.5">
      <c r="A16" s="1"/>
      <c r="B16" s="132" t="s">
        <v>451</v>
      </c>
      <c r="C16" s="243" t="s">
        <v>452</v>
      </c>
      <c r="D16" s="117">
        <f>194400</f>
        <v>194400</v>
      </c>
      <c r="E16" s="133">
        <f>70000+10400</f>
        <v>80400</v>
      </c>
      <c r="F16" s="133">
        <f>44000</f>
        <v>44000</v>
      </c>
      <c r="G16" s="134">
        <f>35000</f>
        <v>35000</v>
      </c>
      <c r="H16" s="134">
        <f>35000</f>
        <v>35000</v>
      </c>
      <c r="I16" s="134">
        <f>0</f>
        <v>0</v>
      </c>
      <c r="J16" s="135" t="s">
        <v>343</v>
      </c>
      <c r="K16" s="136" t="s">
        <v>331</v>
      </c>
      <c r="L16" s="137">
        <v>1</v>
      </c>
      <c r="M16" s="138">
        <v>0</v>
      </c>
      <c r="N16" s="136" t="s">
        <v>332</v>
      </c>
      <c r="O16" s="136" t="s">
        <v>334</v>
      </c>
      <c r="P16" s="136" t="s">
        <v>364</v>
      </c>
      <c r="Q16" s="136" t="s">
        <v>335</v>
      </c>
      <c r="R16" s="139"/>
    </row>
    <row r="17" spans="1:18" ht="12.75">
      <c r="A17" s="1"/>
      <c r="B17" s="158" t="s">
        <v>453</v>
      </c>
      <c r="C17" s="244" t="s">
        <v>454</v>
      </c>
      <c r="D17" s="133">
        <f>49600</f>
        <v>49600</v>
      </c>
      <c r="E17" s="133">
        <f>0</f>
        <v>0</v>
      </c>
      <c r="F17" s="133">
        <f>0</f>
        <v>0</v>
      </c>
      <c r="G17" s="134">
        <f>18000</f>
        <v>18000</v>
      </c>
      <c r="H17" s="134">
        <f>31600</f>
        <v>31600</v>
      </c>
      <c r="I17" s="134"/>
      <c r="J17" s="135" t="s">
        <v>382</v>
      </c>
      <c r="K17" s="136" t="s">
        <v>598</v>
      </c>
      <c r="L17" s="137">
        <v>1</v>
      </c>
      <c r="M17" s="138">
        <v>0</v>
      </c>
      <c r="N17" s="136" t="s">
        <v>332</v>
      </c>
      <c r="O17" s="136" t="s">
        <v>366</v>
      </c>
      <c r="P17" s="136" t="s">
        <v>365</v>
      </c>
      <c r="Q17" s="136" t="s">
        <v>335</v>
      </c>
      <c r="R17" s="139"/>
    </row>
    <row r="18" spans="1:18" ht="22.5">
      <c r="A18" s="1"/>
      <c r="B18" s="116" t="s">
        <v>455</v>
      </c>
      <c r="C18" s="244" t="s">
        <v>456</v>
      </c>
      <c r="D18" s="133">
        <f>29000</f>
        <v>29000</v>
      </c>
      <c r="E18" s="133">
        <f>0</f>
        <v>0</v>
      </c>
      <c r="F18" s="133">
        <f>0</f>
        <v>0</v>
      </c>
      <c r="G18" s="134">
        <f>0</f>
        <v>0</v>
      </c>
      <c r="H18" s="134">
        <f>0</f>
        <v>0</v>
      </c>
      <c r="I18" s="134">
        <f>+D18</f>
        <v>29000</v>
      </c>
      <c r="J18" s="135" t="s">
        <v>382</v>
      </c>
      <c r="K18" s="136" t="s">
        <v>598</v>
      </c>
      <c r="L18" s="137">
        <v>1</v>
      </c>
      <c r="M18" s="138">
        <v>0</v>
      </c>
      <c r="N18" s="136" t="s">
        <v>332</v>
      </c>
      <c r="O18" s="136" t="s">
        <v>465</v>
      </c>
      <c r="P18" s="136" t="s">
        <v>466</v>
      </c>
      <c r="Q18" s="136" t="s">
        <v>335</v>
      </c>
      <c r="R18" s="139"/>
    </row>
    <row r="19" spans="1:18" ht="12.75">
      <c r="A19" s="1"/>
      <c r="B19" s="158" t="s">
        <v>457</v>
      </c>
      <c r="C19" s="244" t="s">
        <v>462</v>
      </c>
      <c r="D19" s="133">
        <f>30000</f>
        <v>30000</v>
      </c>
      <c r="E19" s="133">
        <f>0</f>
        <v>0</v>
      </c>
      <c r="F19" s="133">
        <f>0</f>
        <v>0</v>
      </c>
      <c r="G19" s="134">
        <f>0</f>
        <v>0</v>
      </c>
      <c r="H19" s="134">
        <f>0</f>
        <v>0</v>
      </c>
      <c r="I19" s="134">
        <f>+D19</f>
        <v>30000</v>
      </c>
      <c r="J19" s="135" t="s">
        <v>382</v>
      </c>
      <c r="K19" s="136" t="s">
        <v>598</v>
      </c>
      <c r="L19" s="137">
        <v>1</v>
      </c>
      <c r="M19" s="138">
        <v>0</v>
      </c>
      <c r="N19" s="136" t="s">
        <v>332</v>
      </c>
      <c r="O19" s="136" t="s">
        <v>465</v>
      </c>
      <c r="P19" s="136" t="s">
        <v>466</v>
      </c>
      <c r="Q19" s="136" t="s">
        <v>335</v>
      </c>
      <c r="R19" s="139"/>
    </row>
    <row r="20" spans="1:18" ht="12.75">
      <c r="A20" s="1"/>
      <c r="B20" s="116" t="s">
        <v>458</v>
      </c>
      <c r="C20" s="244" t="s">
        <v>460</v>
      </c>
      <c r="D20" s="133">
        <f>109600</f>
        <v>109600</v>
      </c>
      <c r="E20" s="133">
        <f>22000-2400</f>
        <v>19600</v>
      </c>
      <c r="F20" s="133">
        <f>22000+13000</f>
        <v>35000</v>
      </c>
      <c r="G20" s="134">
        <f>22000-10400+5400</f>
        <v>17000</v>
      </c>
      <c r="H20" s="134">
        <f>21600-14200</f>
        <v>7400</v>
      </c>
      <c r="I20" s="134">
        <f>0+30600</f>
        <v>30600</v>
      </c>
      <c r="J20" s="135" t="s">
        <v>343</v>
      </c>
      <c r="K20" s="136" t="s">
        <v>331</v>
      </c>
      <c r="L20" s="137">
        <v>1</v>
      </c>
      <c r="M20" s="138">
        <v>0</v>
      </c>
      <c r="N20" s="136" t="s">
        <v>332</v>
      </c>
      <c r="O20" s="136" t="s">
        <v>334</v>
      </c>
      <c r="P20" s="136" t="s">
        <v>465</v>
      </c>
      <c r="Q20" s="136" t="s">
        <v>335</v>
      </c>
      <c r="R20" s="139"/>
    </row>
    <row r="21" spans="1:18" ht="12.75">
      <c r="A21" s="1"/>
      <c r="B21" s="140" t="s">
        <v>461</v>
      </c>
      <c r="C21" s="242" t="s">
        <v>459</v>
      </c>
      <c r="D21" s="133">
        <f>10400</f>
        <v>10400</v>
      </c>
      <c r="E21" s="133">
        <f>0</f>
        <v>0</v>
      </c>
      <c r="F21" s="133">
        <f>0</f>
        <v>0</v>
      </c>
      <c r="G21" s="134">
        <f>0</f>
        <v>0</v>
      </c>
      <c r="H21" s="134">
        <f>0</f>
        <v>0</v>
      </c>
      <c r="I21" s="134">
        <f>+D21</f>
        <v>10400</v>
      </c>
      <c r="J21" s="135" t="s">
        <v>382</v>
      </c>
      <c r="K21" s="136" t="s">
        <v>598</v>
      </c>
      <c r="L21" s="137">
        <v>1</v>
      </c>
      <c r="M21" s="138">
        <v>0</v>
      </c>
      <c r="N21" s="136" t="s">
        <v>332</v>
      </c>
      <c r="O21" s="136" t="s">
        <v>465</v>
      </c>
      <c r="P21" s="136" t="s">
        <v>466</v>
      </c>
      <c r="Q21" s="136" t="s">
        <v>335</v>
      </c>
      <c r="R21" s="139"/>
    </row>
    <row r="22" spans="1:18" ht="12.75">
      <c r="A22" s="1"/>
      <c r="B22" s="598"/>
      <c r="C22" s="599"/>
      <c r="D22" s="599"/>
      <c r="E22" s="599"/>
      <c r="F22" s="599"/>
      <c r="G22" s="599"/>
      <c r="H22" s="599"/>
      <c r="I22" s="599"/>
      <c r="J22" s="599"/>
      <c r="K22" s="599"/>
      <c r="L22" s="599"/>
      <c r="M22" s="599"/>
      <c r="N22" s="599"/>
      <c r="O22" s="599"/>
      <c r="P22" s="599"/>
      <c r="Q22" s="599"/>
      <c r="R22" s="600"/>
    </row>
    <row r="23" spans="1:18" ht="22.5">
      <c r="A23" s="1"/>
      <c r="B23" s="175" t="s">
        <v>498</v>
      </c>
      <c r="C23" s="241" t="s">
        <v>499</v>
      </c>
      <c r="D23" s="117">
        <f>+'ADMINIST.EQUIP.'!$E$11+'ADMINIST.EQUIP.'!$E$23</f>
        <v>58800</v>
      </c>
      <c r="E23" s="117">
        <f>+D23</f>
        <v>58800</v>
      </c>
      <c r="F23" s="117">
        <f>0</f>
        <v>0</v>
      </c>
      <c r="G23" s="118">
        <f>0</f>
        <v>0</v>
      </c>
      <c r="H23" s="118">
        <f>0</f>
        <v>0</v>
      </c>
      <c r="I23" s="118">
        <f>0</f>
        <v>0</v>
      </c>
      <c r="J23" s="119" t="s">
        <v>343</v>
      </c>
      <c r="K23" s="136" t="s">
        <v>331</v>
      </c>
      <c r="L23" s="137">
        <v>1</v>
      </c>
      <c r="M23" s="138">
        <v>0</v>
      </c>
      <c r="N23" s="136" t="s">
        <v>332</v>
      </c>
      <c r="O23" s="136" t="s">
        <v>490</v>
      </c>
      <c r="P23" s="136" t="s">
        <v>500</v>
      </c>
      <c r="Q23" s="136" t="s">
        <v>335</v>
      </c>
      <c r="R23" s="139"/>
    </row>
    <row r="24" spans="1:18" ht="12.75">
      <c r="A24" s="1"/>
      <c r="B24" s="175" t="s">
        <v>503</v>
      </c>
      <c r="C24" s="241" t="s">
        <v>501</v>
      </c>
      <c r="D24" s="117">
        <f>+'ADMINIST.EQUIP.'!$E$26</f>
        <v>17000</v>
      </c>
      <c r="E24" s="117">
        <f>+D24</f>
        <v>17000</v>
      </c>
      <c r="F24" s="117">
        <f>0</f>
        <v>0</v>
      </c>
      <c r="G24" s="118">
        <f>0</f>
        <v>0</v>
      </c>
      <c r="H24" s="118">
        <f>0</f>
        <v>0</v>
      </c>
      <c r="I24" s="118">
        <f>0</f>
        <v>0</v>
      </c>
      <c r="J24" s="119" t="s">
        <v>382</v>
      </c>
      <c r="K24" s="136" t="s">
        <v>598</v>
      </c>
      <c r="L24" s="137">
        <v>1</v>
      </c>
      <c r="M24" s="138">
        <v>0</v>
      </c>
      <c r="N24" s="136" t="s">
        <v>332</v>
      </c>
      <c r="O24" s="136" t="s">
        <v>490</v>
      </c>
      <c r="P24" s="136" t="s">
        <v>500</v>
      </c>
      <c r="Q24" s="136" t="s">
        <v>335</v>
      </c>
      <c r="R24" s="139"/>
    </row>
    <row r="25" spans="1:18" ht="13.5" thickBot="1">
      <c r="A25" s="1"/>
      <c r="B25" s="175" t="s">
        <v>504</v>
      </c>
      <c r="C25" s="241" t="s">
        <v>502</v>
      </c>
      <c r="D25" s="117">
        <f>+'ADMINIST.EQUIP.'!$E$33</f>
        <v>27000</v>
      </c>
      <c r="E25" s="117">
        <f>+D25</f>
        <v>27000</v>
      </c>
      <c r="F25" s="117">
        <f>0</f>
        <v>0</v>
      </c>
      <c r="G25" s="118">
        <f>0</f>
        <v>0</v>
      </c>
      <c r="H25" s="118">
        <f>0</f>
        <v>0</v>
      </c>
      <c r="I25" s="118">
        <f>0</f>
        <v>0</v>
      </c>
      <c r="J25" s="119" t="s">
        <v>382</v>
      </c>
      <c r="K25" s="136" t="s">
        <v>598</v>
      </c>
      <c r="L25" s="137">
        <v>1</v>
      </c>
      <c r="M25" s="138">
        <v>0</v>
      </c>
      <c r="N25" s="136" t="s">
        <v>332</v>
      </c>
      <c r="O25" s="136" t="s">
        <v>490</v>
      </c>
      <c r="P25" s="136" t="s">
        <v>500</v>
      </c>
      <c r="Q25" s="136" t="s">
        <v>335</v>
      </c>
      <c r="R25" s="139"/>
    </row>
    <row r="26" spans="1:18" ht="13.5" thickBot="1">
      <c r="A26" s="1"/>
      <c r="B26" s="607" t="s">
        <v>264</v>
      </c>
      <c r="C26" s="608"/>
      <c r="D26" s="142">
        <f aca="true" t="shared" si="1" ref="D26:I26">SUM(D27:D43)</f>
        <v>13893080</v>
      </c>
      <c r="E26" s="142">
        <f t="shared" si="1"/>
        <v>238760</v>
      </c>
      <c r="F26" s="142">
        <f t="shared" si="1"/>
        <v>3491470</v>
      </c>
      <c r="G26" s="199">
        <f t="shared" si="1"/>
        <v>6238799.999999999</v>
      </c>
      <c r="H26" s="199">
        <f t="shared" si="1"/>
        <v>3383650</v>
      </c>
      <c r="I26" s="199">
        <f t="shared" si="1"/>
        <v>540400</v>
      </c>
      <c r="J26" s="197"/>
      <c r="K26" s="197"/>
      <c r="L26" s="197"/>
      <c r="M26" s="197"/>
      <c r="N26" s="197"/>
      <c r="O26" s="197"/>
      <c r="P26" s="197"/>
      <c r="Q26" s="197"/>
      <c r="R26" s="198"/>
    </row>
    <row r="27" spans="1:18" ht="22.5">
      <c r="A27" s="1"/>
      <c r="B27" s="143" t="s">
        <v>341</v>
      </c>
      <c r="C27" s="234" t="s">
        <v>735</v>
      </c>
      <c r="D27" s="144">
        <f>0.94*(50000+3492000+12000)</f>
        <v>3340760</v>
      </c>
      <c r="E27" s="144">
        <f>0.94*(120000-E47-E48-E49)</f>
        <v>69560</v>
      </c>
      <c r="F27" s="144">
        <f>0.94*850000</f>
        <v>799000</v>
      </c>
      <c r="G27" s="145">
        <f>0.94*1130000</f>
        <v>1062200</v>
      </c>
      <c r="H27" s="145">
        <f>0.94*1500000</f>
        <v>1410000</v>
      </c>
      <c r="I27" s="145">
        <f>0</f>
        <v>0</v>
      </c>
      <c r="J27" s="146" t="s">
        <v>343</v>
      </c>
      <c r="K27" s="146" t="s">
        <v>331</v>
      </c>
      <c r="L27" s="147">
        <v>1</v>
      </c>
      <c r="M27" s="147">
        <v>0</v>
      </c>
      <c r="N27" s="146" t="s">
        <v>332</v>
      </c>
      <c r="O27" s="146" t="s">
        <v>334</v>
      </c>
      <c r="P27" s="146" t="s">
        <v>344</v>
      </c>
      <c r="Q27" s="146" t="s">
        <v>335</v>
      </c>
      <c r="R27" s="148"/>
    </row>
    <row r="28" spans="1:18" ht="22.5">
      <c r="A28" s="1"/>
      <c r="B28" s="189" t="s">
        <v>347</v>
      </c>
      <c r="C28" s="234" t="s">
        <v>348</v>
      </c>
      <c r="D28" s="117">
        <f>0.94*975000</f>
        <v>916500</v>
      </c>
      <c r="E28" s="117">
        <f>126900</f>
        <v>126900</v>
      </c>
      <c r="F28" s="117">
        <f>0.94*210000</f>
        <v>197400</v>
      </c>
      <c r="G28" s="172">
        <f>0.94*270000</f>
        <v>253800</v>
      </c>
      <c r="H28" s="172">
        <f>0.94*360000</f>
        <v>338400</v>
      </c>
      <c r="I28" s="172">
        <f>0</f>
        <v>0</v>
      </c>
      <c r="J28" s="119" t="s">
        <v>343</v>
      </c>
      <c r="K28" s="119" t="s">
        <v>331</v>
      </c>
      <c r="L28" s="173">
        <v>1</v>
      </c>
      <c r="M28" s="173">
        <v>0</v>
      </c>
      <c r="N28" s="119" t="s">
        <v>332</v>
      </c>
      <c r="O28" s="119" t="s">
        <v>334</v>
      </c>
      <c r="P28" s="119" t="s">
        <v>344</v>
      </c>
      <c r="Q28" s="119" t="s">
        <v>335</v>
      </c>
      <c r="R28" s="190"/>
    </row>
    <row r="29" spans="1:18" ht="22.5">
      <c r="A29" s="1"/>
      <c r="B29" s="189" t="s">
        <v>353</v>
      </c>
      <c r="C29" s="234" t="s">
        <v>472</v>
      </c>
      <c r="D29" s="117">
        <f>0.94*(968000+910000)</f>
        <v>1765320</v>
      </c>
      <c r="E29" s="117">
        <f>0</f>
        <v>0</v>
      </c>
      <c r="F29" s="117">
        <f>0.94*668000</f>
        <v>627920</v>
      </c>
      <c r="G29" s="172">
        <f>0.94*527500</f>
        <v>495850</v>
      </c>
      <c r="H29" s="172">
        <f>682500*0.94</f>
        <v>641550</v>
      </c>
      <c r="I29" s="172">
        <v>0</v>
      </c>
      <c r="J29" s="119" t="s">
        <v>343</v>
      </c>
      <c r="K29" s="119" t="s">
        <v>331</v>
      </c>
      <c r="L29" s="173">
        <v>1</v>
      </c>
      <c r="M29" s="173">
        <v>0</v>
      </c>
      <c r="N29" s="119" t="s">
        <v>332</v>
      </c>
      <c r="O29" s="119" t="s">
        <v>363</v>
      </c>
      <c r="P29" s="119" t="s">
        <v>344</v>
      </c>
      <c r="Q29" s="119" t="s">
        <v>335</v>
      </c>
      <c r="R29" s="190"/>
    </row>
    <row r="30" spans="1:18" ht="22.5">
      <c r="A30" s="1"/>
      <c r="B30" s="189" t="s">
        <v>374</v>
      </c>
      <c r="C30" s="234" t="s">
        <v>380</v>
      </c>
      <c r="D30" s="117">
        <f>(275000+160000)*0.94</f>
        <v>408900</v>
      </c>
      <c r="E30" s="117">
        <f>0</f>
        <v>0</v>
      </c>
      <c r="F30" s="117">
        <f>0</f>
        <v>0</v>
      </c>
      <c r="G30" s="172">
        <f>0.94*175000</f>
        <v>164500</v>
      </c>
      <c r="H30" s="172">
        <f>0.94*260000</f>
        <v>244400</v>
      </c>
      <c r="I30" s="172">
        <f>0</f>
        <v>0</v>
      </c>
      <c r="J30" s="119" t="s">
        <v>343</v>
      </c>
      <c r="K30" s="119" t="s">
        <v>331</v>
      </c>
      <c r="L30" s="173">
        <v>1</v>
      </c>
      <c r="M30" s="173">
        <v>0</v>
      </c>
      <c r="N30" s="119" t="s">
        <v>332</v>
      </c>
      <c r="O30" s="119" t="s">
        <v>375</v>
      </c>
      <c r="P30" s="119" t="s">
        <v>344</v>
      </c>
      <c r="Q30" s="119" t="s">
        <v>335</v>
      </c>
      <c r="R30" s="190"/>
    </row>
    <row r="31" spans="1:18" ht="22.5">
      <c r="A31" s="1"/>
      <c r="B31" s="189" t="s">
        <v>379</v>
      </c>
      <c r="C31" s="234" t="s">
        <v>381</v>
      </c>
      <c r="D31" s="117">
        <f>0.94*(145000+95000)</f>
        <v>225600</v>
      </c>
      <c r="E31" s="117">
        <f>0</f>
        <v>0</v>
      </c>
      <c r="F31" s="117">
        <f>0.94*70000</f>
        <v>65800</v>
      </c>
      <c r="G31" s="172">
        <f>0.94*170000</f>
        <v>159800</v>
      </c>
      <c r="H31" s="172">
        <f>0</f>
        <v>0</v>
      </c>
      <c r="I31" s="172">
        <f>0</f>
        <v>0</v>
      </c>
      <c r="J31" s="119" t="s">
        <v>382</v>
      </c>
      <c r="K31" s="119" t="s">
        <v>598</v>
      </c>
      <c r="L31" s="173">
        <v>1</v>
      </c>
      <c r="M31" s="173">
        <v>0</v>
      </c>
      <c r="N31" s="119" t="s">
        <v>332</v>
      </c>
      <c r="O31" s="119" t="s">
        <v>368</v>
      </c>
      <c r="P31" s="119" t="s">
        <v>366</v>
      </c>
      <c r="Q31" s="119" t="s">
        <v>335</v>
      </c>
      <c r="R31" s="190"/>
    </row>
    <row r="32" spans="1:18" ht="33.75">
      <c r="A32" s="1"/>
      <c r="B32" s="189" t="s">
        <v>391</v>
      </c>
      <c r="C32" s="234" t="s">
        <v>594</v>
      </c>
      <c r="D32" s="117">
        <f>0.94*(694000+275000+70000+56000)</f>
        <v>1029299.9999999999</v>
      </c>
      <c r="E32" s="117">
        <f>0.94*45000</f>
        <v>42300</v>
      </c>
      <c r="F32" s="117">
        <f>0.94*375000</f>
        <v>352500</v>
      </c>
      <c r="G32" s="172">
        <f>0.94*400000</f>
        <v>376000</v>
      </c>
      <c r="H32" s="172">
        <f>0.94*275000</f>
        <v>258499.99999999997</v>
      </c>
      <c r="I32" s="172">
        <f>0</f>
        <v>0</v>
      </c>
      <c r="J32" s="119" t="s">
        <v>343</v>
      </c>
      <c r="K32" s="119" t="s">
        <v>331</v>
      </c>
      <c r="L32" s="173">
        <v>1</v>
      </c>
      <c r="M32" s="173">
        <v>0</v>
      </c>
      <c r="N32" s="119" t="s">
        <v>332</v>
      </c>
      <c r="O32" s="119" t="s">
        <v>334</v>
      </c>
      <c r="P32" s="119" t="s">
        <v>344</v>
      </c>
      <c r="Q32" s="119" t="s">
        <v>335</v>
      </c>
      <c r="R32" s="190"/>
    </row>
    <row r="33" spans="1:18" ht="12.75">
      <c r="A33" s="1"/>
      <c r="B33" s="189" t="s">
        <v>399</v>
      </c>
      <c r="C33" s="238" t="s">
        <v>400</v>
      </c>
      <c r="D33" s="117">
        <f>0.94*(1035000-35000)</f>
        <v>940000</v>
      </c>
      <c r="E33" s="117">
        <f>0</f>
        <v>0</v>
      </c>
      <c r="F33" s="117">
        <f>0.94*30000</f>
        <v>28200</v>
      </c>
      <c r="G33" s="172">
        <f>0.94*240000</f>
        <v>225600</v>
      </c>
      <c r="H33" s="172">
        <f>0.94*320000</f>
        <v>300800</v>
      </c>
      <c r="I33" s="172">
        <f>0.94*410000</f>
        <v>385400</v>
      </c>
      <c r="J33" s="119" t="s">
        <v>343</v>
      </c>
      <c r="K33" s="119" t="s">
        <v>331</v>
      </c>
      <c r="L33" s="173">
        <v>1</v>
      </c>
      <c r="M33" s="173">
        <v>0</v>
      </c>
      <c r="N33" s="119" t="s">
        <v>332</v>
      </c>
      <c r="O33" s="119" t="s">
        <v>350</v>
      </c>
      <c r="P33" s="119" t="s">
        <v>401</v>
      </c>
      <c r="Q33" s="119" t="s">
        <v>335</v>
      </c>
      <c r="R33" s="190"/>
    </row>
    <row r="34" spans="1:18" ht="12.75">
      <c r="A34" s="1"/>
      <c r="B34" s="124" t="s">
        <v>407</v>
      </c>
      <c r="C34" s="234" t="s">
        <v>408</v>
      </c>
      <c r="D34" s="125">
        <f>90000</f>
        <v>90000</v>
      </c>
      <c r="E34" s="125">
        <f>0</f>
        <v>0</v>
      </c>
      <c r="F34" s="125">
        <f>0</f>
        <v>0</v>
      </c>
      <c r="G34" s="126">
        <f>0</f>
        <v>0</v>
      </c>
      <c r="H34" s="126">
        <f>35000-10000</f>
        <v>25000</v>
      </c>
      <c r="I34" s="126">
        <f>65000</f>
        <v>65000</v>
      </c>
      <c r="J34" s="187" t="s">
        <v>382</v>
      </c>
      <c r="K34" s="187" t="s">
        <v>598</v>
      </c>
      <c r="L34" s="128">
        <v>1</v>
      </c>
      <c r="M34" s="128">
        <v>0</v>
      </c>
      <c r="N34" s="187" t="s">
        <v>332</v>
      </c>
      <c r="O34" s="187" t="s">
        <v>364</v>
      </c>
      <c r="P34" s="187" t="s">
        <v>409</v>
      </c>
      <c r="Q34" s="187" t="s">
        <v>335</v>
      </c>
      <c r="R34" s="188"/>
    </row>
    <row r="35" spans="1:18" ht="22.5">
      <c r="A35" s="1"/>
      <c r="B35" s="189" t="s">
        <v>410</v>
      </c>
      <c r="C35" s="238" t="s">
        <v>411</v>
      </c>
      <c r="D35" s="117">
        <f>100000</f>
        <v>100000</v>
      </c>
      <c r="E35" s="117">
        <f>0</f>
        <v>0</v>
      </c>
      <c r="F35" s="117">
        <f>0</f>
        <v>0</v>
      </c>
      <c r="G35" s="172">
        <f>80000</f>
        <v>80000</v>
      </c>
      <c r="H35" s="172">
        <f>20000</f>
        <v>20000</v>
      </c>
      <c r="I35" s="172">
        <f>0</f>
        <v>0</v>
      </c>
      <c r="J35" s="119" t="s">
        <v>382</v>
      </c>
      <c r="K35" s="119" t="s">
        <v>598</v>
      </c>
      <c r="L35" s="173">
        <v>1</v>
      </c>
      <c r="M35" s="173">
        <v>0</v>
      </c>
      <c r="N35" s="119" t="s">
        <v>332</v>
      </c>
      <c r="O35" s="119" t="s">
        <v>366</v>
      </c>
      <c r="P35" s="119" t="s">
        <v>414</v>
      </c>
      <c r="Q35" s="119" t="s">
        <v>335</v>
      </c>
      <c r="R35" s="190"/>
    </row>
    <row r="36" spans="1:18" ht="22.5">
      <c r="A36" s="1"/>
      <c r="B36" s="189" t="s">
        <v>416</v>
      </c>
      <c r="C36" s="238" t="s">
        <v>417</v>
      </c>
      <c r="D36" s="117">
        <f>100000</f>
        <v>100000</v>
      </c>
      <c r="E36" s="117">
        <f>0</f>
        <v>0</v>
      </c>
      <c r="F36" s="117">
        <f>0</f>
        <v>0</v>
      </c>
      <c r="G36" s="172">
        <f>30000</f>
        <v>30000</v>
      </c>
      <c r="H36" s="172">
        <v>70000</v>
      </c>
      <c r="I36" s="172">
        <f>0</f>
        <v>0</v>
      </c>
      <c r="J36" s="119" t="s">
        <v>382</v>
      </c>
      <c r="K36" s="119" t="s">
        <v>598</v>
      </c>
      <c r="L36" s="173">
        <v>1</v>
      </c>
      <c r="M36" s="173">
        <v>0</v>
      </c>
      <c r="N36" s="119" t="s">
        <v>332</v>
      </c>
      <c r="O36" s="119" t="s">
        <v>388</v>
      </c>
      <c r="P36" s="119" t="s">
        <v>414</v>
      </c>
      <c r="Q36" s="119" t="s">
        <v>335</v>
      </c>
      <c r="R36" s="190"/>
    </row>
    <row r="37" spans="1:18" ht="12.75">
      <c r="A37" s="1"/>
      <c r="B37" s="189" t="s">
        <v>418</v>
      </c>
      <c r="C37" s="238" t="s">
        <v>419</v>
      </c>
      <c r="D37" s="117">
        <f>188000-23000</f>
        <v>165000</v>
      </c>
      <c r="E37" s="117">
        <f>0</f>
        <v>0</v>
      </c>
      <c r="F37" s="117">
        <f>0</f>
        <v>0</v>
      </c>
      <c r="G37" s="172">
        <f>0</f>
        <v>0</v>
      </c>
      <c r="H37" s="172">
        <v>75000</v>
      </c>
      <c r="I37" s="172">
        <f>90000</f>
        <v>90000</v>
      </c>
      <c r="J37" s="119" t="s">
        <v>382</v>
      </c>
      <c r="K37" s="119" t="s">
        <v>598</v>
      </c>
      <c r="L37" s="173">
        <v>1</v>
      </c>
      <c r="M37" s="173">
        <v>0</v>
      </c>
      <c r="N37" s="119" t="s">
        <v>332</v>
      </c>
      <c r="O37" s="119" t="s">
        <v>344</v>
      </c>
      <c r="P37" s="119" t="s">
        <v>421</v>
      </c>
      <c r="Q37" s="119" t="s">
        <v>335</v>
      </c>
      <c r="R37" s="190"/>
    </row>
    <row r="38" spans="1:18" ht="12.75">
      <c r="A38" s="1"/>
      <c r="B38" s="598"/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600"/>
    </row>
    <row r="39" spans="1:18" ht="12.75">
      <c r="A39" s="1"/>
      <c r="B39" s="189" t="s">
        <v>46</v>
      </c>
      <c r="C39" s="238" t="s">
        <v>47</v>
      </c>
      <c r="D39" s="117">
        <f>(664680+1550920)*0.94</f>
        <v>2082663.9999999998</v>
      </c>
      <c r="E39" s="117">
        <f>0</f>
        <v>0</v>
      </c>
      <c r="F39" s="117">
        <f>+D39*0.3</f>
        <v>624799.2</v>
      </c>
      <c r="G39" s="172">
        <f>+D39*0.7</f>
        <v>1457864.7999999998</v>
      </c>
      <c r="H39" s="172">
        <f>0</f>
        <v>0</v>
      </c>
      <c r="I39" s="172">
        <f>0</f>
        <v>0</v>
      </c>
      <c r="J39" s="119" t="s">
        <v>343</v>
      </c>
      <c r="K39" s="161" t="s">
        <v>598</v>
      </c>
      <c r="L39" s="173">
        <v>1</v>
      </c>
      <c r="M39" s="173">
        <v>0</v>
      </c>
      <c r="N39" s="176" t="s">
        <v>403</v>
      </c>
      <c r="O39" s="168" t="s">
        <v>363</v>
      </c>
      <c r="P39" s="168" t="s">
        <v>388</v>
      </c>
      <c r="Q39" s="119" t="s">
        <v>335</v>
      </c>
      <c r="R39" s="190"/>
    </row>
    <row r="40" spans="1:18" ht="22.5">
      <c r="A40" s="1"/>
      <c r="B40" s="189" t="s">
        <v>39</v>
      </c>
      <c r="C40" s="238" t="s">
        <v>40</v>
      </c>
      <c r="D40" s="117">
        <f>60000</f>
        <v>60000</v>
      </c>
      <c r="E40" s="117">
        <f>0</f>
        <v>0</v>
      </c>
      <c r="F40" s="117">
        <f>+D40</f>
        <v>60000</v>
      </c>
      <c r="G40" s="172">
        <f>0</f>
        <v>0</v>
      </c>
      <c r="H40" s="172">
        <f>0</f>
        <v>0</v>
      </c>
      <c r="I40" s="172">
        <f>0</f>
        <v>0</v>
      </c>
      <c r="J40" s="119" t="s">
        <v>382</v>
      </c>
      <c r="K40" s="119" t="s">
        <v>598</v>
      </c>
      <c r="L40" s="173">
        <v>1</v>
      </c>
      <c r="M40" s="173">
        <v>0</v>
      </c>
      <c r="N40" s="119" t="s">
        <v>332</v>
      </c>
      <c r="O40" s="119" t="s">
        <v>368</v>
      </c>
      <c r="P40" s="119" t="s">
        <v>350</v>
      </c>
      <c r="Q40" s="119" t="s">
        <v>335</v>
      </c>
      <c r="R40" s="190"/>
    </row>
    <row r="41" spans="1:18" ht="12.75">
      <c r="A41" s="1"/>
      <c r="B41" s="189" t="s">
        <v>64</v>
      </c>
      <c r="C41" s="238" t="s">
        <v>65</v>
      </c>
      <c r="D41" s="117">
        <f>0.94*230000</f>
        <v>216200</v>
      </c>
      <c r="E41" s="117">
        <f>0</f>
        <v>0</v>
      </c>
      <c r="F41" s="117">
        <f>0</f>
        <v>0</v>
      </c>
      <c r="G41" s="172">
        <f>+D41</f>
        <v>216200</v>
      </c>
      <c r="H41" s="172">
        <f>0</f>
        <v>0</v>
      </c>
      <c r="I41" s="172">
        <f>0</f>
        <v>0</v>
      </c>
      <c r="J41" s="119" t="s">
        <v>396</v>
      </c>
      <c r="K41" s="161" t="s">
        <v>331</v>
      </c>
      <c r="L41" s="173">
        <v>1</v>
      </c>
      <c r="M41" s="173">
        <v>0</v>
      </c>
      <c r="N41" s="176" t="s">
        <v>332</v>
      </c>
      <c r="O41" s="168" t="s">
        <v>468</v>
      </c>
      <c r="P41" s="168" t="s">
        <v>388</v>
      </c>
      <c r="Q41" s="168" t="s">
        <v>335</v>
      </c>
      <c r="R41" s="174"/>
    </row>
    <row r="42" spans="1:18" ht="12.75">
      <c r="A42" s="1"/>
      <c r="B42" s="189" t="s">
        <v>50</v>
      </c>
      <c r="C42" s="238" t="s">
        <v>620</v>
      </c>
      <c r="D42" s="117">
        <f>0.94*(1647200-80000)</f>
        <v>1473168</v>
      </c>
      <c r="E42" s="117">
        <f>0</f>
        <v>0</v>
      </c>
      <c r="F42" s="117">
        <f>+D42*0.3</f>
        <v>441950.39999999997</v>
      </c>
      <c r="G42" s="172">
        <f>+D42*0.7</f>
        <v>1031217.6</v>
      </c>
      <c r="H42" s="172">
        <f>0</f>
        <v>0</v>
      </c>
      <c r="I42" s="172">
        <f>0</f>
        <v>0</v>
      </c>
      <c r="J42" s="119" t="s">
        <v>343</v>
      </c>
      <c r="K42" s="161" t="s">
        <v>331</v>
      </c>
      <c r="L42" s="173">
        <v>1</v>
      </c>
      <c r="M42" s="173">
        <v>0</v>
      </c>
      <c r="N42" s="176" t="s">
        <v>403</v>
      </c>
      <c r="O42" s="168" t="s">
        <v>363</v>
      </c>
      <c r="P42" s="168" t="s">
        <v>388</v>
      </c>
      <c r="Q42" s="168" t="s">
        <v>335</v>
      </c>
      <c r="R42" s="190"/>
    </row>
    <row r="43" spans="1:18" ht="23.25" thickBot="1">
      <c r="A43" s="1"/>
      <c r="B43" s="175" t="s">
        <v>638</v>
      </c>
      <c r="C43" s="238" t="s">
        <v>55</v>
      </c>
      <c r="D43" s="117">
        <f>(312660+729540)*0.94</f>
        <v>979668</v>
      </c>
      <c r="E43" s="117">
        <f>0</f>
        <v>0</v>
      </c>
      <c r="F43" s="117">
        <f>+D43*0.3</f>
        <v>293900.39999999997</v>
      </c>
      <c r="G43" s="172">
        <f>+D43*0.7</f>
        <v>685767.6</v>
      </c>
      <c r="H43" s="172">
        <f>0</f>
        <v>0</v>
      </c>
      <c r="I43" s="172">
        <f>0</f>
        <v>0</v>
      </c>
      <c r="J43" s="119" t="s">
        <v>343</v>
      </c>
      <c r="K43" s="119" t="s">
        <v>331</v>
      </c>
      <c r="L43" s="173">
        <v>1</v>
      </c>
      <c r="M43" s="173">
        <v>0</v>
      </c>
      <c r="N43" s="119" t="s">
        <v>403</v>
      </c>
      <c r="O43" s="168" t="s">
        <v>363</v>
      </c>
      <c r="P43" s="168" t="s">
        <v>388</v>
      </c>
      <c r="Q43" s="119" t="s">
        <v>335</v>
      </c>
      <c r="R43" s="190"/>
    </row>
    <row r="44" spans="1:18" ht="13.5" thickBot="1">
      <c r="A44" s="1"/>
      <c r="B44" s="607" t="s">
        <v>265</v>
      </c>
      <c r="C44" s="608"/>
      <c r="D44" s="149">
        <f aca="true" t="shared" si="2" ref="D44:I44">SUM(D45:D45)</f>
        <v>50000</v>
      </c>
      <c r="E44" s="149">
        <f t="shared" si="2"/>
        <v>50000</v>
      </c>
      <c r="F44" s="149">
        <f t="shared" si="2"/>
        <v>0</v>
      </c>
      <c r="G44" s="200">
        <f t="shared" si="2"/>
        <v>0</v>
      </c>
      <c r="H44" s="200">
        <f t="shared" si="2"/>
        <v>0</v>
      </c>
      <c r="I44" s="200">
        <f t="shared" si="2"/>
        <v>0</v>
      </c>
      <c r="J44" s="201"/>
      <c r="K44" s="201"/>
      <c r="L44" s="201"/>
      <c r="M44" s="201"/>
      <c r="N44" s="201"/>
      <c r="O44" s="201"/>
      <c r="P44" s="201"/>
      <c r="Q44" s="201"/>
      <c r="R44" s="202"/>
    </row>
    <row r="45" spans="1:18" ht="34.5" thickBot="1">
      <c r="A45" s="1"/>
      <c r="B45" s="150" t="s">
        <v>597</v>
      </c>
      <c r="C45" s="240" t="s">
        <v>427</v>
      </c>
      <c r="D45" s="151">
        <f>50000</f>
        <v>50000</v>
      </c>
      <c r="E45" s="151">
        <f>50000</f>
        <v>50000</v>
      </c>
      <c r="F45" s="151">
        <f>0</f>
        <v>0</v>
      </c>
      <c r="G45" s="152">
        <f>0</f>
        <v>0</v>
      </c>
      <c r="H45" s="152">
        <f>0</f>
        <v>0</v>
      </c>
      <c r="I45" s="152">
        <f>0</f>
        <v>0</v>
      </c>
      <c r="J45" s="153" t="s">
        <v>382</v>
      </c>
      <c r="K45" s="154" t="s">
        <v>598</v>
      </c>
      <c r="L45" s="155">
        <v>1</v>
      </c>
      <c r="M45" s="156">
        <v>0</v>
      </c>
      <c r="N45" s="154" t="s">
        <v>332</v>
      </c>
      <c r="O45" s="154" t="s">
        <v>340</v>
      </c>
      <c r="P45" s="154" t="s">
        <v>334</v>
      </c>
      <c r="Q45" s="154" t="s">
        <v>335</v>
      </c>
      <c r="R45" s="157"/>
    </row>
    <row r="46" spans="1:18" ht="13.5" thickBot="1">
      <c r="A46" s="1"/>
      <c r="B46" s="607" t="s">
        <v>266</v>
      </c>
      <c r="C46" s="608"/>
      <c r="D46" s="115">
        <f aca="true" t="shared" si="3" ref="D46:I46">SUM(D47:D129)</f>
        <v>9523920</v>
      </c>
      <c r="E46" s="115">
        <f t="shared" si="3"/>
        <v>1698840</v>
      </c>
      <c r="F46" s="115">
        <f t="shared" si="3"/>
        <v>1659630.0000000002</v>
      </c>
      <c r="G46" s="196">
        <f t="shared" si="3"/>
        <v>2226300</v>
      </c>
      <c r="H46" s="196">
        <f t="shared" si="3"/>
        <v>2316950</v>
      </c>
      <c r="I46" s="196">
        <f t="shared" si="3"/>
        <v>1622200</v>
      </c>
      <c r="J46" s="197"/>
      <c r="K46" s="197"/>
      <c r="L46" s="197"/>
      <c r="M46" s="197"/>
      <c r="N46" s="197"/>
      <c r="O46" s="197"/>
      <c r="P46" s="197"/>
      <c r="Q46" s="197"/>
      <c r="R46" s="198"/>
    </row>
    <row r="47" spans="1:18" ht="22.5">
      <c r="A47" s="1"/>
      <c r="B47" s="166" t="s">
        <v>329</v>
      </c>
      <c r="C47" s="234" t="s">
        <v>372</v>
      </c>
      <c r="D47" s="141">
        <f>10000</f>
        <v>10000</v>
      </c>
      <c r="E47" s="141">
        <f>+D47</f>
        <v>10000</v>
      </c>
      <c r="F47" s="141">
        <f>0</f>
        <v>0</v>
      </c>
      <c r="G47" s="159">
        <f>0</f>
        <v>0</v>
      </c>
      <c r="H47" s="159">
        <f>0</f>
        <v>0</v>
      </c>
      <c r="I47" s="159">
        <f>0</f>
        <v>0</v>
      </c>
      <c r="J47" s="160" t="s">
        <v>330</v>
      </c>
      <c r="K47" s="161" t="s">
        <v>598</v>
      </c>
      <c r="L47" s="162">
        <v>1</v>
      </c>
      <c r="M47" s="163">
        <v>0</v>
      </c>
      <c r="N47" s="161" t="s">
        <v>332</v>
      </c>
      <c r="O47" s="161" t="s">
        <v>340</v>
      </c>
      <c r="P47" s="161" t="s">
        <v>334</v>
      </c>
      <c r="Q47" s="161" t="s">
        <v>335</v>
      </c>
      <c r="R47" s="164"/>
    </row>
    <row r="48" spans="1:18" ht="12.75">
      <c r="A48" s="1"/>
      <c r="B48" s="239" t="s">
        <v>336</v>
      </c>
      <c r="C48" s="234" t="s">
        <v>337</v>
      </c>
      <c r="D48" s="141">
        <f>24000</f>
        <v>24000</v>
      </c>
      <c r="E48" s="141">
        <f>+D48</f>
        <v>24000</v>
      </c>
      <c r="F48" s="141">
        <f>0</f>
        <v>0</v>
      </c>
      <c r="G48" s="159">
        <f>0</f>
        <v>0</v>
      </c>
      <c r="H48" s="159">
        <f>0</f>
        <v>0</v>
      </c>
      <c r="I48" s="159">
        <f>0</f>
        <v>0</v>
      </c>
      <c r="J48" s="160" t="s">
        <v>338</v>
      </c>
      <c r="K48" s="161" t="s">
        <v>331</v>
      </c>
      <c r="L48" s="162">
        <v>1</v>
      </c>
      <c r="M48" s="163">
        <v>0</v>
      </c>
      <c r="N48" s="161" t="s">
        <v>332</v>
      </c>
      <c r="O48" s="161" t="s">
        <v>333</v>
      </c>
      <c r="P48" s="161" t="s">
        <v>334</v>
      </c>
      <c r="Q48" s="161" t="s">
        <v>335</v>
      </c>
      <c r="R48" s="164"/>
    </row>
    <row r="49" spans="1:18" ht="12.75">
      <c r="A49" s="1"/>
      <c r="B49" s="165" t="s">
        <v>339</v>
      </c>
      <c r="C49" s="234" t="s">
        <v>371</v>
      </c>
      <c r="D49" s="144">
        <f>12000</f>
        <v>12000</v>
      </c>
      <c r="E49" s="144">
        <f>+D49</f>
        <v>12000</v>
      </c>
      <c r="F49" s="141">
        <f>0</f>
        <v>0</v>
      </c>
      <c r="G49" s="167">
        <f>0</f>
        <v>0</v>
      </c>
      <c r="H49" s="167">
        <f>0</f>
        <v>0</v>
      </c>
      <c r="I49" s="167">
        <f>0</f>
        <v>0</v>
      </c>
      <c r="J49" s="168" t="s">
        <v>330</v>
      </c>
      <c r="K49" s="161" t="s">
        <v>598</v>
      </c>
      <c r="L49" s="169">
        <v>1</v>
      </c>
      <c r="M49" s="169">
        <v>0</v>
      </c>
      <c r="N49" s="170" t="s">
        <v>332</v>
      </c>
      <c r="O49" s="168" t="s">
        <v>340</v>
      </c>
      <c r="P49" s="168" t="s">
        <v>334</v>
      </c>
      <c r="Q49" s="168" t="s">
        <v>335</v>
      </c>
      <c r="R49" s="171"/>
    </row>
    <row r="50" spans="1:18" ht="22.5">
      <c r="A50" s="1"/>
      <c r="B50" s="165" t="s">
        <v>342</v>
      </c>
      <c r="C50" s="234" t="s">
        <v>370</v>
      </c>
      <c r="D50" s="144">
        <f>0.06*(50000+3492000+12000)</f>
        <v>213240</v>
      </c>
      <c r="E50" s="144">
        <f>4440</f>
        <v>4440</v>
      </c>
      <c r="F50" s="141">
        <f>51000</f>
        <v>51000</v>
      </c>
      <c r="G50" s="167">
        <f>67800</f>
        <v>67800</v>
      </c>
      <c r="H50" s="167">
        <f>90000</f>
        <v>90000</v>
      </c>
      <c r="I50" s="167">
        <f>0</f>
        <v>0</v>
      </c>
      <c r="J50" s="168" t="s">
        <v>338</v>
      </c>
      <c r="K50" s="161" t="s">
        <v>331</v>
      </c>
      <c r="L50" s="169">
        <v>1</v>
      </c>
      <c r="M50" s="169">
        <v>0</v>
      </c>
      <c r="N50" s="170" t="s">
        <v>332</v>
      </c>
      <c r="O50" s="168" t="s">
        <v>334</v>
      </c>
      <c r="P50" s="168" t="s">
        <v>344</v>
      </c>
      <c r="Q50" s="168" t="s">
        <v>335</v>
      </c>
      <c r="R50" s="171"/>
    </row>
    <row r="51" spans="1:18" ht="22.5">
      <c r="A51" s="1"/>
      <c r="B51" s="165" t="s">
        <v>345</v>
      </c>
      <c r="C51" s="234" t="s">
        <v>346</v>
      </c>
      <c r="D51" s="144">
        <f>25000</f>
        <v>25000</v>
      </c>
      <c r="E51" s="144">
        <f>+D51</f>
        <v>25000</v>
      </c>
      <c r="F51" s="141">
        <f>0</f>
        <v>0</v>
      </c>
      <c r="G51" s="167">
        <f>0</f>
        <v>0</v>
      </c>
      <c r="H51" s="167">
        <f>0</f>
        <v>0</v>
      </c>
      <c r="I51" s="167">
        <f>0</f>
        <v>0</v>
      </c>
      <c r="J51" s="168" t="s">
        <v>338</v>
      </c>
      <c r="K51" s="161" t="s">
        <v>331</v>
      </c>
      <c r="L51" s="169">
        <v>1</v>
      </c>
      <c r="M51" s="169">
        <v>0</v>
      </c>
      <c r="N51" s="170" t="s">
        <v>332</v>
      </c>
      <c r="O51" s="168" t="s">
        <v>340</v>
      </c>
      <c r="P51" s="168" t="s">
        <v>350</v>
      </c>
      <c r="Q51" s="168" t="s">
        <v>335</v>
      </c>
      <c r="R51" s="171"/>
    </row>
    <row r="52" spans="1:18" ht="22.5">
      <c r="A52" s="1"/>
      <c r="B52" s="166" t="s">
        <v>349</v>
      </c>
      <c r="C52" s="236" t="s">
        <v>473</v>
      </c>
      <c r="D52" s="144">
        <f>0.06*975000</f>
        <v>58500</v>
      </c>
      <c r="E52" s="144">
        <f>160000-E28-E51</f>
        <v>8100</v>
      </c>
      <c r="F52" s="144">
        <f>210000-F28-F51</f>
        <v>12600</v>
      </c>
      <c r="G52" s="145">
        <f>270000-G28-G51</f>
        <v>16200</v>
      </c>
      <c r="H52" s="145">
        <f>360000-H28-H51</f>
        <v>21600</v>
      </c>
      <c r="I52" s="167">
        <f>0</f>
        <v>0</v>
      </c>
      <c r="J52" s="167" t="s">
        <v>338</v>
      </c>
      <c r="K52" s="161" t="s">
        <v>331</v>
      </c>
      <c r="L52" s="169">
        <v>1</v>
      </c>
      <c r="M52" s="169">
        <v>0</v>
      </c>
      <c r="N52" s="170" t="s">
        <v>332</v>
      </c>
      <c r="O52" s="168" t="s">
        <v>334</v>
      </c>
      <c r="P52" s="168" t="s">
        <v>344</v>
      </c>
      <c r="Q52" s="168" t="s">
        <v>335</v>
      </c>
      <c r="R52" s="171"/>
    </row>
    <row r="53" spans="1:18" ht="22.5">
      <c r="A53" s="1"/>
      <c r="B53" s="166" t="s">
        <v>351</v>
      </c>
      <c r="C53" s="236" t="s">
        <v>352</v>
      </c>
      <c r="D53" s="144">
        <f>200000</f>
        <v>200000</v>
      </c>
      <c r="E53" s="144">
        <f>+D53</f>
        <v>200000</v>
      </c>
      <c r="F53" s="144">
        <f>0</f>
        <v>0</v>
      </c>
      <c r="G53" s="167">
        <f>0</f>
        <v>0</v>
      </c>
      <c r="H53" s="167">
        <f>0</f>
        <v>0</v>
      </c>
      <c r="I53" s="167">
        <f>0</f>
        <v>0</v>
      </c>
      <c r="J53" s="168" t="s">
        <v>338</v>
      </c>
      <c r="K53" s="161" t="s">
        <v>331</v>
      </c>
      <c r="L53" s="169">
        <v>1</v>
      </c>
      <c r="M53" s="169">
        <v>0</v>
      </c>
      <c r="N53" s="170" t="s">
        <v>332</v>
      </c>
      <c r="O53" s="168" t="s">
        <v>333</v>
      </c>
      <c r="P53" s="168" t="s">
        <v>334</v>
      </c>
      <c r="Q53" s="168" t="s">
        <v>335</v>
      </c>
      <c r="R53" s="171"/>
    </row>
    <row r="54" spans="1:18" ht="22.5">
      <c r="A54" s="1"/>
      <c r="B54" s="175" t="s">
        <v>355</v>
      </c>
      <c r="C54" s="238" t="s">
        <v>354</v>
      </c>
      <c r="D54" s="117">
        <f>0.06*(968000+910000)</f>
        <v>112680</v>
      </c>
      <c r="E54" s="117">
        <f>0</f>
        <v>0</v>
      </c>
      <c r="F54" s="117">
        <f>0.06*668000</f>
        <v>40080</v>
      </c>
      <c r="G54" s="172">
        <f>0.06*527500</f>
        <v>31650</v>
      </c>
      <c r="H54" s="172">
        <f>682500*0.06</f>
        <v>40950</v>
      </c>
      <c r="I54" s="172">
        <f>0</f>
        <v>0</v>
      </c>
      <c r="J54" s="168" t="s">
        <v>338</v>
      </c>
      <c r="K54" s="119" t="s">
        <v>331</v>
      </c>
      <c r="L54" s="173">
        <v>1</v>
      </c>
      <c r="M54" s="173">
        <v>0</v>
      </c>
      <c r="N54" s="119" t="s">
        <v>332</v>
      </c>
      <c r="O54" s="119" t="s">
        <v>363</v>
      </c>
      <c r="P54" s="119" t="s">
        <v>344</v>
      </c>
      <c r="Q54" s="119" t="s">
        <v>335</v>
      </c>
      <c r="R54" s="174"/>
    </row>
    <row r="55" spans="1:18" ht="22.5">
      <c r="A55" s="1"/>
      <c r="B55" s="175" t="s">
        <v>356</v>
      </c>
      <c r="C55" s="238" t="s">
        <v>358</v>
      </c>
      <c r="D55" s="117">
        <f>565000</f>
        <v>565000</v>
      </c>
      <c r="E55" s="117">
        <f>0</f>
        <v>0</v>
      </c>
      <c r="F55" s="117">
        <f>0</f>
        <v>0</v>
      </c>
      <c r="G55" s="172">
        <f>+$D$55/2</f>
        <v>282500</v>
      </c>
      <c r="H55" s="172">
        <f>+$D$55/2</f>
        <v>282500</v>
      </c>
      <c r="I55" s="172">
        <f>0</f>
        <v>0</v>
      </c>
      <c r="J55" s="168" t="s">
        <v>338</v>
      </c>
      <c r="K55" s="119" t="s">
        <v>331</v>
      </c>
      <c r="L55" s="173">
        <v>1</v>
      </c>
      <c r="M55" s="173">
        <v>0</v>
      </c>
      <c r="N55" s="119" t="s">
        <v>332</v>
      </c>
      <c r="O55" s="168" t="s">
        <v>366</v>
      </c>
      <c r="P55" s="168" t="s">
        <v>364</v>
      </c>
      <c r="Q55" s="168" t="s">
        <v>335</v>
      </c>
      <c r="R55" s="174"/>
    </row>
    <row r="56" spans="1:18" ht="12.75">
      <c r="A56" s="1"/>
      <c r="B56" s="175" t="s">
        <v>357</v>
      </c>
      <c r="C56" s="238" t="s">
        <v>362</v>
      </c>
      <c r="D56" s="117">
        <f>77000</f>
        <v>77000</v>
      </c>
      <c r="E56" s="117">
        <f>0</f>
        <v>0</v>
      </c>
      <c r="F56" s="117">
        <f>0</f>
        <v>0</v>
      </c>
      <c r="G56" s="172">
        <f>0</f>
        <v>0</v>
      </c>
      <c r="H56" s="172">
        <f>+D56</f>
        <v>77000</v>
      </c>
      <c r="I56" s="172">
        <f>0</f>
        <v>0</v>
      </c>
      <c r="J56" s="168" t="s">
        <v>338</v>
      </c>
      <c r="K56" s="119" t="s">
        <v>331</v>
      </c>
      <c r="L56" s="173">
        <v>1</v>
      </c>
      <c r="M56" s="173">
        <v>0</v>
      </c>
      <c r="N56" s="119" t="s">
        <v>332</v>
      </c>
      <c r="O56" s="168" t="s">
        <v>344</v>
      </c>
      <c r="P56" s="168" t="s">
        <v>364</v>
      </c>
      <c r="Q56" s="168" t="s">
        <v>335</v>
      </c>
      <c r="R56" s="174"/>
    </row>
    <row r="57" spans="1:18" ht="22.5">
      <c r="A57" s="1"/>
      <c r="B57" s="175" t="s">
        <v>367</v>
      </c>
      <c r="C57" s="238" t="s">
        <v>378</v>
      </c>
      <c r="D57" s="117">
        <f>65000</f>
        <v>65000</v>
      </c>
      <c r="E57" s="117">
        <f>0</f>
        <v>0</v>
      </c>
      <c r="F57" s="117">
        <f>+D57</f>
        <v>65000</v>
      </c>
      <c r="G57" s="172">
        <f>0</f>
        <v>0</v>
      </c>
      <c r="H57" s="172">
        <f>0</f>
        <v>0</v>
      </c>
      <c r="I57" s="172">
        <f>0</f>
        <v>0</v>
      </c>
      <c r="J57" s="168" t="s">
        <v>338</v>
      </c>
      <c r="K57" s="119" t="s">
        <v>331</v>
      </c>
      <c r="L57" s="173">
        <v>1</v>
      </c>
      <c r="M57" s="173">
        <v>0</v>
      </c>
      <c r="N57" s="119" t="s">
        <v>332</v>
      </c>
      <c r="O57" s="168" t="s">
        <v>368</v>
      </c>
      <c r="P57" s="168" t="s">
        <v>350</v>
      </c>
      <c r="Q57" s="168" t="s">
        <v>335</v>
      </c>
      <c r="R57" s="174"/>
    </row>
    <row r="58" spans="1:18" ht="22.5">
      <c r="A58" s="1"/>
      <c r="B58" s="175" t="s">
        <v>369</v>
      </c>
      <c r="C58" s="238" t="s">
        <v>373</v>
      </c>
      <c r="D58" s="117">
        <f>(275000+160000)*0.06</f>
        <v>26100</v>
      </c>
      <c r="E58" s="117">
        <f>0</f>
        <v>0</v>
      </c>
      <c r="F58" s="117">
        <f>0</f>
        <v>0</v>
      </c>
      <c r="G58" s="172">
        <f>0.06*175000</f>
        <v>10500</v>
      </c>
      <c r="H58" s="172">
        <f>0.06*260000</f>
        <v>15600</v>
      </c>
      <c r="I58" s="172">
        <f>0</f>
        <v>0</v>
      </c>
      <c r="J58" s="168" t="s">
        <v>330</v>
      </c>
      <c r="K58" s="119" t="s">
        <v>598</v>
      </c>
      <c r="L58" s="173">
        <v>1</v>
      </c>
      <c r="M58" s="173">
        <v>0</v>
      </c>
      <c r="N58" s="119" t="s">
        <v>332</v>
      </c>
      <c r="O58" s="119" t="s">
        <v>375</v>
      </c>
      <c r="P58" s="119" t="s">
        <v>344</v>
      </c>
      <c r="Q58" s="119" t="s">
        <v>335</v>
      </c>
      <c r="R58" s="174"/>
    </row>
    <row r="59" spans="1:18" ht="22.5">
      <c r="A59" s="1"/>
      <c r="B59" s="175" t="s">
        <v>376</v>
      </c>
      <c r="C59" s="238" t="s">
        <v>377</v>
      </c>
      <c r="D59" s="117">
        <f>40000</f>
        <v>40000</v>
      </c>
      <c r="E59" s="117">
        <f>0</f>
        <v>0</v>
      </c>
      <c r="F59" s="117">
        <f>+D59</f>
        <v>40000</v>
      </c>
      <c r="G59" s="172">
        <f>0</f>
        <v>0</v>
      </c>
      <c r="H59" s="172">
        <f>0</f>
        <v>0</v>
      </c>
      <c r="I59" s="172">
        <f>0</f>
        <v>0</v>
      </c>
      <c r="J59" s="168" t="s">
        <v>338</v>
      </c>
      <c r="K59" s="119" t="s">
        <v>331</v>
      </c>
      <c r="L59" s="173">
        <v>1</v>
      </c>
      <c r="M59" s="173">
        <v>0</v>
      </c>
      <c r="N59" s="119" t="s">
        <v>332</v>
      </c>
      <c r="O59" s="168" t="s">
        <v>383</v>
      </c>
      <c r="P59" s="168" t="s">
        <v>363</v>
      </c>
      <c r="Q59" s="168" t="s">
        <v>335</v>
      </c>
      <c r="R59" s="174"/>
    </row>
    <row r="60" spans="1:18" ht="22.5">
      <c r="A60" s="1"/>
      <c r="B60" s="175" t="s">
        <v>384</v>
      </c>
      <c r="C60" s="238" t="s">
        <v>385</v>
      </c>
      <c r="D60" s="117">
        <f>0.06*(145000+95000)</f>
        <v>14400</v>
      </c>
      <c r="E60" s="117">
        <f>0</f>
        <v>0</v>
      </c>
      <c r="F60" s="117">
        <f>0.06*70000</f>
        <v>4200</v>
      </c>
      <c r="G60" s="172">
        <f>0.06*170000</f>
        <v>10200</v>
      </c>
      <c r="H60" s="172">
        <f>0</f>
        <v>0</v>
      </c>
      <c r="I60" s="172">
        <f>0</f>
        <v>0</v>
      </c>
      <c r="J60" s="168" t="s">
        <v>330</v>
      </c>
      <c r="K60" s="161" t="s">
        <v>598</v>
      </c>
      <c r="L60" s="173">
        <v>1</v>
      </c>
      <c r="M60" s="173">
        <v>0</v>
      </c>
      <c r="N60" s="176" t="s">
        <v>332</v>
      </c>
      <c r="O60" s="119" t="s">
        <v>368</v>
      </c>
      <c r="P60" s="119" t="s">
        <v>366</v>
      </c>
      <c r="Q60" s="168" t="s">
        <v>335</v>
      </c>
      <c r="R60" s="174"/>
    </row>
    <row r="61" spans="1:18" ht="22.5">
      <c r="A61" s="1"/>
      <c r="B61" s="175" t="s">
        <v>386</v>
      </c>
      <c r="C61" s="238" t="s">
        <v>387</v>
      </c>
      <c r="D61" s="117">
        <f>20000</f>
        <v>20000</v>
      </c>
      <c r="E61" s="117">
        <f>0</f>
        <v>0</v>
      </c>
      <c r="F61" s="117">
        <f>0</f>
        <v>0</v>
      </c>
      <c r="G61" s="172">
        <f>+D61</f>
        <v>20000</v>
      </c>
      <c r="H61" s="172">
        <f>0</f>
        <v>0</v>
      </c>
      <c r="I61" s="172">
        <f>0</f>
        <v>0</v>
      </c>
      <c r="J61" s="168" t="s">
        <v>330</v>
      </c>
      <c r="K61" s="161" t="s">
        <v>598</v>
      </c>
      <c r="L61" s="173">
        <v>1</v>
      </c>
      <c r="M61" s="173">
        <v>0</v>
      </c>
      <c r="N61" s="176" t="s">
        <v>332</v>
      </c>
      <c r="O61" s="168" t="s">
        <v>366</v>
      </c>
      <c r="P61" s="168" t="s">
        <v>388</v>
      </c>
      <c r="Q61" s="168" t="s">
        <v>335</v>
      </c>
      <c r="R61" s="174"/>
    </row>
    <row r="62" spans="1:18" ht="22.5">
      <c r="A62" s="1"/>
      <c r="B62" s="175" t="s">
        <v>389</v>
      </c>
      <c r="C62" s="238" t="s">
        <v>390</v>
      </c>
      <c r="D62" s="117">
        <f>15000+65000</f>
        <v>80000</v>
      </c>
      <c r="E62" s="117">
        <f>+D62</f>
        <v>80000</v>
      </c>
      <c r="F62" s="117">
        <f>0</f>
        <v>0</v>
      </c>
      <c r="G62" s="172">
        <f>0</f>
        <v>0</v>
      </c>
      <c r="H62" s="172">
        <f>0</f>
        <v>0</v>
      </c>
      <c r="I62" s="172">
        <f>0</f>
        <v>0</v>
      </c>
      <c r="J62" s="168" t="s">
        <v>338</v>
      </c>
      <c r="K62" s="161" t="s">
        <v>331</v>
      </c>
      <c r="L62" s="173">
        <v>1</v>
      </c>
      <c r="M62" s="173">
        <v>0</v>
      </c>
      <c r="N62" s="176" t="s">
        <v>332</v>
      </c>
      <c r="O62" s="168" t="s">
        <v>340</v>
      </c>
      <c r="P62" s="168" t="s">
        <v>334</v>
      </c>
      <c r="Q62" s="168" t="s">
        <v>335</v>
      </c>
      <c r="R62" s="174"/>
    </row>
    <row r="63" spans="1:18" ht="22.5">
      <c r="A63" s="1"/>
      <c r="B63" s="175" t="s">
        <v>392</v>
      </c>
      <c r="C63" s="238" t="s">
        <v>393</v>
      </c>
      <c r="D63" s="117">
        <f>0.06*(694000+275000+70000+56000)</f>
        <v>65700</v>
      </c>
      <c r="E63" s="117">
        <f>0.06*45000</f>
        <v>2700</v>
      </c>
      <c r="F63" s="117">
        <f>0.06*375000</f>
        <v>22500</v>
      </c>
      <c r="G63" s="172">
        <f>0.06*400000</f>
        <v>24000</v>
      </c>
      <c r="H63" s="172">
        <f>0.06*275000</f>
        <v>16500</v>
      </c>
      <c r="I63" s="172">
        <f>0</f>
        <v>0</v>
      </c>
      <c r="J63" s="168" t="s">
        <v>338</v>
      </c>
      <c r="K63" s="161" t="s">
        <v>331</v>
      </c>
      <c r="L63" s="173">
        <v>1</v>
      </c>
      <c r="M63" s="173">
        <v>0</v>
      </c>
      <c r="N63" s="176" t="s">
        <v>332</v>
      </c>
      <c r="O63" s="119" t="s">
        <v>334</v>
      </c>
      <c r="P63" s="119" t="s">
        <v>344</v>
      </c>
      <c r="Q63" s="119" t="s">
        <v>335</v>
      </c>
      <c r="R63" s="174"/>
    </row>
    <row r="64" spans="1:18" ht="22.5">
      <c r="A64" s="1"/>
      <c r="B64" s="175" t="s">
        <v>394</v>
      </c>
      <c r="C64" s="238" t="s">
        <v>395</v>
      </c>
      <c r="D64" s="117">
        <f>290000-65000</f>
        <v>225000</v>
      </c>
      <c r="E64" s="117">
        <f>0</f>
        <v>0</v>
      </c>
      <c r="F64" s="117">
        <f>0</f>
        <v>0</v>
      </c>
      <c r="G64" s="172">
        <f>0</f>
        <v>0</v>
      </c>
      <c r="H64" s="172">
        <f>+D64</f>
        <v>225000</v>
      </c>
      <c r="I64" s="172">
        <f>0</f>
        <v>0</v>
      </c>
      <c r="J64" s="168" t="s">
        <v>338</v>
      </c>
      <c r="K64" s="161" t="s">
        <v>331</v>
      </c>
      <c r="L64" s="173">
        <v>1</v>
      </c>
      <c r="M64" s="173">
        <v>0</v>
      </c>
      <c r="N64" s="176" t="s">
        <v>332</v>
      </c>
      <c r="O64" s="168" t="s">
        <v>365</v>
      </c>
      <c r="P64" s="168" t="s">
        <v>364</v>
      </c>
      <c r="Q64" s="168" t="s">
        <v>335</v>
      </c>
      <c r="R64" s="174"/>
    </row>
    <row r="65" spans="1:18" ht="33.75">
      <c r="A65" s="1"/>
      <c r="B65" s="175" t="s">
        <v>397</v>
      </c>
      <c r="C65" s="238" t="s">
        <v>398</v>
      </c>
      <c r="D65" s="117">
        <f>65000+35000</f>
        <v>100000</v>
      </c>
      <c r="E65" s="117">
        <f>0</f>
        <v>0</v>
      </c>
      <c r="F65" s="117">
        <f>+D65</f>
        <v>100000</v>
      </c>
      <c r="G65" s="172">
        <f>0</f>
        <v>0</v>
      </c>
      <c r="H65" s="172">
        <f>0</f>
        <v>0</v>
      </c>
      <c r="I65" s="172">
        <f>0</f>
        <v>0</v>
      </c>
      <c r="J65" s="168" t="s">
        <v>338</v>
      </c>
      <c r="K65" s="161" t="s">
        <v>331</v>
      </c>
      <c r="L65" s="173">
        <v>1</v>
      </c>
      <c r="M65" s="173">
        <v>0</v>
      </c>
      <c r="N65" s="176" t="s">
        <v>332</v>
      </c>
      <c r="O65" s="168" t="s">
        <v>363</v>
      </c>
      <c r="P65" s="168" t="s">
        <v>368</v>
      </c>
      <c r="Q65" s="168" t="s">
        <v>335</v>
      </c>
      <c r="R65" s="174"/>
    </row>
    <row r="66" spans="1:18" ht="22.5">
      <c r="A66" s="1"/>
      <c r="B66" s="175" t="s">
        <v>404</v>
      </c>
      <c r="C66" s="238" t="s">
        <v>402</v>
      </c>
      <c r="D66" s="117">
        <f>0.06*(1035000-35000)</f>
        <v>60000</v>
      </c>
      <c r="E66" s="117">
        <f>0</f>
        <v>0</v>
      </c>
      <c r="F66" s="117">
        <f>0.06*30000</f>
        <v>1800</v>
      </c>
      <c r="G66" s="172">
        <f>0.06*240000</f>
        <v>14400</v>
      </c>
      <c r="H66" s="172">
        <f>0.06*320000</f>
        <v>19200</v>
      </c>
      <c r="I66" s="172">
        <f>0.06*410000</f>
        <v>24600</v>
      </c>
      <c r="J66" s="168" t="s">
        <v>338</v>
      </c>
      <c r="K66" s="161" t="s">
        <v>331</v>
      </c>
      <c r="L66" s="173">
        <v>1</v>
      </c>
      <c r="M66" s="173">
        <v>0</v>
      </c>
      <c r="N66" s="176" t="s">
        <v>403</v>
      </c>
      <c r="O66" s="119" t="s">
        <v>350</v>
      </c>
      <c r="P66" s="119" t="s">
        <v>401</v>
      </c>
      <c r="Q66" s="168" t="s">
        <v>335</v>
      </c>
      <c r="R66" s="174"/>
    </row>
    <row r="67" spans="1:18" ht="22.5">
      <c r="A67" s="1"/>
      <c r="B67" s="175" t="s">
        <v>405</v>
      </c>
      <c r="C67" s="238" t="s">
        <v>406</v>
      </c>
      <c r="D67" s="117">
        <f>10000</f>
        <v>10000</v>
      </c>
      <c r="E67" s="117">
        <f>0</f>
        <v>0</v>
      </c>
      <c r="F67" s="117">
        <f>0</f>
        <v>0</v>
      </c>
      <c r="G67" s="172">
        <f>0</f>
        <v>0</v>
      </c>
      <c r="H67" s="172">
        <f>+D67</f>
        <v>10000</v>
      </c>
      <c r="I67" s="172">
        <f>0</f>
        <v>0</v>
      </c>
      <c r="J67" s="168" t="s">
        <v>330</v>
      </c>
      <c r="K67" s="161" t="s">
        <v>598</v>
      </c>
      <c r="L67" s="173">
        <v>1</v>
      </c>
      <c r="M67" s="173">
        <v>0</v>
      </c>
      <c r="N67" s="176" t="s">
        <v>332</v>
      </c>
      <c r="O67" s="168" t="s">
        <v>344</v>
      </c>
      <c r="P67" s="168" t="s">
        <v>364</v>
      </c>
      <c r="Q67" s="168" t="s">
        <v>335</v>
      </c>
      <c r="R67" s="174"/>
    </row>
    <row r="68" spans="1:18" ht="33.75">
      <c r="A68" s="1"/>
      <c r="B68" s="175" t="s">
        <v>412</v>
      </c>
      <c r="C68" s="238" t="s">
        <v>413</v>
      </c>
      <c r="D68" s="117">
        <f>65000+85000</f>
        <v>150000</v>
      </c>
      <c r="E68" s="117">
        <f>0</f>
        <v>0</v>
      </c>
      <c r="F68" s="117">
        <f>0</f>
        <v>0</v>
      </c>
      <c r="G68" s="172">
        <f>0</f>
        <v>0</v>
      </c>
      <c r="H68" s="172">
        <f>120000</f>
        <v>120000</v>
      </c>
      <c r="I68" s="172">
        <f>30000</f>
        <v>30000</v>
      </c>
      <c r="J68" s="168" t="s">
        <v>338</v>
      </c>
      <c r="K68" s="161" t="s">
        <v>331</v>
      </c>
      <c r="L68" s="173">
        <v>1</v>
      </c>
      <c r="M68" s="173">
        <v>0</v>
      </c>
      <c r="N68" s="176" t="s">
        <v>332</v>
      </c>
      <c r="O68" s="168" t="s">
        <v>344</v>
      </c>
      <c r="P68" s="168" t="s">
        <v>409</v>
      </c>
      <c r="Q68" s="168" t="s">
        <v>335</v>
      </c>
      <c r="R68" s="174"/>
    </row>
    <row r="69" spans="1:18" ht="12.75">
      <c r="A69" s="1"/>
      <c r="B69" s="175" t="s">
        <v>415</v>
      </c>
      <c r="C69" s="238" t="s">
        <v>420</v>
      </c>
      <c r="D69" s="117">
        <f>12000+23000</f>
        <v>35000</v>
      </c>
      <c r="E69" s="117">
        <f>0</f>
        <v>0</v>
      </c>
      <c r="F69" s="117">
        <f>0</f>
        <v>0</v>
      </c>
      <c r="G69" s="172">
        <f>+D69</f>
        <v>35000</v>
      </c>
      <c r="H69" s="172">
        <f>0</f>
        <v>0</v>
      </c>
      <c r="I69" s="172">
        <f>0</f>
        <v>0</v>
      </c>
      <c r="J69" s="168" t="s">
        <v>338</v>
      </c>
      <c r="K69" s="161" t="s">
        <v>331</v>
      </c>
      <c r="L69" s="173">
        <v>1</v>
      </c>
      <c r="M69" s="173">
        <v>0</v>
      </c>
      <c r="N69" s="176" t="s">
        <v>332</v>
      </c>
      <c r="O69" s="168" t="s">
        <v>375</v>
      </c>
      <c r="P69" s="168" t="s">
        <v>366</v>
      </c>
      <c r="Q69" s="168" t="s">
        <v>335</v>
      </c>
      <c r="R69" s="174"/>
    </row>
    <row r="70" spans="1:18" ht="22.5">
      <c r="A70" s="1"/>
      <c r="B70" s="175" t="s">
        <v>422</v>
      </c>
      <c r="C70" s="238" t="s">
        <v>424</v>
      </c>
      <c r="D70" s="117">
        <f>350000</f>
        <v>350000</v>
      </c>
      <c r="E70" s="117">
        <f>290000</f>
        <v>290000</v>
      </c>
      <c r="F70" s="117">
        <f>60000</f>
        <v>60000</v>
      </c>
      <c r="G70" s="172">
        <f>0</f>
        <v>0</v>
      </c>
      <c r="H70" s="172">
        <f>0</f>
        <v>0</v>
      </c>
      <c r="I70" s="172">
        <f>0</f>
        <v>0</v>
      </c>
      <c r="J70" s="168" t="s">
        <v>423</v>
      </c>
      <c r="K70" s="161" t="s">
        <v>331</v>
      </c>
      <c r="L70" s="173">
        <v>1</v>
      </c>
      <c r="M70" s="173">
        <v>0</v>
      </c>
      <c r="N70" s="176" t="s">
        <v>332</v>
      </c>
      <c r="O70" s="168" t="s">
        <v>340</v>
      </c>
      <c r="P70" s="168" t="s">
        <v>350</v>
      </c>
      <c r="Q70" s="168" t="s">
        <v>335</v>
      </c>
      <c r="R70" s="174"/>
    </row>
    <row r="71" spans="1:18" ht="12.75">
      <c r="A71" s="1"/>
      <c r="B71" s="598"/>
      <c r="C71" s="599"/>
      <c r="D71" s="599"/>
      <c r="E71" s="599"/>
      <c r="F71" s="599"/>
      <c r="G71" s="599"/>
      <c r="H71" s="599"/>
      <c r="I71" s="599"/>
      <c r="J71" s="599"/>
      <c r="K71" s="599"/>
      <c r="L71" s="599"/>
      <c r="M71" s="599"/>
      <c r="N71" s="599"/>
      <c r="O71" s="599"/>
      <c r="P71" s="599"/>
      <c r="Q71" s="599"/>
      <c r="R71" s="600"/>
    </row>
    <row r="72" spans="1:18" ht="22.5">
      <c r="A72" s="1"/>
      <c r="B72" s="175" t="s">
        <v>425</v>
      </c>
      <c r="C72" s="238" t="s">
        <v>474</v>
      </c>
      <c r="D72" s="117">
        <f>50000</f>
        <v>50000</v>
      </c>
      <c r="E72" s="117">
        <f>35000</f>
        <v>35000</v>
      </c>
      <c r="F72" s="117">
        <f>15000</f>
        <v>15000</v>
      </c>
      <c r="G72" s="172">
        <f>0</f>
        <v>0</v>
      </c>
      <c r="H72" s="172">
        <f>0</f>
        <v>0</v>
      </c>
      <c r="I72" s="172">
        <f>0</f>
        <v>0</v>
      </c>
      <c r="J72" s="168" t="s">
        <v>338</v>
      </c>
      <c r="K72" s="161" t="s">
        <v>331</v>
      </c>
      <c r="L72" s="173">
        <v>1</v>
      </c>
      <c r="M72" s="173">
        <v>0</v>
      </c>
      <c r="N72" s="176" t="s">
        <v>332</v>
      </c>
      <c r="O72" s="168" t="s">
        <v>340</v>
      </c>
      <c r="P72" s="168" t="s">
        <v>383</v>
      </c>
      <c r="Q72" s="168" t="s">
        <v>335</v>
      </c>
      <c r="R72" s="174"/>
    </row>
    <row r="73" spans="1:18" ht="22.5">
      <c r="A73" s="1"/>
      <c r="B73" s="175" t="s">
        <v>428</v>
      </c>
      <c r="C73" s="238" t="s">
        <v>426</v>
      </c>
      <c r="D73" s="117">
        <f>50000</f>
        <v>50000</v>
      </c>
      <c r="E73" s="117">
        <f>35000</f>
        <v>35000</v>
      </c>
      <c r="F73" s="117">
        <f>15000</f>
        <v>15000</v>
      </c>
      <c r="G73" s="172">
        <v>0</v>
      </c>
      <c r="H73" s="172">
        <v>0</v>
      </c>
      <c r="I73" s="172">
        <v>0</v>
      </c>
      <c r="J73" s="168" t="s">
        <v>338</v>
      </c>
      <c r="K73" s="161" t="s">
        <v>331</v>
      </c>
      <c r="L73" s="173">
        <v>1</v>
      </c>
      <c r="M73" s="173">
        <v>0</v>
      </c>
      <c r="N73" s="176" t="s">
        <v>332</v>
      </c>
      <c r="O73" s="168" t="s">
        <v>340</v>
      </c>
      <c r="P73" s="168" t="s">
        <v>383</v>
      </c>
      <c r="Q73" s="168" t="s">
        <v>335</v>
      </c>
      <c r="R73" s="174"/>
    </row>
    <row r="74" spans="1:18" ht="33.75">
      <c r="A74" s="1"/>
      <c r="B74" s="175" t="s">
        <v>429</v>
      </c>
      <c r="C74" s="238" t="s">
        <v>433</v>
      </c>
      <c r="D74" s="141">
        <f>550000-50000</f>
        <v>500000</v>
      </c>
      <c r="E74" s="117">
        <f>0</f>
        <v>0</v>
      </c>
      <c r="F74" s="117">
        <f>100000-50000</f>
        <v>50000</v>
      </c>
      <c r="G74" s="172">
        <f>200000*0.75</f>
        <v>150000</v>
      </c>
      <c r="H74" s="172">
        <f>200000*0.75</f>
        <v>150000</v>
      </c>
      <c r="I74" s="172">
        <f>200000*0.75</f>
        <v>150000</v>
      </c>
      <c r="J74" s="168" t="s">
        <v>338</v>
      </c>
      <c r="K74" s="161" t="s">
        <v>331</v>
      </c>
      <c r="L74" s="173">
        <v>1</v>
      </c>
      <c r="M74" s="173">
        <v>0</v>
      </c>
      <c r="N74" s="176" t="s">
        <v>332</v>
      </c>
      <c r="O74" s="168" t="s">
        <v>383</v>
      </c>
      <c r="P74" s="168" t="s">
        <v>430</v>
      </c>
      <c r="Q74" s="168" t="s">
        <v>335</v>
      </c>
      <c r="R74" s="174"/>
    </row>
    <row r="75" spans="1:18" ht="22.5">
      <c r="A75" s="1"/>
      <c r="B75" s="175" t="s">
        <v>0</v>
      </c>
      <c r="C75" s="238" t="s">
        <v>431</v>
      </c>
      <c r="D75" s="117">
        <f>8000+20000+15000+(7000)</f>
        <v>50000</v>
      </c>
      <c r="E75" s="117">
        <f>50000</f>
        <v>50000</v>
      </c>
      <c r="F75" s="117">
        <f>0</f>
        <v>0</v>
      </c>
      <c r="G75" s="172">
        <f>0</f>
        <v>0</v>
      </c>
      <c r="H75" s="172">
        <f>0</f>
        <v>0</v>
      </c>
      <c r="I75" s="172">
        <f>0</f>
        <v>0</v>
      </c>
      <c r="J75" s="168" t="s">
        <v>338</v>
      </c>
      <c r="K75" s="161" t="s">
        <v>331</v>
      </c>
      <c r="L75" s="173">
        <v>1</v>
      </c>
      <c r="M75" s="173">
        <v>0</v>
      </c>
      <c r="N75" s="176" t="s">
        <v>332</v>
      </c>
      <c r="O75" s="168" t="s">
        <v>340</v>
      </c>
      <c r="P75" s="168" t="s">
        <v>334</v>
      </c>
      <c r="Q75" s="168" t="s">
        <v>335</v>
      </c>
      <c r="R75" s="174"/>
    </row>
    <row r="76" spans="1:18" ht="22.5">
      <c r="A76" s="1"/>
      <c r="B76" s="175" t="s">
        <v>513</v>
      </c>
      <c r="C76" s="238" t="s">
        <v>514</v>
      </c>
      <c r="D76" s="141">
        <f>100000</f>
        <v>100000</v>
      </c>
      <c r="E76" s="117">
        <f>0</f>
        <v>0</v>
      </c>
      <c r="F76" s="117">
        <f>10000</f>
        <v>10000</v>
      </c>
      <c r="G76" s="172">
        <f>30000</f>
        <v>30000</v>
      </c>
      <c r="H76" s="172">
        <f>30000</f>
        <v>30000</v>
      </c>
      <c r="I76" s="172">
        <f>30000</f>
        <v>30000</v>
      </c>
      <c r="J76" s="168" t="s">
        <v>338</v>
      </c>
      <c r="K76" s="161" t="s">
        <v>331</v>
      </c>
      <c r="L76" s="173">
        <v>1</v>
      </c>
      <c r="M76" s="173">
        <v>0</v>
      </c>
      <c r="N76" s="176" t="s">
        <v>332</v>
      </c>
      <c r="O76" s="168" t="s">
        <v>350</v>
      </c>
      <c r="P76" s="168" t="s">
        <v>401</v>
      </c>
      <c r="Q76" s="168" t="s">
        <v>335</v>
      </c>
      <c r="R76" s="174"/>
    </row>
    <row r="77" spans="1:18" ht="22.5">
      <c r="A77" s="1"/>
      <c r="B77" s="175" t="s">
        <v>434</v>
      </c>
      <c r="C77" s="238" t="s">
        <v>475</v>
      </c>
      <c r="D77" s="117">
        <f>55000</f>
        <v>55000</v>
      </c>
      <c r="E77" s="117">
        <f>0</f>
        <v>0</v>
      </c>
      <c r="F77" s="117">
        <f>+D77</f>
        <v>55000</v>
      </c>
      <c r="G77" s="172">
        <f>0</f>
        <v>0</v>
      </c>
      <c r="H77" s="172">
        <f>0</f>
        <v>0</v>
      </c>
      <c r="I77" s="172">
        <f>0</f>
        <v>0</v>
      </c>
      <c r="J77" s="168" t="s">
        <v>338</v>
      </c>
      <c r="K77" s="161" t="s">
        <v>331</v>
      </c>
      <c r="L77" s="173">
        <v>1</v>
      </c>
      <c r="M77" s="173">
        <v>0</v>
      </c>
      <c r="N77" s="176" t="s">
        <v>403</v>
      </c>
      <c r="O77" s="168" t="s">
        <v>383</v>
      </c>
      <c r="P77" s="168" t="s">
        <v>363</v>
      </c>
      <c r="Q77" s="168" t="s">
        <v>335</v>
      </c>
      <c r="R77" s="174"/>
    </row>
    <row r="78" spans="1:18" ht="22.5">
      <c r="A78" s="1"/>
      <c r="B78" s="175" t="s">
        <v>435</v>
      </c>
      <c r="C78" s="238" t="s">
        <v>436</v>
      </c>
      <c r="D78" s="117">
        <f>20000+10000</f>
        <v>30000</v>
      </c>
      <c r="E78" s="117">
        <f>0</f>
        <v>0</v>
      </c>
      <c r="F78" s="117">
        <f>+D78</f>
        <v>30000</v>
      </c>
      <c r="G78" s="172">
        <f>0</f>
        <v>0</v>
      </c>
      <c r="H78" s="172">
        <f>0</f>
        <v>0</v>
      </c>
      <c r="I78" s="172">
        <f>0</f>
        <v>0</v>
      </c>
      <c r="J78" s="168" t="s">
        <v>338</v>
      </c>
      <c r="K78" s="161" t="s">
        <v>331</v>
      </c>
      <c r="L78" s="173">
        <v>1</v>
      </c>
      <c r="M78" s="173">
        <v>0</v>
      </c>
      <c r="N78" s="176" t="s">
        <v>332</v>
      </c>
      <c r="O78" s="168" t="s">
        <v>368</v>
      </c>
      <c r="P78" s="168" t="s">
        <v>350</v>
      </c>
      <c r="Q78" s="168" t="s">
        <v>335</v>
      </c>
      <c r="R78" s="174"/>
    </row>
    <row r="79" spans="1:18" ht="22.5">
      <c r="A79" s="1"/>
      <c r="B79" s="175" t="s">
        <v>437</v>
      </c>
      <c r="C79" s="238" t="s">
        <v>438</v>
      </c>
      <c r="D79" s="117">
        <f>315000-100000</f>
        <v>215000</v>
      </c>
      <c r="E79" s="117">
        <f>0</f>
        <v>0</v>
      </c>
      <c r="F79" s="117">
        <f>15000-10000</f>
        <v>5000</v>
      </c>
      <c r="G79" s="172">
        <f>100000-30000</f>
        <v>70000</v>
      </c>
      <c r="H79" s="172">
        <f>100000-30000</f>
        <v>70000</v>
      </c>
      <c r="I79" s="172">
        <f>100000-30000</f>
        <v>70000</v>
      </c>
      <c r="J79" s="168" t="s">
        <v>338</v>
      </c>
      <c r="K79" s="161" t="s">
        <v>331</v>
      </c>
      <c r="L79" s="173">
        <v>1</v>
      </c>
      <c r="M79" s="173">
        <v>0</v>
      </c>
      <c r="N79" s="176" t="s">
        <v>332</v>
      </c>
      <c r="O79" s="168" t="s">
        <v>350</v>
      </c>
      <c r="P79" s="168" t="s">
        <v>401</v>
      </c>
      <c r="Q79" s="168" t="s">
        <v>335</v>
      </c>
      <c r="R79" s="174"/>
    </row>
    <row r="80" spans="1:18" ht="12.75">
      <c r="A80" s="1"/>
      <c r="B80" s="598"/>
      <c r="C80" s="599"/>
      <c r="D80" s="599"/>
      <c r="E80" s="599"/>
      <c r="F80" s="599"/>
      <c r="G80" s="599"/>
      <c r="H80" s="599"/>
      <c r="I80" s="599"/>
      <c r="J80" s="599"/>
      <c r="K80" s="599"/>
      <c r="L80" s="599"/>
      <c r="M80" s="599"/>
      <c r="N80" s="599"/>
      <c r="O80" s="599"/>
      <c r="P80" s="599"/>
      <c r="Q80" s="599"/>
      <c r="R80" s="600"/>
    </row>
    <row r="81" spans="1:18" ht="22.5">
      <c r="A81" s="1"/>
      <c r="B81" s="175" t="s">
        <v>439</v>
      </c>
      <c r="C81" s="238" t="s">
        <v>445</v>
      </c>
      <c r="D81" s="117">
        <f>240000</f>
        <v>240000</v>
      </c>
      <c r="E81" s="117">
        <f>40000</f>
        <v>40000</v>
      </c>
      <c r="F81" s="117">
        <f>5000</f>
        <v>5000</v>
      </c>
      <c r="G81" s="172">
        <f>65000</f>
        <v>65000</v>
      </c>
      <c r="H81" s="172">
        <f>65000</f>
        <v>65000</v>
      </c>
      <c r="I81" s="172">
        <f>65000</f>
        <v>65000</v>
      </c>
      <c r="J81" s="167" t="s">
        <v>338</v>
      </c>
      <c r="K81" s="161" t="s">
        <v>331</v>
      </c>
      <c r="L81" s="173">
        <v>1</v>
      </c>
      <c r="M81" s="173">
        <v>0</v>
      </c>
      <c r="N81" s="176" t="s">
        <v>332</v>
      </c>
      <c r="O81" s="168" t="s">
        <v>334</v>
      </c>
      <c r="P81" s="168" t="s">
        <v>430</v>
      </c>
      <c r="Q81" s="168" t="s">
        <v>335</v>
      </c>
      <c r="R81" s="174"/>
    </row>
    <row r="82" spans="1:18" ht="22.5">
      <c r="A82" s="1"/>
      <c r="B82" s="175" t="s">
        <v>443</v>
      </c>
      <c r="C82" s="238" t="s">
        <v>446</v>
      </c>
      <c r="D82" s="117">
        <f>200000</f>
        <v>200000</v>
      </c>
      <c r="E82" s="117">
        <f>40000</f>
        <v>40000</v>
      </c>
      <c r="F82" s="117">
        <f>5000</f>
        <v>5000</v>
      </c>
      <c r="G82" s="172">
        <f>45000</f>
        <v>45000</v>
      </c>
      <c r="H82" s="172">
        <f>65000</f>
        <v>65000</v>
      </c>
      <c r="I82" s="172">
        <f>45000</f>
        <v>45000</v>
      </c>
      <c r="J82" s="167" t="s">
        <v>338</v>
      </c>
      <c r="K82" s="161" t="s">
        <v>331</v>
      </c>
      <c r="L82" s="173">
        <v>1</v>
      </c>
      <c r="M82" s="173">
        <v>0</v>
      </c>
      <c r="N82" s="176" t="s">
        <v>332</v>
      </c>
      <c r="O82" s="168" t="s">
        <v>334</v>
      </c>
      <c r="P82" s="168" t="s">
        <v>430</v>
      </c>
      <c r="Q82" s="168" t="s">
        <v>335</v>
      </c>
      <c r="R82" s="174"/>
    </row>
    <row r="83" spans="1:18" ht="22.5">
      <c r="A83" s="1"/>
      <c r="B83" s="175" t="s">
        <v>444</v>
      </c>
      <c r="C83" s="238" t="s">
        <v>476</v>
      </c>
      <c r="D83" s="117">
        <f>40000*4</f>
        <v>160000</v>
      </c>
      <c r="E83" s="117">
        <f>0</f>
        <v>0</v>
      </c>
      <c r="F83" s="117">
        <f>40000</f>
        <v>40000</v>
      </c>
      <c r="G83" s="172">
        <f>40000</f>
        <v>40000</v>
      </c>
      <c r="H83" s="172">
        <f>40000</f>
        <v>40000</v>
      </c>
      <c r="I83" s="172">
        <f>40000</f>
        <v>40000</v>
      </c>
      <c r="J83" s="168" t="s">
        <v>338</v>
      </c>
      <c r="K83" s="161" t="s">
        <v>331</v>
      </c>
      <c r="L83" s="173">
        <v>1</v>
      </c>
      <c r="M83" s="173">
        <v>0</v>
      </c>
      <c r="N83" s="176" t="s">
        <v>332</v>
      </c>
      <c r="O83" s="168" t="s">
        <v>368</v>
      </c>
      <c r="P83" s="168" t="s">
        <v>401</v>
      </c>
      <c r="Q83" s="168" t="s">
        <v>335</v>
      </c>
      <c r="R83" s="174"/>
    </row>
    <row r="84" spans="1:18" ht="22.5">
      <c r="A84" s="1"/>
      <c r="B84" s="175" t="s">
        <v>449</v>
      </c>
      <c r="C84" s="238" t="s">
        <v>450</v>
      </c>
      <c r="D84" s="117">
        <f>382000</f>
        <v>382000</v>
      </c>
      <c r="E84" s="117">
        <f>0</f>
        <v>0</v>
      </c>
      <c r="F84" s="117">
        <f>32000</f>
        <v>32000</v>
      </c>
      <c r="G84" s="172">
        <f>125000</f>
        <v>125000</v>
      </c>
      <c r="H84" s="172">
        <f>125000</f>
        <v>125000</v>
      </c>
      <c r="I84" s="172">
        <f>100000</f>
        <v>100000</v>
      </c>
      <c r="J84" s="168" t="s">
        <v>338</v>
      </c>
      <c r="K84" s="161" t="s">
        <v>331</v>
      </c>
      <c r="L84" s="173">
        <v>1</v>
      </c>
      <c r="M84" s="173">
        <v>0</v>
      </c>
      <c r="N84" s="176" t="s">
        <v>332</v>
      </c>
      <c r="O84" s="168" t="s">
        <v>368</v>
      </c>
      <c r="P84" s="168" t="s">
        <v>430</v>
      </c>
      <c r="Q84" s="168" t="s">
        <v>335</v>
      </c>
      <c r="R84" s="174"/>
    </row>
    <row r="85" spans="1:18" ht="22.5">
      <c r="A85" s="1"/>
      <c r="B85" s="175" t="s">
        <v>515</v>
      </c>
      <c r="C85" s="238" t="s">
        <v>516</v>
      </c>
      <c r="D85" s="117">
        <f>20000+10000</f>
        <v>30000</v>
      </c>
      <c r="E85" s="117">
        <f>0</f>
        <v>0</v>
      </c>
      <c r="F85" s="117">
        <f>0</f>
        <v>0</v>
      </c>
      <c r="G85" s="172">
        <f>+D85</f>
        <v>30000</v>
      </c>
      <c r="H85" s="172">
        <f>0</f>
        <v>0</v>
      </c>
      <c r="I85" s="172">
        <f>0</f>
        <v>0</v>
      </c>
      <c r="J85" s="168" t="s">
        <v>330</v>
      </c>
      <c r="K85" s="161" t="s">
        <v>598</v>
      </c>
      <c r="L85" s="173">
        <v>1</v>
      </c>
      <c r="M85" s="173">
        <v>0</v>
      </c>
      <c r="N85" s="176" t="s">
        <v>332</v>
      </c>
      <c r="O85" s="168" t="s">
        <v>375</v>
      </c>
      <c r="P85" s="168" t="s">
        <v>388</v>
      </c>
      <c r="Q85" s="168" t="s">
        <v>335</v>
      </c>
      <c r="R85" s="174"/>
    </row>
    <row r="86" spans="1:18" ht="33.75">
      <c r="A86" s="1"/>
      <c r="B86" s="175" t="s">
        <v>517</v>
      </c>
      <c r="C86" s="238" t="s">
        <v>518</v>
      </c>
      <c r="D86" s="117">
        <f>60000+10000</f>
        <v>70000</v>
      </c>
      <c r="E86" s="117">
        <f>0</f>
        <v>0</v>
      </c>
      <c r="F86" s="117">
        <f>35000</f>
        <v>35000</v>
      </c>
      <c r="G86" s="172">
        <f>35000</f>
        <v>35000</v>
      </c>
      <c r="H86" s="172">
        <f>0</f>
        <v>0</v>
      </c>
      <c r="I86" s="172">
        <f>0</f>
        <v>0</v>
      </c>
      <c r="J86" s="168" t="s">
        <v>338</v>
      </c>
      <c r="K86" s="161" t="s">
        <v>331</v>
      </c>
      <c r="L86" s="173">
        <v>1</v>
      </c>
      <c r="M86" s="173">
        <v>0</v>
      </c>
      <c r="N86" s="176" t="s">
        <v>332</v>
      </c>
      <c r="O86" s="168" t="s">
        <v>350</v>
      </c>
      <c r="P86" s="168" t="s">
        <v>375</v>
      </c>
      <c r="Q86" s="168" t="s">
        <v>335</v>
      </c>
      <c r="R86" s="174"/>
    </row>
    <row r="87" spans="1:18" ht="12.75">
      <c r="A87" s="1"/>
      <c r="B87" s="175" t="s">
        <v>520</v>
      </c>
      <c r="C87" s="238" t="s">
        <v>519</v>
      </c>
      <c r="D87" s="117">
        <f>30000</f>
        <v>30000</v>
      </c>
      <c r="E87" s="117">
        <f>0</f>
        <v>0</v>
      </c>
      <c r="F87" s="117">
        <f>20000</f>
        <v>20000</v>
      </c>
      <c r="G87" s="172">
        <f>10000</f>
        <v>10000</v>
      </c>
      <c r="H87" s="172">
        <f>0</f>
        <v>0</v>
      </c>
      <c r="I87" s="172">
        <f>0</f>
        <v>0</v>
      </c>
      <c r="J87" s="168" t="s">
        <v>330</v>
      </c>
      <c r="K87" s="161" t="s">
        <v>598</v>
      </c>
      <c r="L87" s="173">
        <v>1</v>
      </c>
      <c r="M87" s="173">
        <v>0</v>
      </c>
      <c r="N87" s="176" t="s">
        <v>332</v>
      </c>
      <c r="O87" s="168" t="s">
        <v>368</v>
      </c>
      <c r="P87" s="168" t="s">
        <v>468</v>
      </c>
      <c r="Q87" s="168" t="s">
        <v>335</v>
      </c>
      <c r="R87" s="174"/>
    </row>
    <row r="88" spans="1:18" ht="22.5">
      <c r="A88" s="1"/>
      <c r="B88" s="175" t="s">
        <v>521</v>
      </c>
      <c r="C88" s="238" t="s">
        <v>672</v>
      </c>
      <c r="D88" s="117">
        <f>100000</f>
        <v>100000</v>
      </c>
      <c r="E88" s="117">
        <f>0</f>
        <v>0</v>
      </c>
      <c r="F88" s="117">
        <f>20000</f>
        <v>20000</v>
      </c>
      <c r="G88" s="172">
        <f>50000</f>
        <v>50000</v>
      </c>
      <c r="H88" s="172">
        <f>30000</f>
        <v>30000</v>
      </c>
      <c r="I88" s="172">
        <f>0</f>
        <v>0</v>
      </c>
      <c r="J88" s="168" t="s">
        <v>338</v>
      </c>
      <c r="K88" s="161" t="s">
        <v>331</v>
      </c>
      <c r="L88" s="173">
        <v>1</v>
      </c>
      <c r="M88" s="173">
        <v>0</v>
      </c>
      <c r="N88" s="176" t="s">
        <v>332</v>
      </c>
      <c r="O88" s="168" t="s">
        <v>350</v>
      </c>
      <c r="P88" s="168" t="s">
        <v>414</v>
      </c>
      <c r="Q88" s="168" t="s">
        <v>335</v>
      </c>
      <c r="R88" s="174"/>
    </row>
    <row r="89" spans="1:18" ht="22.5">
      <c r="A89" s="1"/>
      <c r="B89" s="175" t="s">
        <v>463</v>
      </c>
      <c r="C89" s="238" t="s">
        <v>464</v>
      </c>
      <c r="D89" s="117">
        <f>77000</f>
        <v>77000</v>
      </c>
      <c r="E89" s="117">
        <f>0</f>
        <v>0</v>
      </c>
      <c r="F89" s="117">
        <f>11000+1000+9000</f>
        <v>21000</v>
      </c>
      <c r="G89" s="172">
        <f>15000+5000+1000+9000</f>
        <v>30000</v>
      </c>
      <c r="H89" s="172">
        <f>15000+5000+6000</f>
        <v>26000</v>
      </c>
      <c r="I89" s="172">
        <f>0</f>
        <v>0</v>
      </c>
      <c r="J89" s="168" t="s">
        <v>338</v>
      </c>
      <c r="K89" s="161" t="s">
        <v>331</v>
      </c>
      <c r="L89" s="173">
        <v>1</v>
      </c>
      <c r="M89" s="173">
        <v>0</v>
      </c>
      <c r="N89" s="176" t="s">
        <v>332</v>
      </c>
      <c r="O89" s="168" t="s">
        <v>363</v>
      </c>
      <c r="P89" s="168" t="s">
        <v>364</v>
      </c>
      <c r="Q89" s="168" t="s">
        <v>335</v>
      </c>
      <c r="R89" s="174"/>
    </row>
    <row r="90" spans="1:18" ht="22.5">
      <c r="A90" s="1"/>
      <c r="B90" s="175" t="s">
        <v>522</v>
      </c>
      <c r="C90" s="238" t="s">
        <v>523</v>
      </c>
      <c r="D90" s="117">
        <f>20000+230000</f>
        <v>250000</v>
      </c>
      <c r="E90" s="117">
        <f>0</f>
        <v>0</v>
      </c>
      <c r="F90" s="117">
        <f>70000</f>
        <v>70000</v>
      </c>
      <c r="G90" s="172">
        <f>60000</f>
        <v>60000</v>
      </c>
      <c r="H90" s="172">
        <f>60000</f>
        <v>60000</v>
      </c>
      <c r="I90" s="172">
        <f>60000</f>
        <v>60000</v>
      </c>
      <c r="J90" s="168" t="s">
        <v>338</v>
      </c>
      <c r="K90" s="161" t="s">
        <v>331</v>
      </c>
      <c r="L90" s="173">
        <v>1</v>
      </c>
      <c r="M90" s="173">
        <v>0</v>
      </c>
      <c r="N90" s="176" t="s">
        <v>332</v>
      </c>
      <c r="O90" s="168" t="s">
        <v>363</v>
      </c>
      <c r="P90" s="168" t="s">
        <v>430</v>
      </c>
      <c r="Q90" s="168" t="s">
        <v>335</v>
      </c>
      <c r="R90" s="174"/>
    </row>
    <row r="91" spans="1:18" ht="22.5">
      <c r="A91" s="1"/>
      <c r="B91" s="175" t="s">
        <v>524</v>
      </c>
      <c r="C91" s="238" t="s">
        <v>525</v>
      </c>
      <c r="D91" s="117">
        <f>100000</f>
        <v>100000</v>
      </c>
      <c r="E91" s="117">
        <f>0</f>
        <v>0</v>
      </c>
      <c r="F91" s="117">
        <f>0</f>
        <v>0</v>
      </c>
      <c r="G91" s="172">
        <f>30000</f>
        <v>30000</v>
      </c>
      <c r="H91" s="172">
        <f>40000</f>
        <v>40000</v>
      </c>
      <c r="I91" s="172">
        <f>30000</f>
        <v>30000</v>
      </c>
      <c r="J91" s="168" t="s">
        <v>338</v>
      </c>
      <c r="K91" s="161" t="s">
        <v>331</v>
      </c>
      <c r="L91" s="173">
        <v>1</v>
      </c>
      <c r="M91" s="173">
        <v>0</v>
      </c>
      <c r="N91" s="176" t="s">
        <v>332</v>
      </c>
      <c r="O91" s="168" t="s">
        <v>375</v>
      </c>
      <c r="P91" s="168" t="s">
        <v>401</v>
      </c>
      <c r="Q91" s="168" t="s">
        <v>335</v>
      </c>
      <c r="R91" s="174"/>
    </row>
    <row r="92" spans="1:18" ht="22.5">
      <c r="A92" s="1"/>
      <c r="B92" s="175" t="s">
        <v>467</v>
      </c>
      <c r="C92" s="238" t="s">
        <v>477</v>
      </c>
      <c r="D92" s="117">
        <f>150000</f>
        <v>150000</v>
      </c>
      <c r="E92" s="117">
        <f>0</f>
        <v>0</v>
      </c>
      <c r="F92" s="117">
        <f>0</f>
        <v>0</v>
      </c>
      <c r="G92" s="172">
        <f>+D92</f>
        <v>150000</v>
      </c>
      <c r="H92" s="172">
        <f>0</f>
        <v>0</v>
      </c>
      <c r="I92" s="172">
        <f>0</f>
        <v>0</v>
      </c>
      <c r="J92" s="168" t="s">
        <v>338</v>
      </c>
      <c r="K92" s="161" t="s">
        <v>331</v>
      </c>
      <c r="L92" s="173">
        <v>1</v>
      </c>
      <c r="M92" s="173">
        <v>0</v>
      </c>
      <c r="N92" s="176" t="s">
        <v>332</v>
      </c>
      <c r="O92" s="168" t="s">
        <v>468</v>
      </c>
      <c r="P92" s="168" t="s">
        <v>388</v>
      </c>
      <c r="Q92" s="168" t="s">
        <v>335</v>
      </c>
      <c r="R92" s="174"/>
    </row>
    <row r="93" spans="1:18" ht="22.5">
      <c r="A93" s="1"/>
      <c r="B93" s="175" t="s">
        <v>469</v>
      </c>
      <c r="C93" s="238" t="s">
        <v>470</v>
      </c>
      <c r="D93" s="117">
        <f>850000</f>
        <v>850000</v>
      </c>
      <c r="E93" s="117">
        <f>0</f>
        <v>0</v>
      </c>
      <c r="F93" s="117">
        <f>0</f>
        <v>0</v>
      </c>
      <c r="G93" s="172">
        <f>0</f>
        <v>0</v>
      </c>
      <c r="H93" s="172">
        <f>400000</f>
        <v>400000</v>
      </c>
      <c r="I93" s="172">
        <f>450000</f>
        <v>450000</v>
      </c>
      <c r="J93" s="168" t="s">
        <v>338</v>
      </c>
      <c r="K93" s="161" t="s">
        <v>331</v>
      </c>
      <c r="L93" s="173">
        <v>1</v>
      </c>
      <c r="M93" s="173">
        <v>0</v>
      </c>
      <c r="N93" s="176" t="s">
        <v>332</v>
      </c>
      <c r="O93" s="168" t="s">
        <v>365</v>
      </c>
      <c r="P93" s="168" t="s">
        <v>401</v>
      </c>
      <c r="Q93" s="168" t="s">
        <v>335</v>
      </c>
      <c r="R93" s="174"/>
    </row>
    <row r="94" spans="1:18" ht="12.75">
      <c r="A94" s="1"/>
      <c r="B94" s="598"/>
      <c r="C94" s="599"/>
      <c r="D94" s="599"/>
      <c r="E94" s="599"/>
      <c r="F94" s="599"/>
      <c r="G94" s="599"/>
      <c r="H94" s="599"/>
      <c r="I94" s="599"/>
      <c r="J94" s="599"/>
      <c r="K94" s="599"/>
      <c r="L94" s="599"/>
      <c r="M94" s="599"/>
      <c r="N94" s="599"/>
      <c r="O94" s="599"/>
      <c r="P94" s="599"/>
      <c r="Q94" s="599"/>
      <c r="R94" s="600"/>
    </row>
    <row r="95" spans="1:18" ht="22.5">
      <c r="A95" s="1"/>
      <c r="B95" s="175" t="s">
        <v>73</v>
      </c>
      <c r="C95" s="238" t="s">
        <v>551</v>
      </c>
      <c r="D95" s="117">
        <f>60000</f>
        <v>60000</v>
      </c>
      <c r="E95" s="117">
        <f>30000</f>
        <v>30000</v>
      </c>
      <c r="F95" s="117">
        <f>20000</f>
        <v>20000</v>
      </c>
      <c r="G95" s="172">
        <f>10000</f>
        <v>10000</v>
      </c>
      <c r="H95" s="172">
        <f>0</f>
        <v>0</v>
      </c>
      <c r="I95" s="172">
        <f>0</f>
        <v>0</v>
      </c>
      <c r="J95" s="168" t="s">
        <v>338</v>
      </c>
      <c r="K95" s="161" t="s">
        <v>331</v>
      </c>
      <c r="L95" s="173">
        <v>1</v>
      </c>
      <c r="M95" s="173">
        <v>0</v>
      </c>
      <c r="N95" s="176" t="s">
        <v>332</v>
      </c>
      <c r="O95" s="168" t="s">
        <v>340</v>
      </c>
      <c r="P95" s="168" t="s">
        <v>468</v>
      </c>
      <c r="Q95" s="168" t="s">
        <v>335</v>
      </c>
      <c r="R95" s="174"/>
    </row>
    <row r="96" spans="1:18" ht="22.5">
      <c r="A96" s="1"/>
      <c r="B96" s="175" t="s">
        <v>56</v>
      </c>
      <c r="C96" s="238" t="s">
        <v>57</v>
      </c>
      <c r="D96" s="117">
        <f>250000</f>
        <v>250000</v>
      </c>
      <c r="E96" s="117">
        <f>0</f>
        <v>0</v>
      </c>
      <c r="F96" s="117">
        <f>70000</f>
        <v>70000</v>
      </c>
      <c r="G96" s="172">
        <f>60000</f>
        <v>60000</v>
      </c>
      <c r="H96" s="172">
        <f>60000</f>
        <v>60000</v>
      </c>
      <c r="I96" s="172">
        <f>60000</f>
        <v>60000</v>
      </c>
      <c r="J96" s="168" t="s">
        <v>338</v>
      </c>
      <c r="K96" s="161" t="s">
        <v>331</v>
      </c>
      <c r="L96" s="173">
        <v>1</v>
      </c>
      <c r="M96" s="173">
        <v>0</v>
      </c>
      <c r="N96" s="176" t="s">
        <v>403</v>
      </c>
      <c r="O96" s="168" t="s">
        <v>363</v>
      </c>
      <c r="P96" s="168" t="s">
        <v>401</v>
      </c>
      <c r="Q96" s="168" t="s">
        <v>335</v>
      </c>
      <c r="R96" s="174"/>
    </row>
    <row r="97" spans="1:18" ht="22.5">
      <c r="A97" s="1"/>
      <c r="B97" s="175" t="s">
        <v>66</v>
      </c>
      <c r="C97" s="238" t="s">
        <v>67</v>
      </c>
      <c r="D97" s="117">
        <f>130000</f>
        <v>130000</v>
      </c>
      <c r="E97" s="117">
        <f>60000</f>
        <v>60000</v>
      </c>
      <c r="F97" s="117">
        <f>70000</f>
        <v>70000</v>
      </c>
      <c r="G97" s="172">
        <f>0</f>
        <v>0</v>
      </c>
      <c r="H97" s="172">
        <f>0</f>
        <v>0</v>
      </c>
      <c r="I97" s="172">
        <f>0</f>
        <v>0</v>
      </c>
      <c r="J97" s="168" t="s">
        <v>338</v>
      </c>
      <c r="K97" s="161" t="s">
        <v>331</v>
      </c>
      <c r="L97" s="173">
        <v>1</v>
      </c>
      <c r="M97" s="173">
        <v>0</v>
      </c>
      <c r="N97" s="176" t="s">
        <v>332</v>
      </c>
      <c r="O97" s="168" t="s">
        <v>340</v>
      </c>
      <c r="P97" s="168" t="s">
        <v>363</v>
      </c>
      <c r="Q97" s="168" t="s">
        <v>335</v>
      </c>
      <c r="R97" s="174"/>
    </row>
    <row r="98" spans="1:18" ht="22.5">
      <c r="A98" s="1"/>
      <c r="B98" s="175" t="s">
        <v>44</v>
      </c>
      <c r="C98" s="238" t="s">
        <v>45</v>
      </c>
      <c r="D98" s="117">
        <f>50000</f>
        <v>50000</v>
      </c>
      <c r="E98" s="117">
        <f>50000</f>
        <v>50000</v>
      </c>
      <c r="F98" s="117">
        <f>0</f>
        <v>0</v>
      </c>
      <c r="G98" s="172">
        <f>0</f>
        <v>0</v>
      </c>
      <c r="H98" s="172">
        <f>0</f>
        <v>0</v>
      </c>
      <c r="I98" s="172">
        <f>0</f>
        <v>0</v>
      </c>
      <c r="J98" s="168" t="s">
        <v>338</v>
      </c>
      <c r="K98" s="161" t="s">
        <v>331</v>
      </c>
      <c r="L98" s="173">
        <v>1</v>
      </c>
      <c r="M98" s="173">
        <v>0</v>
      </c>
      <c r="N98" s="176" t="s">
        <v>403</v>
      </c>
      <c r="O98" s="168" t="s">
        <v>340</v>
      </c>
      <c r="P98" s="168" t="s">
        <v>334</v>
      </c>
      <c r="Q98" s="168" t="s">
        <v>335</v>
      </c>
      <c r="R98" s="174"/>
    </row>
    <row r="99" spans="1:18" ht="12.75">
      <c r="A99" s="1"/>
      <c r="B99" s="175" t="s">
        <v>615</v>
      </c>
      <c r="C99" s="238" t="s">
        <v>616</v>
      </c>
      <c r="D99" s="117">
        <f>0.06*(664680+1550920)</f>
        <v>132936</v>
      </c>
      <c r="E99" s="117">
        <f>0</f>
        <v>0</v>
      </c>
      <c r="F99" s="117">
        <f>+D99*0.3</f>
        <v>39880.799999999996</v>
      </c>
      <c r="G99" s="172">
        <f>+D99*0.7</f>
        <v>93055.2</v>
      </c>
      <c r="H99" s="172">
        <f>0</f>
        <v>0</v>
      </c>
      <c r="I99" s="172">
        <f>0</f>
        <v>0</v>
      </c>
      <c r="J99" s="168" t="s">
        <v>338</v>
      </c>
      <c r="K99" s="161" t="s">
        <v>331</v>
      </c>
      <c r="L99" s="173">
        <v>1</v>
      </c>
      <c r="M99" s="173">
        <v>0</v>
      </c>
      <c r="N99" s="176" t="s">
        <v>332</v>
      </c>
      <c r="O99" s="168" t="s">
        <v>363</v>
      </c>
      <c r="P99" s="168" t="s">
        <v>388</v>
      </c>
      <c r="Q99" s="168" t="s">
        <v>335</v>
      </c>
      <c r="R99" s="174"/>
    </row>
    <row r="100" spans="1:18" ht="22.5">
      <c r="A100" s="1"/>
      <c r="B100" s="175" t="s">
        <v>43</v>
      </c>
      <c r="C100" s="238" t="s">
        <v>562</v>
      </c>
      <c r="D100" s="117">
        <f>10000</f>
        <v>10000</v>
      </c>
      <c r="E100" s="117">
        <f>0</f>
        <v>0</v>
      </c>
      <c r="F100" s="117">
        <f>0</f>
        <v>0</v>
      </c>
      <c r="G100" s="172">
        <f>0</f>
        <v>0</v>
      </c>
      <c r="H100" s="172">
        <f>+D100</f>
        <v>10000</v>
      </c>
      <c r="I100" s="172">
        <f>0</f>
        <v>0</v>
      </c>
      <c r="J100" s="168" t="s">
        <v>330</v>
      </c>
      <c r="K100" s="161" t="s">
        <v>598</v>
      </c>
      <c r="L100" s="173">
        <v>1</v>
      </c>
      <c r="M100" s="173">
        <v>0</v>
      </c>
      <c r="N100" s="176" t="s">
        <v>403</v>
      </c>
      <c r="O100" s="168" t="s">
        <v>365</v>
      </c>
      <c r="P100" s="168" t="s">
        <v>414</v>
      </c>
      <c r="Q100" s="168" t="s">
        <v>335</v>
      </c>
      <c r="R100" s="174"/>
    </row>
    <row r="101" spans="1:18" ht="22.5">
      <c r="A101" s="1"/>
      <c r="B101" s="175" t="s">
        <v>41</v>
      </c>
      <c r="C101" s="238" t="s">
        <v>42</v>
      </c>
      <c r="D101" s="117">
        <f>10000</f>
        <v>10000</v>
      </c>
      <c r="E101" s="117">
        <f>0</f>
        <v>0</v>
      </c>
      <c r="F101" s="117">
        <f>+D101</f>
        <v>10000</v>
      </c>
      <c r="G101" s="172">
        <f>0</f>
        <v>0</v>
      </c>
      <c r="H101" s="172">
        <f>0</f>
        <v>0</v>
      </c>
      <c r="I101" s="172">
        <f>0</f>
        <v>0</v>
      </c>
      <c r="J101" s="168" t="s">
        <v>338</v>
      </c>
      <c r="K101" s="161" t="s">
        <v>331</v>
      </c>
      <c r="L101" s="173">
        <v>1</v>
      </c>
      <c r="M101" s="173">
        <v>0</v>
      </c>
      <c r="N101" s="176" t="s">
        <v>332</v>
      </c>
      <c r="O101" s="168" t="s">
        <v>383</v>
      </c>
      <c r="P101" s="168" t="s">
        <v>363</v>
      </c>
      <c r="Q101" s="168" t="s">
        <v>335</v>
      </c>
      <c r="R101" s="174"/>
    </row>
    <row r="102" spans="1:18" ht="22.5">
      <c r="A102" s="1"/>
      <c r="B102" s="175" t="s">
        <v>70</v>
      </c>
      <c r="C102" s="238" t="s">
        <v>71</v>
      </c>
      <c r="D102" s="117">
        <f>100000</f>
        <v>100000</v>
      </c>
      <c r="E102" s="117">
        <f>70000</f>
        <v>70000</v>
      </c>
      <c r="F102" s="117">
        <f>30000</f>
        <v>30000</v>
      </c>
      <c r="G102" s="172">
        <f>0</f>
        <v>0</v>
      </c>
      <c r="H102" s="172">
        <f>0</f>
        <v>0</v>
      </c>
      <c r="I102" s="172">
        <f>0</f>
        <v>0</v>
      </c>
      <c r="J102" s="168" t="s">
        <v>338</v>
      </c>
      <c r="K102" s="161" t="s">
        <v>331</v>
      </c>
      <c r="L102" s="173">
        <v>1</v>
      </c>
      <c r="M102" s="173">
        <v>0</v>
      </c>
      <c r="N102" s="176" t="s">
        <v>332</v>
      </c>
      <c r="O102" s="168" t="s">
        <v>340</v>
      </c>
      <c r="P102" s="168" t="s">
        <v>383</v>
      </c>
      <c r="Q102" s="168" t="s">
        <v>335</v>
      </c>
      <c r="R102" s="174"/>
    </row>
    <row r="103" spans="1:18" ht="22.5">
      <c r="A103" s="1"/>
      <c r="B103" s="175" t="s">
        <v>58</v>
      </c>
      <c r="C103" s="238" t="s">
        <v>59</v>
      </c>
      <c r="D103" s="117">
        <f>40000</f>
        <v>40000</v>
      </c>
      <c r="E103" s="117">
        <f>+D103</f>
        <v>40000</v>
      </c>
      <c r="F103" s="117">
        <f>0</f>
        <v>0</v>
      </c>
      <c r="G103" s="172">
        <f>0</f>
        <v>0</v>
      </c>
      <c r="H103" s="172">
        <f>0</f>
        <v>0</v>
      </c>
      <c r="I103" s="172">
        <f>0</f>
        <v>0</v>
      </c>
      <c r="J103" s="168" t="s">
        <v>330</v>
      </c>
      <c r="K103" s="161" t="s">
        <v>598</v>
      </c>
      <c r="L103" s="173">
        <v>1</v>
      </c>
      <c r="M103" s="173">
        <v>0</v>
      </c>
      <c r="N103" s="176" t="s">
        <v>332</v>
      </c>
      <c r="O103" s="168" t="s">
        <v>500</v>
      </c>
      <c r="P103" s="168" t="s">
        <v>334</v>
      </c>
      <c r="Q103" s="168" t="s">
        <v>335</v>
      </c>
      <c r="R103" s="174"/>
    </row>
    <row r="104" spans="1:18" ht="22.5">
      <c r="A104" s="1"/>
      <c r="B104" s="175" t="s">
        <v>60</v>
      </c>
      <c r="C104" s="238" t="s">
        <v>61</v>
      </c>
      <c r="D104" s="117">
        <f>50000</f>
        <v>50000</v>
      </c>
      <c r="E104" s="117">
        <f>0</f>
        <v>0</v>
      </c>
      <c r="F104" s="117">
        <f>+D104</f>
        <v>50000</v>
      </c>
      <c r="G104" s="172">
        <f>0</f>
        <v>0</v>
      </c>
      <c r="H104" s="172">
        <f>0</f>
        <v>0</v>
      </c>
      <c r="I104" s="172">
        <f>0</f>
        <v>0</v>
      </c>
      <c r="J104" s="168" t="s">
        <v>338</v>
      </c>
      <c r="K104" s="161" t="s">
        <v>331</v>
      </c>
      <c r="L104" s="173">
        <v>1</v>
      </c>
      <c r="M104" s="173">
        <v>0</v>
      </c>
      <c r="N104" s="176" t="s">
        <v>332</v>
      </c>
      <c r="O104" s="168" t="s">
        <v>368</v>
      </c>
      <c r="P104" s="168" t="s">
        <v>350</v>
      </c>
      <c r="Q104" s="168" t="s">
        <v>335</v>
      </c>
      <c r="R104" s="174"/>
    </row>
    <row r="105" spans="1:18" ht="22.5">
      <c r="A105" s="1"/>
      <c r="B105" s="175" t="s">
        <v>62</v>
      </c>
      <c r="C105" s="238" t="s">
        <v>63</v>
      </c>
      <c r="D105" s="117">
        <f>0.06*230000</f>
        <v>13800</v>
      </c>
      <c r="E105" s="117">
        <f>0</f>
        <v>0</v>
      </c>
      <c r="F105" s="117">
        <f>0</f>
        <v>0</v>
      </c>
      <c r="G105" s="172">
        <f>+D105</f>
        <v>13800</v>
      </c>
      <c r="H105" s="172">
        <f>0</f>
        <v>0</v>
      </c>
      <c r="I105" s="172">
        <f>0</f>
        <v>0</v>
      </c>
      <c r="J105" s="168" t="s">
        <v>330</v>
      </c>
      <c r="K105" s="161" t="s">
        <v>598</v>
      </c>
      <c r="L105" s="173">
        <v>1</v>
      </c>
      <c r="M105" s="173">
        <v>0</v>
      </c>
      <c r="N105" s="176" t="s">
        <v>332</v>
      </c>
      <c r="O105" s="168" t="s">
        <v>468</v>
      </c>
      <c r="P105" s="168" t="s">
        <v>388</v>
      </c>
      <c r="Q105" s="168" t="s">
        <v>335</v>
      </c>
      <c r="R105" s="174"/>
    </row>
    <row r="106" spans="1:18" ht="22.5">
      <c r="A106" s="1"/>
      <c r="B106" s="175" t="s">
        <v>68</v>
      </c>
      <c r="C106" s="238" t="s">
        <v>69</v>
      </c>
      <c r="D106" s="117">
        <f>200000</f>
        <v>200000</v>
      </c>
      <c r="E106" s="117">
        <f>0</f>
        <v>0</v>
      </c>
      <c r="F106" s="117">
        <f>100000</f>
        <v>100000</v>
      </c>
      <c r="G106" s="172">
        <f>100000</f>
        <v>100000</v>
      </c>
      <c r="H106" s="172">
        <f>0</f>
        <v>0</v>
      </c>
      <c r="I106" s="172">
        <f>0</f>
        <v>0</v>
      </c>
      <c r="J106" s="168" t="s">
        <v>338</v>
      </c>
      <c r="K106" s="161" t="s">
        <v>331</v>
      </c>
      <c r="L106" s="173">
        <v>1</v>
      </c>
      <c r="M106" s="173">
        <v>0</v>
      </c>
      <c r="N106" s="176" t="s">
        <v>332</v>
      </c>
      <c r="O106" s="168" t="s">
        <v>368</v>
      </c>
      <c r="P106" s="168" t="s">
        <v>375</v>
      </c>
      <c r="Q106" s="168" t="s">
        <v>335</v>
      </c>
      <c r="R106" s="174"/>
    </row>
    <row r="107" spans="1:18" ht="22.5">
      <c r="A107" s="1"/>
      <c r="B107" s="175" t="s">
        <v>48</v>
      </c>
      <c r="C107" s="238" t="s">
        <v>617</v>
      </c>
      <c r="D107" s="117">
        <f>80000+60000</f>
        <v>140000</v>
      </c>
      <c r="E107" s="117">
        <f>+D107</f>
        <v>140000</v>
      </c>
      <c r="F107" s="117">
        <f>0</f>
        <v>0</v>
      </c>
      <c r="G107" s="172">
        <f>0</f>
        <v>0</v>
      </c>
      <c r="H107" s="172">
        <f>0</f>
        <v>0</v>
      </c>
      <c r="I107" s="172">
        <f>0</f>
        <v>0</v>
      </c>
      <c r="J107" s="168" t="s">
        <v>338</v>
      </c>
      <c r="K107" s="161" t="s">
        <v>331</v>
      </c>
      <c r="L107" s="173">
        <v>1</v>
      </c>
      <c r="M107" s="173">
        <v>0</v>
      </c>
      <c r="N107" s="176" t="s">
        <v>332</v>
      </c>
      <c r="O107" s="168" t="s">
        <v>340</v>
      </c>
      <c r="P107" s="168" t="s">
        <v>334</v>
      </c>
      <c r="Q107" s="168" t="s">
        <v>335</v>
      </c>
      <c r="R107" s="174"/>
    </row>
    <row r="108" spans="1:18" ht="22.5">
      <c r="A108" s="1"/>
      <c r="B108" s="175" t="s">
        <v>49</v>
      </c>
      <c r="C108" s="238" t="s">
        <v>619</v>
      </c>
      <c r="D108" s="117">
        <f>0.06*(1647200-80000)</f>
        <v>94032</v>
      </c>
      <c r="E108" s="117">
        <f>0</f>
        <v>0</v>
      </c>
      <c r="F108" s="117">
        <f>+D108*0.3</f>
        <v>28209.6</v>
      </c>
      <c r="G108" s="172">
        <f>+D108*0.7</f>
        <v>65822.4</v>
      </c>
      <c r="H108" s="172">
        <f>0</f>
        <v>0</v>
      </c>
      <c r="I108" s="172">
        <f>0</f>
        <v>0</v>
      </c>
      <c r="J108" s="168" t="s">
        <v>338</v>
      </c>
      <c r="K108" s="161" t="s">
        <v>331</v>
      </c>
      <c r="L108" s="173">
        <v>1</v>
      </c>
      <c r="M108" s="173">
        <v>0</v>
      </c>
      <c r="N108" s="176" t="s">
        <v>403</v>
      </c>
      <c r="O108" s="168" t="s">
        <v>363</v>
      </c>
      <c r="P108" s="168" t="s">
        <v>388</v>
      </c>
      <c r="Q108" s="168" t="s">
        <v>335</v>
      </c>
      <c r="R108" s="174"/>
    </row>
    <row r="109" spans="1:18" ht="22.5">
      <c r="A109" s="1"/>
      <c r="B109" s="175" t="s">
        <v>639</v>
      </c>
      <c r="C109" s="238" t="s">
        <v>52</v>
      </c>
      <c r="D109" s="117">
        <f>250000</f>
        <v>250000</v>
      </c>
      <c r="E109" s="117">
        <f>0</f>
        <v>0</v>
      </c>
      <c r="F109" s="117">
        <f>125000</f>
        <v>125000</v>
      </c>
      <c r="G109" s="172">
        <f>125000</f>
        <v>125000</v>
      </c>
      <c r="H109" s="172">
        <f>0</f>
        <v>0</v>
      </c>
      <c r="I109" s="172">
        <f>0</f>
        <v>0</v>
      </c>
      <c r="J109" s="168" t="s">
        <v>338</v>
      </c>
      <c r="K109" s="161" t="s">
        <v>331</v>
      </c>
      <c r="L109" s="173">
        <v>1</v>
      </c>
      <c r="M109" s="173">
        <v>0</v>
      </c>
      <c r="N109" s="176" t="s">
        <v>403</v>
      </c>
      <c r="O109" s="168" t="s">
        <v>368</v>
      </c>
      <c r="P109" s="168" t="s">
        <v>375</v>
      </c>
      <c r="Q109" s="168" t="s">
        <v>335</v>
      </c>
      <c r="R109" s="174"/>
    </row>
    <row r="110" spans="1:18" ht="22.5">
      <c r="A110" s="1"/>
      <c r="B110" s="175" t="s">
        <v>51</v>
      </c>
      <c r="C110" s="238" t="s">
        <v>53</v>
      </c>
      <c r="D110" s="117">
        <f>25000</f>
        <v>25000</v>
      </c>
      <c r="E110" s="117">
        <f>+D110</f>
        <v>25000</v>
      </c>
      <c r="F110" s="117">
        <f>0</f>
        <v>0</v>
      </c>
      <c r="G110" s="172">
        <f>0</f>
        <v>0</v>
      </c>
      <c r="H110" s="172">
        <f>0</f>
        <v>0</v>
      </c>
      <c r="I110" s="172">
        <f>0</f>
        <v>0</v>
      </c>
      <c r="J110" s="168" t="s">
        <v>338</v>
      </c>
      <c r="K110" s="161" t="s">
        <v>331</v>
      </c>
      <c r="L110" s="173">
        <v>1</v>
      </c>
      <c r="M110" s="173">
        <v>0</v>
      </c>
      <c r="N110" s="176" t="s">
        <v>403</v>
      </c>
      <c r="O110" s="168" t="s">
        <v>340</v>
      </c>
      <c r="P110" s="168" t="s">
        <v>334</v>
      </c>
      <c r="Q110" s="168" t="s">
        <v>335</v>
      </c>
      <c r="R110" s="174"/>
    </row>
    <row r="111" spans="1:18" ht="22.5">
      <c r="A111" s="1"/>
      <c r="B111" s="175" t="s">
        <v>640</v>
      </c>
      <c r="C111" s="238" t="s">
        <v>618</v>
      </c>
      <c r="D111" s="117">
        <f>(312660+729540)*0.06</f>
        <v>62532</v>
      </c>
      <c r="E111" s="117">
        <f>0</f>
        <v>0</v>
      </c>
      <c r="F111" s="117">
        <f>+D111*0.3</f>
        <v>18759.6</v>
      </c>
      <c r="G111" s="172">
        <f>+D111*0.7</f>
        <v>43772.399999999994</v>
      </c>
      <c r="H111" s="172">
        <f>0</f>
        <v>0</v>
      </c>
      <c r="I111" s="172">
        <f>0</f>
        <v>0</v>
      </c>
      <c r="J111" s="168" t="s">
        <v>338</v>
      </c>
      <c r="K111" s="161" t="s">
        <v>331</v>
      </c>
      <c r="L111" s="173">
        <v>1</v>
      </c>
      <c r="M111" s="173">
        <v>0</v>
      </c>
      <c r="N111" s="176" t="s">
        <v>403</v>
      </c>
      <c r="O111" s="168" t="s">
        <v>363</v>
      </c>
      <c r="P111" s="168" t="s">
        <v>388</v>
      </c>
      <c r="Q111" s="168" t="s">
        <v>335</v>
      </c>
      <c r="R111" s="174"/>
    </row>
    <row r="112" spans="1:18" ht="22.5">
      <c r="A112" s="1"/>
      <c r="B112" s="175" t="s">
        <v>54</v>
      </c>
      <c r="C112" s="238" t="s">
        <v>72</v>
      </c>
      <c r="D112" s="117">
        <f>100000</f>
        <v>100000</v>
      </c>
      <c r="E112" s="117">
        <f>50000</f>
        <v>50000</v>
      </c>
      <c r="F112" s="117">
        <f>25000</f>
        <v>25000</v>
      </c>
      <c r="G112" s="172">
        <f>25000</f>
        <v>25000</v>
      </c>
      <c r="H112" s="172">
        <f>0</f>
        <v>0</v>
      </c>
      <c r="I112" s="172">
        <f>0</f>
        <v>0</v>
      </c>
      <c r="J112" s="168" t="s">
        <v>338</v>
      </c>
      <c r="K112" s="161" t="s">
        <v>331</v>
      </c>
      <c r="L112" s="173">
        <v>1</v>
      </c>
      <c r="M112" s="173">
        <v>0</v>
      </c>
      <c r="N112" s="176" t="s">
        <v>332</v>
      </c>
      <c r="O112" s="168" t="s">
        <v>333</v>
      </c>
      <c r="P112" s="168" t="s">
        <v>375</v>
      </c>
      <c r="Q112" s="168" t="s">
        <v>335</v>
      </c>
      <c r="R112" s="174"/>
    </row>
    <row r="113" spans="1:18" ht="12.75">
      <c r="A113" s="1"/>
      <c r="B113" s="598"/>
      <c r="C113" s="599"/>
      <c r="D113" s="599"/>
      <c r="E113" s="599"/>
      <c r="F113" s="599"/>
      <c r="G113" s="599"/>
      <c r="H113" s="599"/>
      <c r="I113" s="599"/>
      <c r="J113" s="599"/>
      <c r="K113" s="599"/>
      <c r="L113" s="599"/>
      <c r="M113" s="599"/>
      <c r="N113" s="599"/>
      <c r="O113" s="599"/>
      <c r="P113" s="599"/>
      <c r="Q113" s="599"/>
      <c r="R113" s="600"/>
    </row>
    <row r="114" spans="1:18" ht="22.5">
      <c r="A114" s="1"/>
      <c r="B114" s="175" t="s">
        <v>479</v>
      </c>
      <c r="C114" s="238" t="s">
        <v>481</v>
      </c>
      <c r="D114" s="117">
        <f>+'ADMINIST.SAL.'!$G$12</f>
        <v>210000</v>
      </c>
      <c r="E114" s="117">
        <f>+$D$114/5</f>
        <v>42000</v>
      </c>
      <c r="F114" s="117">
        <f>+$D$114/5</f>
        <v>42000</v>
      </c>
      <c r="G114" s="172">
        <f>+$D$114/5</f>
        <v>42000</v>
      </c>
      <c r="H114" s="172">
        <f>+$D$114/5</f>
        <v>42000</v>
      </c>
      <c r="I114" s="172">
        <f>+$D$114/5</f>
        <v>42000</v>
      </c>
      <c r="J114" s="168" t="s">
        <v>330</v>
      </c>
      <c r="K114" s="161" t="s">
        <v>331</v>
      </c>
      <c r="L114" s="173">
        <v>1</v>
      </c>
      <c r="M114" s="173">
        <v>0</v>
      </c>
      <c r="N114" s="176" t="s">
        <v>332</v>
      </c>
      <c r="O114" s="168" t="s">
        <v>490</v>
      </c>
      <c r="P114" s="168" t="s">
        <v>490</v>
      </c>
      <c r="Q114" s="168" t="s">
        <v>335</v>
      </c>
      <c r="R114" s="174"/>
    </row>
    <row r="115" spans="1:18" ht="22.5">
      <c r="A115" s="1"/>
      <c r="B115" s="175" t="s">
        <v>480</v>
      </c>
      <c r="C115" s="238" t="s">
        <v>482</v>
      </c>
      <c r="D115" s="117">
        <f>+'ADMINIST.SAL.'!$G$13</f>
        <v>120000</v>
      </c>
      <c r="E115" s="117">
        <f>+$D$115/5</f>
        <v>24000</v>
      </c>
      <c r="F115" s="117">
        <f>+$D$115/5</f>
        <v>24000</v>
      </c>
      <c r="G115" s="172">
        <f>+$D$115/5</f>
        <v>24000</v>
      </c>
      <c r="H115" s="172">
        <f>+$D$115/5</f>
        <v>24000</v>
      </c>
      <c r="I115" s="172">
        <f>+$D$115/5</f>
        <v>24000</v>
      </c>
      <c r="J115" s="168" t="s">
        <v>330</v>
      </c>
      <c r="K115" s="161" t="s">
        <v>331</v>
      </c>
      <c r="L115" s="173">
        <v>1</v>
      </c>
      <c r="M115" s="173">
        <v>0</v>
      </c>
      <c r="N115" s="176" t="s">
        <v>332</v>
      </c>
      <c r="O115" s="168" t="s">
        <v>490</v>
      </c>
      <c r="P115" s="168" t="s">
        <v>490</v>
      </c>
      <c r="Q115" s="168" t="s">
        <v>335</v>
      </c>
      <c r="R115" s="174"/>
    </row>
    <row r="116" spans="1:18" ht="22.5">
      <c r="A116" s="1"/>
      <c r="B116" s="175" t="s">
        <v>483</v>
      </c>
      <c r="C116" s="238" t="s">
        <v>484</v>
      </c>
      <c r="D116" s="117">
        <f>+'ADMINIST.SAL.'!$G$15</f>
        <v>120000</v>
      </c>
      <c r="E116" s="117">
        <f>+$D$116/5</f>
        <v>24000</v>
      </c>
      <c r="F116" s="117">
        <f>+$D$116/5</f>
        <v>24000</v>
      </c>
      <c r="G116" s="172">
        <f>+$D$116/5</f>
        <v>24000</v>
      </c>
      <c r="H116" s="172">
        <f>+$D$116/5</f>
        <v>24000</v>
      </c>
      <c r="I116" s="172">
        <f>+$D$116/5</f>
        <v>24000</v>
      </c>
      <c r="J116" s="168" t="s">
        <v>330</v>
      </c>
      <c r="K116" s="161" t="s">
        <v>331</v>
      </c>
      <c r="L116" s="173">
        <v>1</v>
      </c>
      <c r="M116" s="173">
        <v>0</v>
      </c>
      <c r="N116" s="176" t="s">
        <v>332</v>
      </c>
      <c r="O116" s="168" t="s">
        <v>490</v>
      </c>
      <c r="P116" s="168" t="s">
        <v>490</v>
      </c>
      <c r="Q116" s="168" t="s">
        <v>335</v>
      </c>
      <c r="R116" s="174"/>
    </row>
    <row r="117" spans="1:18" ht="22.5">
      <c r="A117" s="1"/>
      <c r="B117" s="175" t="s">
        <v>485</v>
      </c>
      <c r="C117" s="238" t="s">
        <v>486</v>
      </c>
      <c r="D117" s="117">
        <f>+'ADMINIST.SAL.'!$G$16</f>
        <v>120000</v>
      </c>
      <c r="E117" s="117">
        <f>+$D$117/5</f>
        <v>24000</v>
      </c>
      <c r="F117" s="117">
        <f>+$D$117/5</f>
        <v>24000</v>
      </c>
      <c r="G117" s="172">
        <f>+$D$117/5</f>
        <v>24000</v>
      </c>
      <c r="H117" s="172">
        <f>+$D$117/5</f>
        <v>24000</v>
      </c>
      <c r="I117" s="172">
        <f>+$D$117/5</f>
        <v>24000</v>
      </c>
      <c r="J117" s="168" t="s">
        <v>330</v>
      </c>
      <c r="K117" s="161" t="s">
        <v>331</v>
      </c>
      <c r="L117" s="173">
        <v>1</v>
      </c>
      <c r="M117" s="173">
        <v>0</v>
      </c>
      <c r="N117" s="176" t="s">
        <v>332</v>
      </c>
      <c r="O117" s="168" t="s">
        <v>490</v>
      </c>
      <c r="P117" s="168" t="s">
        <v>490</v>
      </c>
      <c r="Q117" s="168" t="s">
        <v>335</v>
      </c>
      <c r="R117" s="174"/>
    </row>
    <row r="118" spans="1:18" ht="22.5">
      <c r="A118" s="1"/>
      <c r="B118" s="175" t="s">
        <v>487</v>
      </c>
      <c r="C118" s="238" t="s">
        <v>488</v>
      </c>
      <c r="D118" s="117">
        <f>+'ADMINIST.SAL.'!$G$17</f>
        <v>120000</v>
      </c>
      <c r="E118" s="117">
        <f>+$D$118/5</f>
        <v>24000</v>
      </c>
      <c r="F118" s="117">
        <f>+$D$118/5</f>
        <v>24000</v>
      </c>
      <c r="G118" s="172">
        <f>+$D$118/5</f>
        <v>24000</v>
      </c>
      <c r="H118" s="172">
        <f>+$D$118/5</f>
        <v>24000</v>
      </c>
      <c r="I118" s="172">
        <f>+$D$118/5</f>
        <v>24000</v>
      </c>
      <c r="J118" s="168" t="s">
        <v>330</v>
      </c>
      <c r="K118" s="161" t="s">
        <v>331</v>
      </c>
      <c r="L118" s="173">
        <v>1</v>
      </c>
      <c r="M118" s="173">
        <v>0</v>
      </c>
      <c r="N118" s="176" t="s">
        <v>332</v>
      </c>
      <c r="O118" s="168" t="s">
        <v>490</v>
      </c>
      <c r="P118" s="168" t="s">
        <v>490</v>
      </c>
      <c r="Q118" s="168" t="s">
        <v>335</v>
      </c>
      <c r="R118" s="174"/>
    </row>
    <row r="119" spans="1:18" ht="22.5">
      <c r="A119" s="1"/>
      <c r="B119" s="175" t="s">
        <v>491</v>
      </c>
      <c r="C119" s="238" t="s">
        <v>489</v>
      </c>
      <c r="D119" s="117">
        <f>+'ADMINIST.SAL.'!$G$18</f>
        <v>48000</v>
      </c>
      <c r="E119" s="117">
        <f>+$D$119/5</f>
        <v>9600</v>
      </c>
      <c r="F119" s="117">
        <f>+$D$119/5</f>
        <v>9600</v>
      </c>
      <c r="G119" s="172">
        <f>+$D$119/5</f>
        <v>9600</v>
      </c>
      <c r="H119" s="172">
        <f>+$D$119/5</f>
        <v>9600</v>
      </c>
      <c r="I119" s="172">
        <f>+$D$119/5</f>
        <v>9600</v>
      </c>
      <c r="J119" s="168" t="s">
        <v>330</v>
      </c>
      <c r="K119" s="161" t="s">
        <v>331</v>
      </c>
      <c r="L119" s="173">
        <v>1</v>
      </c>
      <c r="M119" s="173">
        <v>0</v>
      </c>
      <c r="N119" s="176" t="s">
        <v>332</v>
      </c>
      <c r="O119" s="168" t="s">
        <v>490</v>
      </c>
      <c r="P119" s="168" t="s">
        <v>490</v>
      </c>
      <c r="Q119" s="168" t="s">
        <v>335</v>
      </c>
      <c r="R119" s="174"/>
    </row>
    <row r="120" spans="1:18" ht="22.5">
      <c r="A120" s="1"/>
      <c r="B120" s="175" t="s">
        <v>492</v>
      </c>
      <c r="C120" s="238" t="s">
        <v>493</v>
      </c>
      <c r="D120" s="117">
        <f>+'ADMINIST.SAL.'!$G$20</f>
        <v>150000</v>
      </c>
      <c r="E120" s="117">
        <f>+$D$120/5</f>
        <v>30000</v>
      </c>
      <c r="F120" s="117">
        <f>+$D$120/5</f>
        <v>30000</v>
      </c>
      <c r="G120" s="172">
        <f>+$D$120/5</f>
        <v>30000</v>
      </c>
      <c r="H120" s="172">
        <f>+$D$120/5</f>
        <v>30000</v>
      </c>
      <c r="I120" s="172">
        <f>+$D$120/5</f>
        <v>30000</v>
      </c>
      <c r="J120" s="168" t="s">
        <v>330</v>
      </c>
      <c r="K120" s="161" t="s">
        <v>331</v>
      </c>
      <c r="L120" s="173">
        <v>1</v>
      </c>
      <c r="M120" s="173">
        <v>0</v>
      </c>
      <c r="N120" s="176" t="s">
        <v>332</v>
      </c>
      <c r="O120" s="168" t="s">
        <v>490</v>
      </c>
      <c r="P120" s="168" t="s">
        <v>490</v>
      </c>
      <c r="Q120" s="168" t="s">
        <v>335</v>
      </c>
      <c r="R120" s="174"/>
    </row>
    <row r="121" spans="1:18" ht="22.5">
      <c r="A121" s="1"/>
      <c r="B121" s="175" t="s">
        <v>497</v>
      </c>
      <c r="C121" s="238" t="s">
        <v>494</v>
      </c>
      <c r="D121" s="117">
        <f>+'ADMINIST.SAL.'!$G$21</f>
        <v>120000</v>
      </c>
      <c r="E121" s="117">
        <f>+$D$121/5</f>
        <v>24000</v>
      </c>
      <c r="F121" s="117">
        <f>+$D$121/5</f>
        <v>24000</v>
      </c>
      <c r="G121" s="172">
        <f>+$D$121/5</f>
        <v>24000</v>
      </c>
      <c r="H121" s="172">
        <f>+$D$121/5</f>
        <v>24000</v>
      </c>
      <c r="I121" s="172">
        <f>+$D$121/5</f>
        <v>24000</v>
      </c>
      <c r="J121" s="168" t="s">
        <v>330</v>
      </c>
      <c r="K121" s="161" t="s">
        <v>331</v>
      </c>
      <c r="L121" s="173">
        <v>1</v>
      </c>
      <c r="M121" s="173">
        <v>0</v>
      </c>
      <c r="N121" s="176" t="s">
        <v>332</v>
      </c>
      <c r="O121" s="168" t="s">
        <v>490</v>
      </c>
      <c r="P121" s="168" t="s">
        <v>490</v>
      </c>
      <c r="Q121" s="168" t="s">
        <v>335</v>
      </c>
      <c r="R121" s="174"/>
    </row>
    <row r="122" spans="1:18" ht="12.75">
      <c r="A122" s="1"/>
      <c r="B122" s="598"/>
      <c r="C122" s="599"/>
      <c r="D122" s="599"/>
      <c r="E122" s="599"/>
      <c r="F122" s="599"/>
      <c r="G122" s="599"/>
      <c r="H122" s="599"/>
      <c r="I122" s="599"/>
      <c r="J122" s="599"/>
      <c r="K122" s="599"/>
      <c r="L122" s="599"/>
      <c r="M122" s="599"/>
      <c r="N122" s="599"/>
      <c r="O122" s="599"/>
      <c r="P122" s="599"/>
      <c r="Q122" s="599"/>
      <c r="R122" s="600"/>
    </row>
    <row r="123" spans="1:18" ht="22.5">
      <c r="A123" s="1"/>
      <c r="B123" s="175" t="s">
        <v>505</v>
      </c>
      <c r="C123" s="238" t="s">
        <v>506</v>
      </c>
      <c r="D123" s="117">
        <f>+'PRESUP.CONS.'!$C$69</f>
        <v>130000</v>
      </c>
      <c r="E123" s="117">
        <f>+$D$123/5</f>
        <v>26000</v>
      </c>
      <c r="F123" s="117">
        <f>+$D$123/5</f>
        <v>26000</v>
      </c>
      <c r="G123" s="172">
        <f>+$D$123/5</f>
        <v>26000</v>
      </c>
      <c r="H123" s="172">
        <f>+$D$123/5</f>
        <v>26000</v>
      </c>
      <c r="I123" s="172">
        <f>+$D$123/5</f>
        <v>26000</v>
      </c>
      <c r="J123" s="168" t="s">
        <v>338</v>
      </c>
      <c r="K123" s="161" t="s">
        <v>331</v>
      </c>
      <c r="L123" s="173">
        <v>1</v>
      </c>
      <c r="M123" s="173">
        <v>0</v>
      </c>
      <c r="N123" s="176" t="s">
        <v>332</v>
      </c>
      <c r="O123" s="168" t="s">
        <v>334</v>
      </c>
      <c r="P123" s="168" t="s">
        <v>430</v>
      </c>
      <c r="Q123" s="168" t="s">
        <v>335</v>
      </c>
      <c r="R123" s="174"/>
    </row>
    <row r="124" spans="1:18" ht="12.75">
      <c r="A124" s="1"/>
      <c r="B124" s="598"/>
      <c r="C124" s="599"/>
      <c r="D124" s="599"/>
      <c r="E124" s="599"/>
      <c r="F124" s="599"/>
      <c r="G124" s="599"/>
      <c r="H124" s="599"/>
      <c r="I124" s="599"/>
      <c r="J124" s="599"/>
      <c r="K124" s="599"/>
      <c r="L124" s="599"/>
      <c r="M124" s="599"/>
      <c r="N124" s="599"/>
      <c r="O124" s="599"/>
      <c r="P124" s="599"/>
      <c r="Q124" s="599"/>
      <c r="R124" s="600"/>
    </row>
    <row r="125" spans="1:18" ht="22.5">
      <c r="A125" s="1"/>
      <c r="B125" s="175" t="s">
        <v>507</v>
      </c>
      <c r="C125" s="238" t="s">
        <v>654</v>
      </c>
      <c r="D125" s="117">
        <f>+'PRESUP.CONS.'!C73</f>
        <v>20000</v>
      </c>
      <c r="E125" s="117">
        <f>0</f>
        <v>0</v>
      </c>
      <c r="F125" s="117">
        <f>+D125</f>
        <v>20000</v>
      </c>
      <c r="G125" s="172">
        <f>0</f>
        <v>0</v>
      </c>
      <c r="H125" s="172">
        <f>0</f>
        <v>0</v>
      </c>
      <c r="I125" s="172">
        <f>0</f>
        <v>0</v>
      </c>
      <c r="J125" s="168" t="s">
        <v>330</v>
      </c>
      <c r="K125" s="161" t="s">
        <v>331</v>
      </c>
      <c r="L125" s="173">
        <v>1</v>
      </c>
      <c r="M125" s="173">
        <v>0</v>
      </c>
      <c r="N125" s="176" t="s">
        <v>332</v>
      </c>
      <c r="O125" s="168" t="s">
        <v>363</v>
      </c>
      <c r="P125" s="168" t="s">
        <v>368</v>
      </c>
      <c r="Q125" s="168" t="s">
        <v>335</v>
      </c>
      <c r="R125" s="174"/>
    </row>
    <row r="126" spans="1:18" ht="22.5">
      <c r="A126" s="1"/>
      <c r="B126" s="175" t="s">
        <v>508</v>
      </c>
      <c r="C126" s="238" t="s">
        <v>653</v>
      </c>
      <c r="D126" s="117">
        <f>+'PRESUP.CONS.'!C74</f>
        <v>30000</v>
      </c>
      <c r="E126" s="117">
        <f>0</f>
        <v>0</v>
      </c>
      <c r="F126" s="117">
        <f>0</f>
        <v>0</v>
      </c>
      <c r="G126" s="172">
        <f>+D126</f>
        <v>30000</v>
      </c>
      <c r="H126" s="172">
        <f>0</f>
        <v>0</v>
      </c>
      <c r="I126" s="172">
        <f>0</f>
        <v>0</v>
      </c>
      <c r="J126" s="168" t="s">
        <v>330</v>
      </c>
      <c r="K126" s="161" t="s">
        <v>331</v>
      </c>
      <c r="L126" s="173">
        <v>1</v>
      </c>
      <c r="M126" s="173">
        <v>0</v>
      </c>
      <c r="N126" s="176" t="s">
        <v>332</v>
      </c>
      <c r="O126" s="168" t="s">
        <v>366</v>
      </c>
      <c r="P126" s="168" t="s">
        <v>388</v>
      </c>
      <c r="Q126" s="168" t="s">
        <v>335</v>
      </c>
      <c r="R126" s="174"/>
    </row>
    <row r="127" spans="1:18" ht="22.5">
      <c r="A127" s="1"/>
      <c r="B127" s="175" t="s">
        <v>509</v>
      </c>
      <c r="C127" s="238" t="s">
        <v>655</v>
      </c>
      <c r="D127" s="117">
        <f>+'PRESUP.CONS.'!C75</f>
        <v>40000</v>
      </c>
      <c r="E127" s="117">
        <f>0</f>
        <v>0</v>
      </c>
      <c r="F127" s="117">
        <f>0</f>
        <v>0</v>
      </c>
      <c r="G127" s="172">
        <f>0</f>
        <v>0</v>
      </c>
      <c r="H127" s="172">
        <f>0</f>
        <v>0</v>
      </c>
      <c r="I127" s="172">
        <f>+D127</f>
        <v>40000</v>
      </c>
      <c r="J127" s="168" t="s">
        <v>330</v>
      </c>
      <c r="K127" s="161" t="s">
        <v>331</v>
      </c>
      <c r="L127" s="173">
        <v>1</v>
      </c>
      <c r="M127" s="173">
        <v>0</v>
      </c>
      <c r="N127" s="176" t="s">
        <v>332</v>
      </c>
      <c r="O127" s="168" t="s">
        <v>401</v>
      </c>
      <c r="P127" s="168" t="s">
        <v>510</v>
      </c>
      <c r="Q127" s="168" t="s">
        <v>335</v>
      </c>
      <c r="R127" s="174"/>
    </row>
    <row r="128" spans="1:18" ht="22.5">
      <c r="A128" s="1"/>
      <c r="B128" s="175" t="s">
        <v>656</v>
      </c>
      <c r="C128" s="238" t="s">
        <v>323</v>
      </c>
      <c r="D128" s="117">
        <f>+'PRESUP.CONS.'!C77</f>
        <v>150000</v>
      </c>
      <c r="E128" s="117">
        <f>+D128</f>
        <v>150000</v>
      </c>
      <c r="F128" s="117">
        <f>0</f>
        <v>0</v>
      </c>
      <c r="G128" s="172">
        <f>0</f>
        <v>0</v>
      </c>
      <c r="H128" s="172">
        <f>0</f>
        <v>0</v>
      </c>
      <c r="I128" s="172">
        <f>0</f>
        <v>0</v>
      </c>
      <c r="J128" s="168" t="s">
        <v>338</v>
      </c>
      <c r="K128" s="161" t="s">
        <v>331</v>
      </c>
      <c r="L128" s="173">
        <v>1</v>
      </c>
      <c r="M128" s="173">
        <v>0</v>
      </c>
      <c r="N128" s="176" t="s">
        <v>332</v>
      </c>
      <c r="O128" s="168" t="s">
        <v>490</v>
      </c>
      <c r="P128" s="168" t="s">
        <v>657</v>
      </c>
      <c r="Q128" s="168" t="s">
        <v>335</v>
      </c>
      <c r="R128" s="174"/>
    </row>
    <row r="129" spans="1:18" ht="13.5" thickBot="1">
      <c r="A129" s="1"/>
      <c r="B129" s="175" t="s">
        <v>658</v>
      </c>
      <c r="C129" s="238" t="s">
        <v>324</v>
      </c>
      <c r="D129" s="117">
        <f>+'PRESUP.CONS.'!C78</f>
        <v>200000</v>
      </c>
      <c r="E129" s="117">
        <f>0</f>
        <v>0</v>
      </c>
      <c r="F129" s="117">
        <f>0</f>
        <v>0</v>
      </c>
      <c r="G129" s="172">
        <f>0</f>
        <v>0</v>
      </c>
      <c r="H129" s="172">
        <f>0</f>
        <v>0</v>
      </c>
      <c r="I129" s="172">
        <f>+D129</f>
        <v>200000</v>
      </c>
      <c r="J129" s="168" t="s">
        <v>338</v>
      </c>
      <c r="K129" s="161" t="s">
        <v>331</v>
      </c>
      <c r="L129" s="173">
        <v>1</v>
      </c>
      <c r="M129" s="173">
        <v>0</v>
      </c>
      <c r="N129" s="176" t="s">
        <v>332</v>
      </c>
      <c r="O129" s="168" t="s">
        <v>344</v>
      </c>
      <c r="P129" s="168" t="s">
        <v>510</v>
      </c>
      <c r="Q129" s="168" t="s">
        <v>335</v>
      </c>
      <c r="R129" s="174"/>
    </row>
    <row r="130" spans="1:18" ht="13.5" thickBot="1">
      <c r="A130" s="1"/>
      <c r="B130" s="609" t="s">
        <v>267</v>
      </c>
      <c r="C130" s="610"/>
      <c r="D130" s="115">
        <f aca="true" t="shared" si="4" ref="D130:I130">+D12+D26+D44+D46</f>
        <v>24110800</v>
      </c>
      <c r="E130" s="115">
        <f t="shared" si="4"/>
        <v>2190400</v>
      </c>
      <c r="F130" s="115">
        <f t="shared" si="4"/>
        <v>5348100</v>
      </c>
      <c r="G130" s="203">
        <f t="shared" si="4"/>
        <v>8535100</v>
      </c>
      <c r="H130" s="203">
        <f t="shared" si="4"/>
        <v>5774600</v>
      </c>
      <c r="I130" s="203">
        <f t="shared" si="4"/>
        <v>2262600</v>
      </c>
      <c r="J130" s="204"/>
      <c r="K130" s="205"/>
      <c r="L130" s="205"/>
      <c r="M130" s="205"/>
      <c r="N130" s="205"/>
      <c r="O130" s="205"/>
      <c r="P130" s="205"/>
      <c r="Q130" s="205"/>
      <c r="R130" s="206"/>
    </row>
    <row r="131" spans="1:18" ht="13.5" thickBot="1">
      <c r="A131" s="1"/>
      <c r="B131" s="1"/>
      <c r="C131" s="1"/>
      <c r="D131" s="59">
        <f>SUM(D130)-SUM(E130:I130)</f>
        <v>0</v>
      </c>
      <c r="E131" s="1"/>
      <c r="F131" s="1"/>
      <c r="G131" s="1"/>
      <c r="H131" s="59"/>
      <c r="I131" s="1"/>
      <c r="J131" s="32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77"/>
      <c r="C132" s="178"/>
      <c r="D132" s="178"/>
      <c r="E132" s="178"/>
      <c r="F132" s="178"/>
      <c r="G132" s="237"/>
      <c r="H132" s="237"/>
      <c r="I132" s="237"/>
      <c r="J132" s="237"/>
      <c r="K132" s="178"/>
      <c r="L132" s="178"/>
      <c r="M132" s="178"/>
      <c r="N132" s="178"/>
      <c r="O132" s="178"/>
      <c r="P132" s="178"/>
      <c r="Q132" s="178"/>
      <c r="R132" s="179"/>
    </row>
    <row r="133" spans="1:18" ht="12.75">
      <c r="A133" s="1"/>
      <c r="B133" s="601" t="s">
        <v>268</v>
      </c>
      <c r="C133" s="602"/>
      <c r="D133" s="602"/>
      <c r="E133" s="602"/>
      <c r="F133" s="602"/>
      <c r="G133" s="602"/>
      <c r="H133" s="602"/>
      <c r="I133" s="602"/>
      <c r="J133" s="602"/>
      <c r="K133" s="602"/>
      <c r="L133" s="602"/>
      <c r="M133" s="602"/>
      <c r="N133" s="602"/>
      <c r="O133" s="602"/>
      <c r="P133" s="602"/>
      <c r="Q133" s="602"/>
      <c r="R133" s="603"/>
    </row>
    <row r="134" spans="1:18" ht="12.75">
      <c r="A134" s="1"/>
      <c r="B134" s="601" t="s">
        <v>269</v>
      </c>
      <c r="C134" s="602"/>
      <c r="D134" s="602"/>
      <c r="E134" s="602"/>
      <c r="F134" s="602"/>
      <c r="G134" s="602"/>
      <c r="H134" s="602"/>
      <c r="I134" s="602"/>
      <c r="J134" s="602"/>
      <c r="K134" s="602"/>
      <c r="L134" s="602"/>
      <c r="M134" s="602"/>
      <c r="N134" s="602"/>
      <c r="O134" s="602"/>
      <c r="P134" s="602"/>
      <c r="Q134" s="602"/>
      <c r="R134" s="603"/>
    </row>
    <row r="135" spans="1:18" ht="12.75">
      <c r="A135" s="1"/>
      <c r="B135" s="601" t="s">
        <v>270</v>
      </c>
      <c r="C135" s="602"/>
      <c r="D135" s="602"/>
      <c r="E135" s="602"/>
      <c r="F135" s="602"/>
      <c r="G135" s="602"/>
      <c r="H135" s="602"/>
      <c r="I135" s="602"/>
      <c r="J135" s="602"/>
      <c r="K135" s="602"/>
      <c r="L135" s="602"/>
      <c r="M135" s="602"/>
      <c r="N135" s="602"/>
      <c r="O135" s="602"/>
      <c r="P135" s="602"/>
      <c r="Q135" s="602"/>
      <c r="R135" s="603"/>
    </row>
    <row r="136" spans="1:18" ht="13.5" thickBot="1">
      <c r="A136" s="1"/>
      <c r="B136" s="180"/>
      <c r="C136" s="181"/>
      <c r="D136" s="181"/>
      <c r="E136" s="181"/>
      <c r="F136" s="181"/>
      <c r="G136" s="181"/>
      <c r="H136" s="181"/>
      <c r="I136" s="181"/>
      <c r="J136" s="182"/>
      <c r="K136" s="181"/>
      <c r="L136" s="181"/>
      <c r="M136" s="181"/>
      <c r="N136" s="181"/>
      <c r="O136" s="181"/>
      <c r="P136" s="181"/>
      <c r="Q136" s="181"/>
      <c r="R136" s="183"/>
    </row>
    <row r="137" spans="2:18" ht="13.5" thickBo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2.75">
      <c r="B138" s="247"/>
      <c r="C138" s="248"/>
      <c r="D138" s="248"/>
      <c r="E138" s="248"/>
      <c r="F138" s="249"/>
      <c r="G138" s="248"/>
      <c r="H138" s="249"/>
      <c r="I138" s="250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2.75">
      <c r="B139" s="251" t="s">
        <v>478</v>
      </c>
      <c r="C139" s="245"/>
      <c r="D139" s="245"/>
      <c r="E139" s="245"/>
      <c r="F139" s="245"/>
      <c r="G139" s="245"/>
      <c r="H139" s="245"/>
      <c r="I139" s="252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2.75">
      <c r="B140" s="253">
        <v>2.5</v>
      </c>
      <c r="C140" s="245" t="s">
        <v>432</v>
      </c>
      <c r="D140" s="246">
        <f>SUM(E140:I140)</f>
        <v>800000</v>
      </c>
      <c r="E140" s="246">
        <f>+'PRESUP.ANUAL'!C30</f>
        <v>0</v>
      </c>
      <c r="F140" s="246">
        <f>+'PRESUP.ANUAL'!D30</f>
        <v>115000</v>
      </c>
      <c r="G140" s="246">
        <f>+'PRESUP.ANUAL'!E30</f>
        <v>343000</v>
      </c>
      <c r="H140" s="246">
        <f>+'PRESUP.ANUAL'!F30</f>
        <v>342000</v>
      </c>
      <c r="I140" s="254">
        <f>+'PRESUP.ANUAL'!G30</f>
        <v>0</v>
      </c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2.75">
      <c r="B141" s="253" t="s">
        <v>511</v>
      </c>
      <c r="C141" s="245" t="s">
        <v>512</v>
      </c>
      <c r="D141" s="246">
        <f>SUM(E141:I141)</f>
        <v>89200</v>
      </c>
      <c r="E141" s="246">
        <f>+'PRESUP.ANUAL'!C68</f>
        <v>17840</v>
      </c>
      <c r="F141" s="246">
        <f>+'PRESUP.ANUAL'!D68</f>
        <v>17840</v>
      </c>
      <c r="G141" s="246">
        <f>+'PRESUP.ANUAL'!E68</f>
        <v>17840</v>
      </c>
      <c r="H141" s="246">
        <f>+'PRESUP.ANUAL'!F68</f>
        <v>17840</v>
      </c>
      <c r="I141" s="254">
        <f>+'PRESUP.ANUAL'!G68</f>
        <v>17840</v>
      </c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3.5" thickBot="1">
      <c r="B142" s="180"/>
      <c r="C142" s="181"/>
      <c r="D142" s="255"/>
      <c r="E142" s="255"/>
      <c r="F142" s="255"/>
      <c r="G142" s="255"/>
      <c r="H142" s="255"/>
      <c r="I142" s="256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2.75">
      <c r="B143" s="245"/>
      <c r="C143" s="245"/>
      <c r="D143" s="246"/>
      <c r="E143" s="246"/>
      <c r="F143" s="246"/>
      <c r="G143" s="246"/>
      <c r="H143" s="246"/>
      <c r="I143" s="246"/>
      <c r="J143" s="1"/>
      <c r="K143" s="1"/>
      <c r="L143" s="1"/>
      <c r="M143" s="1"/>
      <c r="N143" s="1"/>
      <c r="O143" s="1"/>
      <c r="P143" s="1"/>
      <c r="Q143" s="1"/>
      <c r="R143" s="1"/>
    </row>
    <row r="144" ht="13.5" thickBot="1"/>
    <row r="145" spans="2:9" ht="13.5" thickBot="1">
      <c r="B145" s="494"/>
      <c r="C145" s="497" t="s">
        <v>74</v>
      </c>
      <c r="D145" s="498">
        <f>SUM(E145:I145)</f>
        <v>25000000</v>
      </c>
      <c r="E145" s="495">
        <f>+E130+SUM(E140:E141)</f>
        <v>2208240</v>
      </c>
      <c r="F145" s="495">
        <f>+F130+SUM(F140:F141)</f>
        <v>5480940</v>
      </c>
      <c r="G145" s="495">
        <f>+G130+SUM(G140:G141)</f>
        <v>8895940</v>
      </c>
      <c r="H145" s="495">
        <f>+H130+SUM(H140:H141)</f>
        <v>6134440</v>
      </c>
      <c r="I145" s="496">
        <f>+I130+SUM(I140:I141)</f>
        <v>2280440</v>
      </c>
    </row>
    <row r="146" ht="12.75">
      <c r="E146" s="207"/>
    </row>
    <row r="147" spans="4:9" ht="12.75">
      <c r="D147" s="1"/>
      <c r="E147" s="59"/>
      <c r="F147" s="1"/>
      <c r="G147" s="1"/>
      <c r="H147" s="1"/>
      <c r="I147" s="1"/>
    </row>
    <row r="148" spans="4:6" ht="12.75">
      <c r="D148" s="59"/>
      <c r="E148" s="59"/>
      <c r="F148" s="59"/>
    </row>
  </sheetData>
  <sheetProtection/>
  <mergeCells count="32">
    <mergeCell ref="O10:P10"/>
    <mergeCell ref="Q10:Q11"/>
    <mergeCell ref="B10:B11"/>
    <mergeCell ref="C10:C11"/>
    <mergeCell ref="E10:I10"/>
    <mergeCell ref="J10:J11"/>
    <mergeCell ref="L10:M10"/>
    <mergeCell ref="N10:N11"/>
    <mergeCell ref="B2:R2"/>
    <mergeCell ref="B4:R4"/>
    <mergeCell ref="B5:R5"/>
    <mergeCell ref="B7:R7"/>
    <mergeCell ref="B8:R8"/>
    <mergeCell ref="B9:R9"/>
    <mergeCell ref="B135:R135"/>
    <mergeCell ref="B3:R3"/>
    <mergeCell ref="B46:C46"/>
    <mergeCell ref="B130:C130"/>
    <mergeCell ref="B133:R133"/>
    <mergeCell ref="B134:R134"/>
    <mergeCell ref="R10:R11"/>
    <mergeCell ref="B12:C12"/>
    <mergeCell ref="B26:C26"/>
    <mergeCell ref="B44:C44"/>
    <mergeCell ref="B113:R113"/>
    <mergeCell ref="B122:R122"/>
    <mergeCell ref="B22:R22"/>
    <mergeCell ref="B124:R124"/>
    <mergeCell ref="B80:R80"/>
    <mergeCell ref="B38:R38"/>
    <mergeCell ref="B71:R71"/>
    <mergeCell ref="B94:R9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99"/>
  <sheetViews>
    <sheetView showGridLines="0" zoomScalePageLayoutView="0" workbookViewId="0" topLeftCell="A1">
      <selection activeCell="AB15" sqref="AB15"/>
    </sheetView>
  </sheetViews>
  <sheetFormatPr defaultColWidth="9.140625" defaultRowHeight="12.75"/>
  <cols>
    <col min="2" max="2" width="18.421875" style="0" customWidth="1"/>
    <col min="3" max="3" width="23.28125" style="0" customWidth="1"/>
    <col min="4" max="27" width="4.28125" style="0" customWidth="1"/>
    <col min="28" max="28" width="18.140625" style="0" customWidth="1"/>
    <col min="29" max="29" width="22.28125" style="0" customWidth="1"/>
    <col min="30" max="30" width="15.421875" style="0" customWidth="1"/>
    <col min="31" max="31" width="9.8515625" style="0" bestFit="1" customWidth="1"/>
    <col min="32" max="32" width="9.421875" style="0" bestFit="1" customWidth="1"/>
  </cols>
  <sheetData>
    <row r="1" spans="2:3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>
      <c r="A2" s="1"/>
      <c r="B2" s="585" t="s">
        <v>173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5"/>
      <c r="AC2" s="585"/>
      <c r="AD2" s="585"/>
      <c r="AE2" s="585"/>
      <c r="AF2" s="585"/>
      <c r="AG2" s="585"/>
    </row>
    <row r="3" spans="1:33" ht="12.75">
      <c r="A3" s="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ht="12.75">
      <c r="A4" s="1"/>
      <c r="B4" s="585" t="s">
        <v>471</v>
      </c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5"/>
      <c r="AB4" s="585"/>
      <c r="AC4" s="585"/>
      <c r="AD4" s="585"/>
      <c r="AE4" s="585"/>
      <c r="AF4" s="585"/>
      <c r="AG4" s="585"/>
    </row>
    <row r="5" spans="1:33" ht="12.75">
      <c r="A5" s="1"/>
      <c r="B5" s="585" t="s">
        <v>137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</row>
    <row r="6" spans="1:33" ht="12.75">
      <c r="A6" s="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12.75">
      <c r="A7" s="1"/>
      <c r="B7" s="585" t="s">
        <v>527</v>
      </c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</row>
    <row r="8" spans="1:33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4.25" thickBot="1" thickTop="1">
      <c r="A9" s="1"/>
      <c r="B9" s="587" t="s">
        <v>528</v>
      </c>
      <c r="C9" s="664" t="s">
        <v>529</v>
      </c>
      <c r="D9" s="667">
        <v>2014</v>
      </c>
      <c r="E9" s="668"/>
      <c r="F9" s="668"/>
      <c r="G9" s="668"/>
      <c r="H9" s="668"/>
      <c r="I9" s="668"/>
      <c r="J9" s="668"/>
      <c r="K9" s="668"/>
      <c r="L9" s="668"/>
      <c r="M9" s="668"/>
      <c r="N9" s="668"/>
      <c r="O9" s="669"/>
      <c r="P9" s="667">
        <v>2015</v>
      </c>
      <c r="Q9" s="668"/>
      <c r="R9" s="668"/>
      <c r="S9" s="668"/>
      <c r="T9" s="668"/>
      <c r="U9" s="668"/>
      <c r="V9" s="668"/>
      <c r="W9" s="668"/>
      <c r="X9" s="668"/>
      <c r="Y9" s="668"/>
      <c r="Z9" s="668"/>
      <c r="AA9" s="669"/>
      <c r="AB9" s="680" t="s">
        <v>530</v>
      </c>
      <c r="AC9" s="680"/>
      <c r="AD9" s="681"/>
      <c r="AE9" s="667" t="s">
        <v>531</v>
      </c>
      <c r="AF9" s="668"/>
      <c r="AG9" s="676"/>
    </row>
    <row r="10" spans="1:33" ht="13.5" thickBot="1">
      <c r="A10" s="1"/>
      <c r="B10" s="663"/>
      <c r="C10" s="665"/>
      <c r="D10" s="670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2"/>
      <c r="P10" s="670"/>
      <c r="Q10" s="671"/>
      <c r="R10" s="671"/>
      <c r="S10" s="671"/>
      <c r="T10" s="671"/>
      <c r="U10" s="671"/>
      <c r="V10" s="671"/>
      <c r="W10" s="671"/>
      <c r="X10" s="671"/>
      <c r="Y10" s="671"/>
      <c r="Z10" s="671"/>
      <c r="AA10" s="672"/>
      <c r="AB10" s="296"/>
      <c r="AC10" s="297" t="s">
        <v>532</v>
      </c>
      <c r="AD10" s="298"/>
      <c r="AE10" s="673"/>
      <c r="AF10" s="674"/>
      <c r="AG10" s="677"/>
    </row>
    <row r="11" spans="1:33" ht="13.5" thickBot="1">
      <c r="A11" s="1"/>
      <c r="B11" s="663"/>
      <c r="C11" s="665"/>
      <c r="D11" s="670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2"/>
      <c r="P11" s="673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5"/>
      <c r="AB11" s="299" t="s">
        <v>533</v>
      </c>
      <c r="AC11" s="299" t="s">
        <v>534</v>
      </c>
      <c r="AD11" s="300" t="s">
        <v>533</v>
      </c>
      <c r="AE11" s="678">
        <v>2014</v>
      </c>
      <c r="AF11" s="623">
        <v>2015</v>
      </c>
      <c r="AG11" s="682" t="s">
        <v>535</v>
      </c>
    </row>
    <row r="12" spans="1:33" ht="13.5" thickBot="1">
      <c r="A12" s="1"/>
      <c r="B12" s="588"/>
      <c r="C12" s="666"/>
      <c r="D12" s="301" t="s">
        <v>536</v>
      </c>
      <c r="E12" s="302" t="s">
        <v>537</v>
      </c>
      <c r="F12" s="302" t="s">
        <v>538</v>
      </c>
      <c r="G12" s="302" t="s">
        <v>539</v>
      </c>
      <c r="H12" s="302" t="s">
        <v>540</v>
      </c>
      <c r="I12" s="302" t="s">
        <v>541</v>
      </c>
      <c r="J12" s="302" t="s">
        <v>542</v>
      </c>
      <c r="K12" s="302" t="s">
        <v>543</v>
      </c>
      <c r="L12" s="302" t="s">
        <v>544</v>
      </c>
      <c r="M12" s="302" t="s">
        <v>545</v>
      </c>
      <c r="N12" s="302" t="s">
        <v>546</v>
      </c>
      <c r="O12" s="303" t="s">
        <v>547</v>
      </c>
      <c r="P12" s="304" t="s">
        <v>536</v>
      </c>
      <c r="Q12" s="303" t="s">
        <v>537</v>
      </c>
      <c r="R12" s="303" t="s">
        <v>538</v>
      </c>
      <c r="S12" s="303" t="s">
        <v>539</v>
      </c>
      <c r="T12" s="303" t="s">
        <v>540</v>
      </c>
      <c r="U12" s="303" t="s">
        <v>541</v>
      </c>
      <c r="V12" s="303" t="s">
        <v>542</v>
      </c>
      <c r="W12" s="303" t="s">
        <v>543</v>
      </c>
      <c r="X12" s="303" t="s">
        <v>544</v>
      </c>
      <c r="Y12" s="303" t="s">
        <v>545</v>
      </c>
      <c r="Z12" s="303" t="s">
        <v>546</v>
      </c>
      <c r="AA12" s="303" t="s">
        <v>547</v>
      </c>
      <c r="AB12" s="69" t="s">
        <v>548</v>
      </c>
      <c r="AC12" s="69" t="s">
        <v>549</v>
      </c>
      <c r="AD12" s="305" t="s">
        <v>550</v>
      </c>
      <c r="AE12" s="679"/>
      <c r="AF12" s="684"/>
      <c r="AG12" s="683"/>
    </row>
    <row r="13" spans="1:33" ht="14.25" thickBot="1" thickTop="1">
      <c r="A13" s="1"/>
      <c r="B13" s="647" t="s">
        <v>77</v>
      </c>
      <c r="C13" s="648"/>
      <c r="D13" s="648"/>
      <c r="E13" s="648"/>
      <c r="F13" s="648"/>
      <c r="G13" s="648"/>
      <c r="H13" s="648"/>
      <c r="I13" s="648"/>
      <c r="J13" s="648"/>
      <c r="K13" s="648"/>
      <c r="L13" s="648"/>
      <c r="M13" s="648"/>
      <c r="N13" s="648"/>
      <c r="O13" s="648"/>
      <c r="P13" s="648"/>
      <c r="Q13" s="648"/>
      <c r="R13" s="648"/>
      <c r="S13" s="648"/>
      <c r="T13" s="648"/>
      <c r="U13" s="648"/>
      <c r="V13" s="648"/>
      <c r="W13" s="648"/>
      <c r="X13" s="648"/>
      <c r="Y13" s="648"/>
      <c r="Z13" s="648"/>
      <c r="AA13" s="648"/>
      <c r="AB13" s="648"/>
      <c r="AC13" s="648"/>
      <c r="AD13" s="649"/>
      <c r="AE13" s="322">
        <f>SUM(AE14:AE35)</f>
        <v>895000</v>
      </c>
      <c r="AF13" s="312">
        <f>SUM(AF14:AF35)</f>
        <v>2468000</v>
      </c>
      <c r="AG13" s="313">
        <f>SUM(AG14:AG35)</f>
        <v>3363000</v>
      </c>
    </row>
    <row r="14" spans="1:33" ht="68.25" thickTop="1">
      <c r="A14" s="32"/>
      <c r="B14" s="637" t="s">
        <v>81</v>
      </c>
      <c r="C14" s="257" t="s">
        <v>734</v>
      </c>
      <c r="D14" s="309"/>
      <c r="E14" s="279"/>
      <c r="F14" s="279"/>
      <c r="G14" s="279"/>
      <c r="H14" s="279"/>
      <c r="I14" s="279"/>
      <c r="J14" s="279"/>
      <c r="K14" s="279"/>
      <c r="L14" s="279"/>
      <c r="M14" s="328"/>
      <c r="N14" s="328"/>
      <c r="O14" s="329"/>
      <c r="P14" s="330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9"/>
      <c r="AB14" s="338" t="s">
        <v>93</v>
      </c>
      <c r="AC14" s="257" t="s">
        <v>82</v>
      </c>
      <c r="AD14" s="639" t="s">
        <v>291</v>
      </c>
      <c r="AE14" s="260">
        <f>+'PLAN.ADQ.'!E27</f>
        <v>69560</v>
      </c>
      <c r="AF14" s="261">
        <f>+'PLAN.ADQ.'!F27</f>
        <v>799000</v>
      </c>
      <c r="AG14" s="262">
        <f aca="true" t="shared" si="0" ref="AG14:AG35">+AE14+AF14</f>
        <v>868560</v>
      </c>
    </row>
    <row r="15" spans="1:33" ht="67.5">
      <c r="A15" s="32"/>
      <c r="B15" s="638"/>
      <c r="C15" s="327" t="s">
        <v>84</v>
      </c>
      <c r="D15" s="263"/>
      <c r="E15" s="270"/>
      <c r="F15" s="270"/>
      <c r="G15" s="270"/>
      <c r="H15" s="270"/>
      <c r="I15" s="270"/>
      <c r="J15" s="331"/>
      <c r="K15" s="331"/>
      <c r="L15" s="331"/>
      <c r="M15" s="331"/>
      <c r="N15" s="331"/>
      <c r="O15" s="332"/>
      <c r="P15" s="269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3"/>
      <c r="AB15" s="258" t="s">
        <v>292</v>
      </c>
      <c r="AC15" s="259" t="s">
        <v>85</v>
      </c>
      <c r="AD15" s="640"/>
      <c r="AE15" s="265">
        <f>+'PLAN.ADQ.'!E47</f>
        <v>10000</v>
      </c>
      <c r="AF15" s="266">
        <f>+'PLAN.ADQ.'!F47</f>
        <v>0</v>
      </c>
      <c r="AG15" s="267">
        <f t="shared" si="0"/>
        <v>10000</v>
      </c>
    </row>
    <row r="16" spans="1:33" ht="56.25">
      <c r="A16" s="32"/>
      <c r="B16" s="638"/>
      <c r="C16" s="268" t="s">
        <v>83</v>
      </c>
      <c r="D16" s="269"/>
      <c r="E16" s="270"/>
      <c r="F16" s="270"/>
      <c r="G16" s="331"/>
      <c r="H16" s="331"/>
      <c r="I16" s="331"/>
      <c r="J16" s="331"/>
      <c r="K16" s="331"/>
      <c r="L16" s="331"/>
      <c r="M16" s="331"/>
      <c r="N16" s="331"/>
      <c r="O16" s="332"/>
      <c r="P16" s="269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3"/>
      <c r="AB16" s="264" t="s">
        <v>86</v>
      </c>
      <c r="AC16" s="259" t="s">
        <v>85</v>
      </c>
      <c r="AD16" s="640"/>
      <c r="AE16" s="265">
        <f>+'PLAN.ADQ.'!E48</f>
        <v>24000</v>
      </c>
      <c r="AF16" s="266">
        <f>+'PLAN.ADQ.'!F48</f>
        <v>0</v>
      </c>
      <c r="AG16" s="272">
        <f t="shared" si="0"/>
        <v>24000</v>
      </c>
    </row>
    <row r="17" spans="1:33" ht="56.25">
      <c r="A17" s="32"/>
      <c r="B17" s="638"/>
      <c r="C17" s="268" t="s">
        <v>87</v>
      </c>
      <c r="D17" s="269"/>
      <c r="E17" s="270"/>
      <c r="F17" s="270"/>
      <c r="G17" s="270"/>
      <c r="H17" s="270"/>
      <c r="I17" s="270"/>
      <c r="J17" s="331"/>
      <c r="K17" s="331"/>
      <c r="L17" s="331"/>
      <c r="M17" s="331"/>
      <c r="N17" s="331"/>
      <c r="O17" s="332"/>
      <c r="P17" s="269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3"/>
      <c r="AB17" s="264" t="s">
        <v>88</v>
      </c>
      <c r="AC17" s="259" t="s">
        <v>85</v>
      </c>
      <c r="AD17" s="640"/>
      <c r="AE17" s="265">
        <f>+'PLAN.ADQ.'!E49</f>
        <v>12000</v>
      </c>
      <c r="AF17" s="274">
        <f>+'PLAN.ADQ.'!F49</f>
        <v>0</v>
      </c>
      <c r="AG17" s="272">
        <f t="shared" si="0"/>
        <v>12000</v>
      </c>
    </row>
    <row r="18" spans="1:33" ht="68.25" thickBot="1">
      <c r="A18" s="32"/>
      <c r="B18" s="638"/>
      <c r="C18" s="333" t="s">
        <v>89</v>
      </c>
      <c r="D18" s="290"/>
      <c r="E18" s="282"/>
      <c r="F18" s="282"/>
      <c r="G18" s="282"/>
      <c r="H18" s="282"/>
      <c r="I18" s="282"/>
      <c r="J18" s="282"/>
      <c r="K18" s="282"/>
      <c r="L18" s="282"/>
      <c r="M18" s="352"/>
      <c r="N18" s="352"/>
      <c r="O18" s="353"/>
      <c r="P18" s="354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3"/>
      <c r="AB18" s="355" t="s">
        <v>90</v>
      </c>
      <c r="AC18" s="314" t="s">
        <v>110</v>
      </c>
      <c r="AD18" s="640"/>
      <c r="AE18" s="356">
        <f>+'PLAN.ADQ.'!E50</f>
        <v>4440</v>
      </c>
      <c r="AF18" s="357">
        <f>+'PLAN.ADQ.'!F50</f>
        <v>51000</v>
      </c>
      <c r="AG18" s="358">
        <f t="shared" si="0"/>
        <v>55440</v>
      </c>
    </row>
    <row r="19" spans="1:33" ht="67.5">
      <c r="A19" s="32"/>
      <c r="B19" s="641" t="s">
        <v>91</v>
      </c>
      <c r="C19" s="359" t="s">
        <v>92</v>
      </c>
      <c r="D19" s="360"/>
      <c r="E19" s="361"/>
      <c r="F19" s="361"/>
      <c r="G19" s="361"/>
      <c r="H19" s="361"/>
      <c r="I19" s="361"/>
      <c r="J19" s="361"/>
      <c r="K19" s="361"/>
      <c r="L19" s="361"/>
      <c r="M19" s="362"/>
      <c r="N19" s="362"/>
      <c r="O19" s="363"/>
      <c r="P19" s="364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3"/>
      <c r="AB19" s="307" t="s">
        <v>93</v>
      </c>
      <c r="AC19" s="306" t="s">
        <v>82</v>
      </c>
      <c r="AD19" s="643" t="s">
        <v>293</v>
      </c>
      <c r="AE19" s="365">
        <f>+'PLAN.ADQ.'!E28</f>
        <v>126900</v>
      </c>
      <c r="AF19" s="366">
        <f>+'PLAN.ADQ.'!F28</f>
        <v>197400</v>
      </c>
      <c r="AG19" s="367">
        <f t="shared" si="0"/>
        <v>324300</v>
      </c>
    </row>
    <row r="20" spans="1:33" ht="56.25">
      <c r="A20" s="32"/>
      <c r="B20" s="638"/>
      <c r="C20" s="333" t="s">
        <v>94</v>
      </c>
      <c r="D20" s="263"/>
      <c r="E20" s="276"/>
      <c r="F20" s="276"/>
      <c r="G20" s="276"/>
      <c r="H20" s="276"/>
      <c r="I20" s="276"/>
      <c r="J20" s="276"/>
      <c r="K20" s="276"/>
      <c r="L20" s="276"/>
      <c r="M20" s="349"/>
      <c r="N20" s="349"/>
      <c r="O20" s="350"/>
      <c r="P20" s="351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50"/>
      <c r="AB20" s="258" t="s">
        <v>95</v>
      </c>
      <c r="AC20" s="259" t="s">
        <v>85</v>
      </c>
      <c r="AD20" s="640"/>
      <c r="AE20" s="277">
        <f>+'PLAN.ADQ.'!E51</f>
        <v>25000</v>
      </c>
      <c r="AF20" s="274">
        <f>+'PLAN.ADQ.'!F51</f>
        <v>0</v>
      </c>
      <c r="AG20" s="272">
        <f t="shared" si="0"/>
        <v>25000</v>
      </c>
    </row>
    <row r="21" spans="1:33" ht="57" thickBot="1">
      <c r="A21" s="32"/>
      <c r="B21" s="642"/>
      <c r="C21" s="370" t="s">
        <v>96</v>
      </c>
      <c r="D21" s="371"/>
      <c r="E21" s="372"/>
      <c r="F21" s="372"/>
      <c r="G21" s="372"/>
      <c r="H21" s="372"/>
      <c r="I21" s="372"/>
      <c r="J21" s="372"/>
      <c r="K21" s="372"/>
      <c r="L21" s="372"/>
      <c r="M21" s="373"/>
      <c r="N21" s="373"/>
      <c r="O21" s="374"/>
      <c r="P21" s="375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6" t="s">
        <v>90</v>
      </c>
      <c r="AC21" s="345" t="s">
        <v>110</v>
      </c>
      <c r="AD21" s="644"/>
      <c r="AE21" s="377">
        <f>+'PLAN.ADQ.'!E52</f>
        <v>8100</v>
      </c>
      <c r="AF21" s="347">
        <f>+'PLAN.ADQ.'!F52</f>
        <v>12600</v>
      </c>
      <c r="AG21" s="348">
        <f t="shared" si="0"/>
        <v>20700</v>
      </c>
    </row>
    <row r="22" spans="1:33" ht="67.5">
      <c r="A22" s="32"/>
      <c r="B22" s="645" t="s">
        <v>97</v>
      </c>
      <c r="C22" s="327" t="s">
        <v>98</v>
      </c>
      <c r="D22" s="263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8"/>
      <c r="P22" s="263"/>
      <c r="Q22" s="276"/>
      <c r="R22" s="276"/>
      <c r="S22" s="349"/>
      <c r="T22" s="349"/>
      <c r="U22" s="349"/>
      <c r="V22" s="349"/>
      <c r="W22" s="349"/>
      <c r="X22" s="349"/>
      <c r="Y22" s="349"/>
      <c r="Z22" s="349"/>
      <c r="AA22" s="368"/>
      <c r="AB22" s="258" t="s">
        <v>93</v>
      </c>
      <c r="AC22" s="306" t="s">
        <v>82</v>
      </c>
      <c r="AD22" s="643" t="s">
        <v>580</v>
      </c>
      <c r="AE22" s="335">
        <f>+'PLAN.ADQ.'!E29</f>
        <v>0</v>
      </c>
      <c r="AF22" s="336">
        <f>+'PLAN.ADQ.'!F29</f>
        <v>627920</v>
      </c>
      <c r="AG22" s="337">
        <f t="shared" si="0"/>
        <v>627920</v>
      </c>
    </row>
    <row r="23" spans="1:33" ht="56.25">
      <c r="A23" s="32"/>
      <c r="B23" s="646"/>
      <c r="C23" s="268" t="s">
        <v>99</v>
      </c>
      <c r="D23" s="263"/>
      <c r="E23" s="276"/>
      <c r="F23" s="276"/>
      <c r="G23" s="349"/>
      <c r="H23" s="349"/>
      <c r="I23" s="349"/>
      <c r="J23" s="349"/>
      <c r="K23" s="349"/>
      <c r="L23" s="349"/>
      <c r="M23" s="349"/>
      <c r="N23" s="349"/>
      <c r="O23" s="350"/>
      <c r="P23" s="263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369"/>
      <c r="AB23" s="258" t="s">
        <v>100</v>
      </c>
      <c r="AC23" s="259" t="s">
        <v>85</v>
      </c>
      <c r="AD23" s="640"/>
      <c r="AE23" s="277">
        <f>+'PLAN.ADQ.'!E53</f>
        <v>200000</v>
      </c>
      <c r="AF23" s="274">
        <f>+'PLAN.ADQ.'!F53</f>
        <v>0</v>
      </c>
      <c r="AG23" s="272">
        <f t="shared" si="0"/>
        <v>200000</v>
      </c>
    </row>
    <row r="24" spans="1:33" ht="57" thickBot="1">
      <c r="A24" s="32"/>
      <c r="B24" s="646"/>
      <c r="C24" s="382" t="s">
        <v>101</v>
      </c>
      <c r="D24" s="317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316"/>
      <c r="P24" s="317"/>
      <c r="Q24" s="288"/>
      <c r="R24" s="288"/>
      <c r="S24" s="383"/>
      <c r="T24" s="383"/>
      <c r="U24" s="383"/>
      <c r="V24" s="383"/>
      <c r="W24" s="383"/>
      <c r="X24" s="383"/>
      <c r="Y24" s="383"/>
      <c r="Z24" s="383"/>
      <c r="AA24" s="384"/>
      <c r="AB24" s="385" t="s">
        <v>90</v>
      </c>
      <c r="AC24" s="314" t="s">
        <v>111</v>
      </c>
      <c r="AD24" s="640"/>
      <c r="AE24" s="386">
        <f>+'PLAN.ADQ.'!E54</f>
        <v>0</v>
      </c>
      <c r="AF24" s="357">
        <f>+'PLAN.ADQ.'!F54</f>
        <v>40080</v>
      </c>
      <c r="AG24" s="358">
        <f t="shared" si="0"/>
        <v>40080</v>
      </c>
    </row>
    <row r="25" spans="1:33" ht="225.75" thickBot="1">
      <c r="A25" s="32"/>
      <c r="B25" s="389" t="s">
        <v>360</v>
      </c>
      <c r="C25" s="390" t="s">
        <v>102</v>
      </c>
      <c r="D25" s="391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3"/>
      <c r="P25" s="391"/>
      <c r="Q25" s="392"/>
      <c r="R25" s="392"/>
      <c r="S25" s="392"/>
      <c r="T25" s="392"/>
      <c r="U25" s="392"/>
      <c r="V25" s="394"/>
      <c r="W25" s="394"/>
      <c r="X25" s="394"/>
      <c r="Y25" s="394"/>
      <c r="Z25" s="394"/>
      <c r="AA25" s="395"/>
      <c r="AB25" s="396" t="s">
        <v>103</v>
      </c>
      <c r="AC25" s="397" t="s">
        <v>85</v>
      </c>
      <c r="AD25" s="397" t="s">
        <v>361</v>
      </c>
      <c r="AE25" s="398">
        <f>+'PLAN.ADQ.'!E57</f>
        <v>0</v>
      </c>
      <c r="AF25" s="399">
        <f>+'PLAN.ADQ.'!F57</f>
        <v>65000</v>
      </c>
      <c r="AG25" s="400">
        <f t="shared" si="0"/>
        <v>65000</v>
      </c>
    </row>
    <row r="26" spans="1:33" ht="56.25">
      <c r="A26" s="32"/>
      <c r="B26" s="653" t="s">
        <v>104</v>
      </c>
      <c r="C26" s="380" t="s">
        <v>105</v>
      </c>
      <c r="D26" s="360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87"/>
      <c r="P26" s="360"/>
      <c r="Q26" s="361"/>
      <c r="R26" s="361"/>
      <c r="S26" s="361"/>
      <c r="T26" s="361"/>
      <c r="U26" s="361"/>
      <c r="V26" s="362"/>
      <c r="W26" s="362"/>
      <c r="X26" s="362"/>
      <c r="Y26" s="362"/>
      <c r="Z26" s="362"/>
      <c r="AA26" s="388"/>
      <c r="AB26" s="307" t="s">
        <v>93</v>
      </c>
      <c r="AC26" s="306" t="s">
        <v>82</v>
      </c>
      <c r="AD26" s="643" t="s">
        <v>581</v>
      </c>
      <c r="AE26" s="365">
        <f>+'PLAN.ADQ.'!E31</f>
        <v>0</v>
      </c>
      <c r="AF26" s="366">
        <f>+'PLAN.ADQ.'!F31</f>
        <v>65800</v>
      </c>
      <c r="AG26" s="367">
        <f t="shared" si="0"/>
        <v>65800</v>
      </c>
    </row>
    <row r="27" spans="1:33" ht="67.5">
      <c r="A27" s="32"/>
      <c r="B27" s="654"/>
      <c r="C27" s="402" t="s">
        <v>106</v>
      </c>
      <c r="D27" s="269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3"/>
      <c r="P27" s="334"/>
      <c r="Q27" s="331"/>
      <c r="R27" s="331"/>
      <c r="S27" s="331"/>
      <c r="T27" s="331"/>
      <c r="U27" s="331"/>
      <c r="V27" s="270"/>
      <c r="W27" s="270"/>
      <c r="X27" s="270"/>
      <c r="Y27" s="270"/>
      <c r="Z27" s="270"/>
      <c r="AA27" s="403"/>
      <c r="AB27" s="264" t="s">
        <v>103</v>
      </c>
      <c r="AC27" s="259" t="s">
        <v>85</v>
      </c>
      <c r="AD27" s="640"/>
      <c r="AE27" s="277">
        <f>+'PLAN.ADQ.'!E59</f>
        <v>0</v>
      </c>
      <c r="AF27" s="274">
        <f>+'PLAN.ADQ.'!F59</f>
        <v>40000</v>
      </c>
      <c r="AG27" s="272">
        <f t="shared" si="0"/>
        <v>40000</v>
      </c>
    </row>
    <row r="28" spans="1:33" ht="57" thickBot="1">
      <c r="A28" s="32"/>
      <c r="B28" s="655"/>
      <c r="C28" s="404" t="s">
        <v>107</v>
      </c>
      <c r="D28" s="339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405"/>
      <c r="P28" s="339"/>
      <c r="Q28" s="340"/>
      <c r="R28" s="340"/>
      <c r="S28" s="340"/>
      <c r="T28" s="340"/>
      <c r="U28" s="340"/>
      <c r="V28" s="341"/>
      <c r="W28" s="341"/>
      <c r="X28" s="341"/>
      <c r="Y28" s="341"/>
      <c r="Z28" s="341"/>
      <c r="AA28" s="406"/>
      <c r="AB28" s="344" t="s">
        <v>90</v>
      </c>
      <c r="AC28" s="345" t="s">
        <v>111</v>
      </c>
      <c r="AD28" s="644"/>
      <c r="AE28" s="377">
        <f>+'PLAN.ADQ.'!E60</f>
        <v>0</v>
      </c>
      <c r="AF28" s="347">
        <f>+'PLAN.ADQ.'!F60</f>
        <v>4200</v>
      </c>
      <c r="AG28" s="348">
        <f t="shared" si="0"/>
        <v>4200</v>
      </c>
    </row>
    <row r="29" spans="1:33" ht="112.5">
      <c r="A29" s="32"/>
      <c r="B29" s="645" t="s">
        <v>108</v>
      </c>
      <c r="C29" s="327" t="s">
        <v>294</v>
      </c>
      <c r="D29" s="317"/>
      <c r="E29" s="288"/>
      <c r="F29" s="288"/>
      <c r="G29" s="288"/>
      <c r="H29" s="288"/>
      <c r="I29" s="288"/>
      <c r="J29" s="288"/>
      <c r="K29" s="288"/>
      <c r="L29" s="288"/>
      <c r="M29" s="383"/>
      <c r="N29" s="383"/>
      <c r="O29" s="407"/>
      <c r="P29" s="408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4"/>
      <c r="AB29" s="385" t="s">
        <v>93</v>
      </c>
      <c r="AC29" s="378" t="s">
        <v>82</v>
      </c>
      <c r="AD29" s="643" t="s">
        <v>582</v>
      </c>
      <c r="AE29" s="409">
        <f>+'PLAN.ADQ.'!E32</f>
        <v>42300</v>
      </c>
      <c r="AF29" s="410">
        <f>+'PLAN.ADQ.'!F32</f>
        <v>352500</v>
      </c>
      <c r="AG29" s="411">
        <f t="shared" si="0"/>
        <v>394800</v>
      </c>
    </row>
    <row r="30" spans="1:33" ht="78.75">
      <c r="A30" s="32"/>
      <c r="B30" s="646"/>
      <c r="C30" s="402" t="s">
        <v>589</v>
      </c>
      <c r="D30" s="269"/>
      <c r="E30" s="270"/>
      <c r="F30" s="270"/>
      <c r="G30" s="270"/>
      <c r="H30" s="270"/>
      <c r="I30" s="270"/>
      <c r="J30" s="331"/>
      <c r="K30" s="331"/>
      <c r="L30" s="331"/>
      <c r="M30" s="331"/>
      <c r="N30" s="331"/>
      <c r="O30" s="332"/>
      <c r="P30" s="269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3"/>
      <c r="AB30" s="264" t="s">
        <v>114</v>
      </c>
      <c r="AC30" s="259" t="s">
        <v>85</v>
      </c>
      <c r="AD30" s="640"/>
      <c r="AE30" s="277">
        <f>+'PLAN.ADQ.'!E62</f>
        <v>80000</v>
      </c>
      <c r="AF30" s="274">
        <f>+'PLAN.ADQ.'!F62</f>
        <v>0</v>
      </c>
      <c r="AG30" s="272">
        <f t="shared" si="0"/>
        <v>80000</v>
      </c>
    </row>
    <row r="31" spans="1:33" ht="57" thickBot="1">
      <c r="A31" s="32"/>
      <c r="B31" s="650"/>
      <c r="C31" s="404" t="s">
        <v>109</v>
      </c>
      <c r="D31" s="339"/>
      <c r="E31" s="340"/>
      <c r="F31" s="340"/>
      <c r="G31" s="340"/>
      <c r="H31" s="340"/>
      <c r="I31" s="340"/>
      <c r="J31" s="340"/>
      <c r="K31" s="340"/>
      <c r="L31" s="340"/>
      <c r="M31" s="341"/>
      <c r="N31" s="341"/>
      <c r="O31" s="342"/>
      <c r="P31" s="343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406"/>
      <c r="AB31" s="344" t="s">
        <v>90</v>
      </c>
      <c r="AC31" s="345" t="s">
        <v>110</v>
      </c>
      <c r="AD31" s="644"/>
      <c r="AE31" s="377">
        <f>+'PLAN.ADQ.'!E63</f>
        <v>2700</v>
      </c>
      <c r="AF31" s="347">
        <f>+'PLAN.ADQ.'!F63</f>
        <v>22500</v>
      </c>
      <c r="AG31" s="348">
        <f t="shared" si="0"/>
        <v>25200</v>
      </c>
    </row>
    <row r="32" spans="1:33" ht="56.25">
      <c r="A32" s="32"/>
      <c r="B32" s="645" t="s">
        <v>142</v>
      </c>
      <c r="C32" s="412" t="s">
        <v>112</v>
      </c>
      <c r="D32" s="360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87"/>
      <c r="P32" s="360"/>
      <c r="Q32" s="361"/>
      <c r="R32" s="361"/>
      <c r="S32" s="361"/>
      <c r="T32" s="361"/>
      <c r="U32" s="361"/>
      <c r="V32" s="361"/>
      <c r="W32" s="361"/>
      <c r="X32" s="361"/>
      <c r="Y32" s="362"/>
      <c r="Z32" s="362"/>
      <c r="AA32" s="388"/>
      <c r="AB32" s="307" t="s">
        <v>93</v>
      </c>
      <c r="AC32" s="378" t="s">
        <v>82</v>
      </c>
      <c r="AD32" s="643" t="s">
        <v>295</v>
      </c>
      <c r="AE32" s="365">
        <f>+'PLAN.ADQ.'!E33</f>
        <v>0</v>
      </c>
      <c r="AF32" s="366">
        <f>+'PLAN.ADQ.'!F33</f>
        <v>28200</v>
      </c>
      <c r="AG32" s="367">
        <f t="shared" si="0"/>
        <v>28200</v>
      </c>
    </row>
    <row r="33" spans="1:33" ht="101.25">
      <c r="A33" s="32"/>
      <c r="B33" s="646"/>
      <c r="C33" s="381" t="s">
        <v>113</v>
      </c>
      <c r="D33" s="263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8"/>
      <c r="P33" s="263"/>
      <c r="Q33" s="276"/>
      <c r="R33" s="276"/>
      <c r="S33" s="349"/>
      <c r="T33" s="349"/>
      <c r="U33" s="349"/>
      <c r="V33" s="349"/>
      <c r="W33" s="349"/>
      <c r="X33" s="349"/>
      <c r="Y33" s="276"/>
      <c r="Z33" s="276"/>
      <c r="AA33" s="369"/>
      <c r="AB33" s="258" t="s">
        <v>114</v>
      </c>
      <c r="AC33" s="259" t="s">
        <v>85</v>
      </c>
      <c r="AD33" s="651"/>
      <c r="AE33" s="277">
        <f>+'PLAN.ADQ.'!E65</f>
        <v>0</v>
      </c>
      <c r="AF33" s="274">
        <f>+'PLAN.ADQ.'!F65</f>
        <v>100000</v>
      </c>
      <c r="AG33" s="272">
        <f t="shared" si="0"/>
        <v>100000</v>
      </c>
    </row>
    <row r="34" spans="1:33" ht="57" thickBot="1">
      <c r="A34" s="32"/>
      <c r="B34" s="650"/>
      <c r="C34" s="413" t="s">
        <v>115</v>
      </c>
      <c r="D34" s="371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414"/>
      <c r="P34" s="371"/>
      <c r="Q34" s="372"/>
      <c r="R34" s="372"/>
      <c r="S34" s="372"/>
      <c r="T34" s="372"/>
      <c r="U34" s="372"/>
      <c r="V34" s="372"/>
      <c r="W34" s="372"/>
      <c r="X34" s="372"/>
      <c r="Y34" s="373"/>
      <c r="Z34" s="373"/>
      <c r="AA34" s="415"/>
      <c r="AB34" s="376" t="s">
        <v>90</v>
      </c>
      <c r="AC34" s="345" t="s">
        <v>110</v>
      </c>
      <c r="AD34" s="652"/>
      <c r="AE34" s="377">
        <f>+'PLAN.ADQ.'!E66</f>
        <v>0</v>
      </c>
      <c r="AF34" s="347">
        <f>+'PLAN.ADQ.'!F66</f>
        <v>1800</v>
      </c>
      <c r="AG34" s="348">
        <f t="shared" si="0"/>
        <v>1800</v>
      </c>
    </row>
    <row r="35" spans="1:33" ht="214.5" thickBot="1">
      <c r="A35" s="32"/>
      <c r="B35" s="401" t="s">
        <v>146</v>
      </c>
      <c r="C35" s="380" t="s">
        <v>587</v>
      </c>
      <c r="D35" s="263"/>
      <c r="E35" s="276"/>
      <c r="F35" s="276"/>
      <c r="G35" s="276"/>
      <c r="H35" s="276"/>
      <c r="I35" s="276"/>
      <c r="J35" s="349"/>
      <c r="K35" s="349"/>
      <c r="L35" s="349"/>
      <c r="M35" s="349"/>
      <c r="N35" s="349"/>
      <c r="O35" s="350"/>
      <c r="P35" s="351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68"/>
      <c r="AB35" s="258" t="s">
        <v>588</v>
      </c>
      <c r="AC35" s="397" t="s">
        <v>296</v>
      </c>
      <c r="AD35" s="275" t="s">
        <v>583</v>
      </c>
      <c r="AE35" s="335">
        <f>+'PLAN.ADQ.'!E70</f>
        <v>290000</v>
      </c>
      <c r="AF35" s="336">
        <f>+'PLAN.ADQ.'!F70</f>
        <v>60000</v>
      </c>
      <c r="AG35" s="337">
        <f t="shared" si="0"/>
        <v>350000</v>
      </c>
    </row>
    <row r="36" spans="1:33" ht="14.25" thickBot="1" thickTop="1">
      <c r="A36" s="32"/>
      <c r="B36" s="647" t="s">
        <v>78</v>
      </c>
      <c r="C36" s="648"/>
      <c r="D36" s="648"/>
      <c r="E36" s="648"/>
      <c r="F36" s="648"/>
      <c r="G36" s="648"/>
      <c r="H36" s="648"/>
      <c r="I36" s="648"/>
      <c r="J36" s="648"/>
      <c r="K36" s="648"/>
      <c r="L36" s="648"/>
      <c r="M36" s="648"/>
      <c r="N36" s="648"/>
      <c r="O36" s="648"/>
      <c r="P36" s="648"/>
      <c r="Q36" s="648"/>
      <c r="R36" s="648"/>
      <c r="S36" s="648"/>
      <c r="T36" s="648"/>
      <c r="U36" s="648"/>
      <c r="V36" s="648"/>
      <c r="W36" s="648"/>
      <c r="X36" s="648"/>
      <c r="Y36" s="648"/>
      <c r="Z36" s="648"/>
      <c r="AA36" s="648"/>
      <c r="AB36" s="648"/>
      <c r="AC36" s="648"/>
      <c r="AD36" s="649"/>
      <c r="AE36" s="311">
        <f>SUM(AE37:AE45)</f>
        <v>170000</v>
      </c>
      <c r="AF36" s="312">
        <f>SUM(AF37:AF45)</f>
        <v>180000</v>
      </c>
      <c r="AG36" s="324">
        <f>SUM(AG37:AG45)</f>
        <v>350000</v>
      </c>
    </row>
    <row r="37" spans="1:33" ht="170.25" thickBot="1" thickTop="1">
      <c r="A37" s="32"/>
      <c r="B37" s="424" t="s">
        <v>147</v>
      </c>
      <c r="C37" s="425" t="s">
        <v>590</v>
      </c>
      <c r="D37" s="426"/>
      <c r="E37" s="427"/>
      <c r="F37" s="427"/>
      <c r="G37" s="427"/>
      <c r="H37" s="427"/>
      <c r="I37" s="427"/>
      <c r="J37" s="428"/>
      <c r="K37" s="428"/>
      <c r="L37" s="428"/>
      <c r="M37" s="428"/>
      <c r="N37" s="428"/>
      <c r="O37" s="429"/>
      <c r="P37" s="430"/>
      <c r="Q37" s="428"/>
      <c r="R37" s="428"/>
      <c r="S37" s="427"/>
      <c r="T37" s="427"/>
      <c r="U37" s="427"/>
      <c r="V37" s="427"/>
      <c r="W37" s="427"/>
      <c r="X37" s="427"/>
      <c r="Y37" s="427"/>
      <c r="Z37" s="427"/>
      <c r="AA37" s="427"/>
      <c r="AB37" s="431" t="s">
        <v>591</v>
      </c>
      <c r="AC37" s="432" t="s">
        <v>85</v>
      </c>
      <c r="AD37" s="432" t="s">
        <v>297</v>
      </c>
      <c r="AE37" s="433">
        <f>+'PLAN.ADQ.'!E72</f>
        <v>35000</v>
      </c>
      <c r="AF37" s="434">
        <f>+'PLAN.ADQ.'!F72</f>
        <v>15000</v>
      </c>
      <c r="AG37" s="435">
        <f aca="true" t="shared" si="1" ref="AG37:AG45">+AE37+AF37</f>
        <v>50000</v>
      </c>
    </row>
    <row r="38" spans="1:33" ht="124.5" thickBot="1">
      <c r="A38" s="32"/>
      <c r="B38" s="440" t="s">
        <v>592</v>
      </c>
      <c r="C38" s="289" t="s">
        <v>593</v>
      </c>
      <c r="D38" s="317"/>
      <c r="E38" s="288"/>
      <c r="F38" s="288"/>
      <c r="G38" s="288"/>
      <c r="H38" s="288"/>
      <c r="I38" s="288"/>
      <c r="J38" s="383"/>
      <c r="K38" s="383"/>
      <c r="L38" s="383"/>
      <c r="M38" s="383"/>
      <c r="N38" s="383"/>
      <c r="O38" s="407"/>
      <c r="P38" s="421"/>
      <c r="Q38" s="421"/>
      <c r="R38" s="421"/>
      <c r="S38" s="318"/>
      <c r="T38" s="318"/>
      <c r="U38" s="288"/>
      <c r="V38" s="288"/>
      <c r="W38" s="288"/>
      <c r="X38" s="288"/>
      <c r="Y38" s="288"/>
      <c r="Z38" s="288"/>
      <c r="AA38" s="208"/>
      <c r="AB38" s="385" t="s">
        <v>591</v>
      </c>
      <c r="AC38" s="271" t="s">
        <v>85</v>
      </c>
      <c r="AD38" s="271" t="s">
        <v>584</v>
      </c>
      <c r="AE38" s="441">
        <f>+'PLAN.ADQ.'!E73</f>
        <v>35000</v>
      </c>
      <c r="AF38" s="442">
        <f>+'PLAN.ADQ.'!F73</f>
        <v>15000</v>
      </c>
      <c r="AG38" s="411">
        <f t="shared" si="1"/>
        <v>50000</v>
      </c>
    </row>
    <row r="39" spans="1:33" ht="114.75" customHeight="1">
      <c r="A39" s="32"/>
      <c r="B39" s="645" t="s">
        <v>2</v>
      </c>
      <c r="C39" s="419" t="s">
        <v>599</v>
      </c>
      <c r="D39" s="443"/>
      <c r="E39" s="361"/>
      <c r="F39" s="361"/>
      <c r="G39" s="361"/>
      <c r="H39" s="361"/>
      <c r="I39" s="361"/>
      <c r="J39" s="362"/>
      <c r="K39" s="362"/>
      <c r="L39" s="362"/>
      <c r="M39" s="362"/>
      <c r="N39" s="362"/>
      <c r="O39" s="363"/>
      <c r="P39" s="444"/>
      <c r="Q39" s="444"/>
      <c r="R39" s="444"/>
      <c r="S39" s="444"/>
      <c r="T39" s="444"/>
      <c r="U39" s="445"/>
      <c r="V39" s="445"/>
      <c r="W39" s="445"/>
      <c r="X39" s="445"/>
      <c r="Y39" s="445"/>
      <c r="Z39" s="445"/>
      <c r="AA39" s="446"/>
      <c r="AB39" s="307" t="s">
        <v>595</v>
      </c>
      <c r="AC39" s="306" t="s">
        <v>596</v>
      </c>
      <c r="AD39" s="643" t="s">
        <v>3</v>
      </c>
      <c r="AE39" s="447">
        <f>+'PLAN.ADQ.'!E45</f>
        <v>50000</v>
      </c>
      <c r="AF39" s="448">
        <f>+'PLAN.ADQ.'!F45</f>
        <v>0</v>
      </c>
      <c r="AG39" s="367">
        <f t="shared" si="1"/>
        <v>50000</v>
      </c>
    </row>
    <row r="40" spans="1:33" ht="114.75" customHeight="1">
      <c r="A40" s="32"/>
      <c r="B40" s="646"/>
      <c r="C40" s="382" t="s">
        <v>600</v>
      </c>
      <c r="D40" s="553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315"/>
      <c r="P40" s="418"/>
      <c r="Q40" s="418"/>
      <c r="R40" s="418"/>
      <c r="S40" s="418"/>
      <c r="T40" s="418"/>
      <c r="U40" s="352"/>
      <c r="V40" s="352"/>
      <c r="W40" s="352"/>
      <c r="X40" s="352"/>
      <c r="Y40" s="352"/>
      <c r="Z40" s="352"/>
      <c r="AA40" s="462"/>
      <c r="AB40" s="355" t="s">
        <v>601</v>
      </c>
      <c r="AC40" s="314" t="s">
        <v>605</v>
      </c>
      <c r="AD40" s="640"/>
      <c r="AE40" s="356">
        <f>+'PLAN.ADQ.'!E74</f>
        <v>0</v>
      </c>
      <c r="AF40" s="463">
        <f>+'PLAN.ADQ.'!F74</f>
        <v>50000</v>
      </c>
      <c r="AG40" s="358">
        <f t="shared" si="1"/>
        <v>50000</v>
      </c>
    </row>
    <row r="41" spans="1:33" ht="114.75" customHeight="1" thickBot="1">
      <c r="A41" s="32"/>
      <c r="B41" s="650"/>
      <c r="C41" s="404" t="s">
        <v>1</v>
      </c>
      <c r="D41" s="436"/>
      <c r="E41" s="340"/>
      <c r="F41" s="340"/>
      <c r="G41" s="340"/>
      <c r="H41" s="340"/>
      <c r="I41" s="340"/>
      <c r="J41" s="341"/>
      <c r="K41" s="341"/>
      <c r="L41" s="341"/>
      <c r="M41" s="341"/>
      <c r="N41" s="341"/>
      <c r="O41" s="342"/>
      <c r="P41" s="468"/>
      <c r="Q41" s="468"/>
      <c r="R41" s="468"/>
      <c r="S41" s="468"/>
      <c r="T41" s="468"/>
      <c r="U41" s="340"/>
      <c r="V41" s="340"/>
      <c r="W41" s="340"/>
      <c r="X41" s="340"/>
      <c r="Y41" s="340"/>
      <c r="Z41" s="340"/>
      <c r="AA41" s="467"/>
      <c r="AB41" s="344" t="s">
        <v>606</v>
      </c>
      <c r="AC41" s="345" t="s">
        <v>607</v>
      </c>
      <c r="AD41" s="644"/>
      <c r="AE41" s="346">
        <f>+'PLAN.ADQ.'!E75</f>
        <v>50000</v>
      </c>
      <c r="AF41" s="439">
        <f>+'PLAN.ADQ.'!F75</f>
        <v>0</v>
      </c>
      <c r="AG41" s="348">
        <f>+AE41+AF41</f>
        <v>50000</v>
      </c>
    </row>
    <row r="42" spans="1:33" ht="203.25" thickBot="1">
      <c r="A42" s="32"/>
      <c r="B42" s="449" t="s">
        <v>602</v>
      </c>
      <c r="C42" s="450" t="s">
        <v>603</v>
      </c>
      <c r="D42" s="451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3"/>
      <c r="P42" s="452"/>
      <c r="Q42" s="452"/>
      <c r="R42" s="452"/>
      <c r="S42" s="452"/>
      <c r="T42" s="452"/>
      <c r="U42" s="392"/>
      <c r="V42" s="392"/>
      <c r="W42" s="392"/>
      <c r="X42" s="392"/>
      <c r="Y42" s="394"/>
      <c r="Z42" s="394"/>
      <c r="AA42" s="456"/>
      <c r="AB42" s="396" t="s">
        <v>604</v>
      </c>
      <c r="AC42" s="345" t="s">
        <v>585</v>
      </c>
      <c r="AD42" s="397" t="s">
        <v>586</v>
      </c>
      <c r="AE42" s="454">
        <f>+'PLAN.ADQ.'!E76</f>
        <v>0</v>
      </c>
      <c r="AF42" s="455">
        <f>+'PLAN.ADQ.'!F76</f>
        <v>10000</v>
      </c>
      <c r="AG42" s="400">
        <f t="shared" si="1"/>
        <v>10000</v>
      </c>
    </row>
    <row r="43" spans="1:33" ht="67.5" customHeight="1">
      <c r="A43" s="32"/>
      <c r="B43" s="645" t="s">
        <v>149</v>
      </c>
      <c r="C43" s="382" t="s">
        <v>608</v>
      </c>
      <c r="D43" s="45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316"/>
      <c r="P43" s="421"/>
      <c r="Q43" s="421"/>
      <c r="R43" s="421"/>
      <c r="S43" s="421"/>
      <c r="T43" s="421"/>
      <c r="U43" s="383"/>
      <c r="V43" s="288"/>
      <c r="W43" s="288"/>
      <c r="X43" s="288"/>
      <c r="Y43" s="288"/>
      <c r="Z43" s="288"/>
      <c r="AA43" s="293"/>
      <c r="AB43" s="258" t="s">
        <v>591</v>
      </c>
      <c r="AC43" s="271" t="s">
        <v>85</v>
      </c>
      <c r="AD43" s="643" t="s">
        <v>277</v>
      </c>
      <c r="AE43" s="422">
        <f>+'PLAN.ADQ.'!E77</f>
        <v>0</v>
      </c>
      <c r="AF43" s="423">
        <f>+'PLAN.ADQ.'!F77</f>
        <v>55000</v>
      </c>
      <c r="AG43" s="337">
        <f t="shared" si="1"/>
        <v>55000</v>
      </c>
    </row>
    <row r="44" spans="1:33" ht="78.75">
      <c r="A44" s="32"/>
      <c r="B44" s="646"/>
      <c r="C44" s="402" t="s">
        <v>609</v>
      </c>
      <c r="D44" s="285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3"/>
      <c r="P44" s="287"/>
      <c r="Q44" s="287"/>
      <c r="R44" s="287"/>
      <c r="S44" s="287"/>
      <c r="T44" s="287"/>
      <c r="U44" s="270"/>
      <c r="V44" s="331"/>
      <c r="W44" s="331"/>
      <c r="X44" s="331"/>
      <c r="Y44" s="331"/>
      <c r="Z44" s="352"/>
      <c r="AA44" s="420"/>
      <c r="AB44" s="264" t="s">
        <v>610</v>
      </c>
      <c r="AC44" s="259" t="s">
        <v>611</v>
      </c>
      <c r="AD44" s="640"/>
      <c r="AE44" s="265">
        <f>+'PLAN.ADQ.'!E78</f>
        <v>0</v>
      </c>
      <c r="AF44" s="266">
        <f>+'PLAN.ADQ.'!F78</f>
        <v>30000</v>
      </c>
      <c r="AG44" s="272">
        <f t="shared" si="1"/>
        <v>30000</v>
      </c>
    </row>
    <row r="45" spans="1:33" ht="57" thickBot="1">
      <c r="A45" s="32"/>
      <c r="B45" s="657"/>
      <c r="C45" s="381" t="s">
        <v>612</v>
      </c>
      <c r="D45" s="285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3"/>
      <c r="P45" s="281"/>
      <c r="Q45" s="281"/>
      <c r="R45" s="281"/>
      <c r="S45" s="281"/>
      <c r="T45" s="281"/>
      <c r="U45" s="282"/>
      <c r="V45" s="282"/>
      <c r="W45" s="282"/>
      <c r="X45" s="282"/>
      <c r="Y45" s="352"/>
      <c r="Z45" s="352"/>
      <c r="AA45" s="420"/>
      <c r="AB45" s="264" t="s">
        <v>613</v>
      </c>
      <c r="AC45" s="259" t="s">
        <v>614</v>
      </c>
      <c r="AD45" s="659"/>
      <c r="AE45" s="265">
        <f>+'PLAN.ADQ.'!E79</f>
        <v>0</v>
      </c>
      <c r="AF45" s="266">
        <f>+'PLAN.ADQ.'!F79</f>
        <v>5000</v>
      </c>
      <c r="AG45" s="272">
        <f t="shared" si="1"/>
        <v>5000</v>
      </c>
    </row>
    <row r="46" spans="1:33" ht="14.25" thickBot="1" thickTop="1">
      <c r="A46" s="32"/>
      <c r="B46" s="647" t="s">
        <v>79</v>
      </c>
      <c r="C46" s="648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8"/>
      <c r="O46" s="648"/>
      <c r="P46" s="648"/>
      <c r="Q46" s="648"/>
      <c r="R46" s="648"/>
      <c r="S46" s="648"/>
      <c r="T46" s="648"/>
      <c r="U46" s="648"/>
      <c r="V46" s="648"/>
      <c r="W46" s="648"/>
      <c r="X46" s="648"/>
      <c r="Y46" s="648"/>
      <c r="Z46" s="648"/>
      <c r="AA46" s="648"/>
      <c r="AB46" s="648"/>
      <c r="AC46" s="648"/>
      <c r="AD46" s="649"/>
      <c r="AE46" s="311">
        <f>SUM(AE47:AE60)</f>
        <v>180000</v>
      </c>
      <c r="AF46" s="312">
        <f>SUM(AF47:AF60)</f>
        <v>445000</v>
      </c>
      <c r="AG46" s="324">
        <f>SUM(AG47:AG60)</f>
        <v>625000</v>
      </c>
    </row>
    <row r="47" spans="1:33" ht="90.75" thickTop="1">
      <c r="A47" s="32"/>
      <c r="B47" s="656" t="s">
        <v>150</v>
      </c>
      <c r="C47" s="460" t="s">
        <v>621</v>
      </c>
      <c r="D47" s="461"/>
      <c r="E47" s="288"/>
      <c r="F47" s="288"/>
      <c r="G47" s="270"/>
      <c r="H47" s="270"/>
      <c r="I47" s="270"/>
      <c r="J47" s="270"/>
      <c r="K47" s="270"/>
      <c r="L47" s="270"/>
      <c r="M47" s="270"/>
      <c r="N47" s="270"/>
      <c r="O47" s="310"/>
      <c r="P47" s="417"/>
      <c r="Q47" s="331"/>
      <c r="R47" s="331"/>
      <c r="S47" s="331"/>
      <c r="T47" s="331"/>
      <c r="U47" s="331"/>
      <c r="V47" s="270"/>
      <c r="W47" s="270"/>
      <c r="X47" s="270"/>
      <c r="Y47" s="270"/>
      <c r="Z47" s="270"/>
      <c r="AA47" s="270"/>
      <c r="AB47" s="271" t="s">
        <v>622</v>
      </c>
      <c r="AC47" s="271" t="s">
        <v>623</v>
      </c>
      <c r="AD47" s="639" t="s">
        <v>278</v>
      </c>
      <c r="AE47" s="459">
        <f>+'PLAN.ADQ.'!E13</f>
        <v>0</v>
      </c>
      <c r="AF47" s="459">
        <f>+'PLAN.ADQ.'!F13</f>
        <v>60000</v>
      </c>
      <c r="AG47" s="292">
        <f aca="true" t="shared" si="2" ref="AG47:AG60">+AE47+AF47</f>
        <v>60000</v>
      </c>
    </row>
    <row r="48" spans="1:33" ht="78.75">
      <c r="A48" s="32"/>
      <c r="B48" s="646"/>
      <c r="C48" s="416" t="s">
        <v>624</v>
      </c>
      <c r="D48" s="269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3"/>
      <c r="P48" s="417"/>
      <c r="Q48" s="331"/>
      <c r="R48" s="331"/>
      <c r="S48" s="331"/>
      <c r="T48" s="331"/>
      <c r="U48" s="331"/>
      <c r="V48" s="270"/>
      <c r="W48" s="270"/>
      <c r="X48" s="270"/>
      <c r="Y48" s="270"/>
      <c r="Z48" s="270"/>
      <c r="AA48" s="270"/>
      <c r="AB48" s="259" t="s">
        <v>622</v>
      </c>
      <c r="AC48" s="259" t="s">
        <v>623</v>
      </c>
      <c r="AD48" s="640"/>
      <c r="AE48" s="284">
        <f>+'PLAN.ADQ.'!E14</f>
        <v>0</v>
      </c>
      <c r="AF48" s="284">
        <f>+'PLAN.ADQ.'!F14</f>
        <v>40000</v>
      </c>
      <c r="AG48" s="267">
        <f t="shared" si="2"/>
        <v>40000</v>
      </c>
    </row>
    <row r="49" spans="1:33" ht="90">
      <c r="A49" s="32"/>
      <c r="B49" s="646"/>
      <c r="C49" s="381" t="s">
        <v>625</v>
      </c>
      <c r="D49" s="269"/>
      <c r="E49" s="270"/>
      <c r="F49" s="270"/>
      <c r="G49" s="270"/>
      <c r="H49" s="270"/>
      <c r="I49" s="270"/>
      <c r="J49" s="270"/>
      <c r="K49" s="270"/>
      <c r="L49" s="270"/>
      <c r="M49" s="331"/>
      <c r="N49" s="331"/>
      <c r="O49" s="332"/>
      <c r="P49" s="417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259" t="s">
        <v>626</v>
      </c>
      <c r="AC49" s="271" t="s">
        <v>627</v>
      </c>
      <c r="AD49" s="640"/>
      <c r="AE49" s="266">
        <f>+'PLAN.ADQ.'!E81</f>
        <v>40000</v>
      </c>
      <c r="AF49" s="266">
        <f>+'PLAN.ADQ.'!F81</f>
        <v>5000</v>
      </c>
      <c r="AG49" s="267">
        <f t="shared" si="2"/>
        <v>45000</v>
      </c>
    </row>
    <row r="50" spans="1:33" ht="67.5">
      <c r="A50" s="32"/>
      <c r="B50" s="646"/>
      <c r="C50" s="381" t="s">
        <v>628</v>
      </c>
      <c r="D50" s="269"/>
      <c r="E50" s="270"/>
      <c r="F50" s="270"/>
      <c r="G50" s="270"/>
      <c r="H50" s="270"/>
      <c r="I50" s="270"/>
      <c r="J50" s="270"/>
      <c r="K50" s="270"/>
      <c r="L50" s="270"/>
      <c r="M50" s="331"/>
      <c r="N50" s="331"/>
      <c r="O50" s="332"/>
      <c r="P50" s="334"/>
      <c r="Q50" s="417"/>
      <c r="R50" s="417"/>
      <c r="S50" s="417"/>
      <c r="T50" s="417"/>
      <c r="U50" s="331"/>
      <c r="V50" s="331"/>
      <c r="W50" s="331"/>
      <c r="X50" s="331"/>
      <c r="Y50" s="331"/>
      <c r="Z50" s="331"/>
      <c r="AA50" s="420"/>
      <c r="AB50" s="259" t="s">
        <v>626</v>
      </c>
      <c r="AC50" s="259" t="s">
        <v>627</v>
      </c>
      <c r="AD50" s="640"/>
      <c r="AE50" s="266">
        <f>+'PLAN.ADQ.'!E82</f>
        <v>40000</v>
      </c>
      <c r="AF50" s="266">
        <f>+'PLAN.ADQ.'!F82</f>
        <v>5000</v>
      </c>
      <c r="AG50" s="267">
        <f t="shared" si="2"/>
        <v>45000</v>
      </c>
    </row>
    <row r="51" spans="1:33" ht="45.75" thickBot="1">
      <c r="A51" s="32"/>
      <c r="B51" s="646"/>
      <c r="C51" s="382" t="s">
        <v>629</v>
      </c>
      <c r="D51" s="290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315"/>
      <c r="P51" s="281"/>
      <c r="Q51" s="281"/>
      <c r="R51" s="281"/>
      <c r="S51" s="281"/>
      <c r="T51" s="281"/>
      <c r="U51" s="282"/>
      <c r="V51" s="352"/>
      <c r="W51" s="352"/>
      <c r="X51" s="352"/>
      <c r="Y51" s="352"/>
      <c r="Z51" s="352"/>
      <c r="AA51" s="462"/>
      <c r="AB51" s="314" t="s">
        <v>630</v>
      </c>
      <c r="AC51" s="314" t="s">
        <v>631</v>
      </c>
      <c r="AD51" s="640"/>
      <c r="AE51" s="463">
        <f>+'PLAN.ADQ.'!E83</f>
        <v>0</v>
      </c>
      <c r="AF51" s="463">
        <f>+'PLAN.ADQ.'!F83</f>
        <v>40000</v>
      </c>
      <c r="AG51" s="292">
        <f t="shared" si="2"/>
        <v>40000</v>
      </c>
    </row>
    <row r="52" spans="1:33" ht="67.5">
      <c r="A52" s="32"/>
      <c r="B52" s="645" t="s">
        <v>634</v>
      </c>
      <c r="C52" s="419" t="s">
        <v>633</v>
      </c>
      <c r="D52" s="446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87"/>
      <c r="P52" s="464"/>
      <c r="Q52" s="464"/>
      <c r="R52" s="464"/>
      <c r="S52" s="465"/>
      <c r="T52" s="465"/>
      <c r="U52" s="362"/>
      <c r="V52" s="362"/>
      <c r="W52" s="362"/>
      <c r="X52" s="362"/>
      <c r="Y52" s="361"/>
      <c r="Z52" s="361"/>
      <c r="AA52" s="446"/>
      <c r="AB52" s="306" t="s">
        <v>622</v>
      </c>
      <c r="AC52" s="306" t="s">
        <v>623</v>
      </c>
      <c r="AD52" s="643" t="s">
        <v>279</v>
      </c>
      <c r="AE52" s="448">
        <f>+'PLAN.ADQ.'!E15</f>
        <v>0</v>
      </c>
      <c r="AF52" s="448">
        <f>+'PLAN.ADQ.'!F15</f>
        <v>18000</v>
      </c>
      <c r="AG52" s="308">
        <f t="shared" si="2"/>
        <v>18000</v>
      </c>
    </row>
    <row r="53" spans="1:33" ht="79.5" thickBot="1">
      <c r="A53" s="32"/>
      <c r="B53" s="650"/>
      <c r="C53" s="466" t="s">
        <v>661</v>
      </c>
      <c r="D53" s="467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405"/>
      <c r="P53" s="468"/>
      <c r="Q53" s="468"/>
      <c r="R53" s="468"/>
      <c r="S53" s="468"/>
      <c r="T53" s="468"/>
      <c r="U53" s="340"/>
      <c r="V53" s="341"/>
      <c r="W53" s="341"/>
      <c r="X53" s="341"/>
      <c r="Y53" s="341"/>
      <c r="Z53" s="341"/>
      <c r="AA53" s="438"/>
      <c r="AB53" s="345" t="s">
        <v>662</v>
      </c>
      <c r="AC53" s="345" t="s">
        <v>663</v>
      </c>
      <c r="AD53" s="644"/>
      <c r="AE53" s="439">
        <f>+'PLAN.ADQ.'!E84</f>
        <v>0</v>
      </c>
      <c r="AF53" s="439">
        <f>+'PLAN.ADQ.'!F84</f>
        <v>32000</v>
      </c>
      <c r="AG53" s="469">
        <f t="shared" si="2"/>
        <v>32000</v>
      </c>
    </row>
    <row r="54" spans="1:33" ht="225.75" thickBot="1">
      <c r="A54" s="32"/>
      <c r="B54" s="379" t="s">
        <v>664</v>
      </c>
      <c r="C54" s="470" t="s">
        <v>665</v>
      </c>
      <c r="D54" s="20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316"/>
      <c r="P54" s="318"/>
      <c r="Q54" s="318"/>
      <c r="R54" s="318"/>
      <c r="S54" s="318"/>
      <c r="T54" s="318"/>
      <c r="U54" s="288"/>
      <c r="V54" s="288"/>
      <c r="W54" s="288"/>
      <c r="X54" s="288"/>
      <c r="Y54" s="383"/>
      <c r="Z54" s="383"/>
      <c r="AA54" s="471"/>
      <c r="AB54" s="271" t="s">
        <v>666</v>
      </c>
      <c r="AC54" s="314" t="s">
        <v>667</v>
      </c>
      <c r="AD54" s="271" t="s">
        <v>304</v>
      </c>
      <c r="AE54" s="442">
        <f>+'PLAN.ADQ.'!E86</f>
        <v>0</v>
      </c>
      <c r="AF54" s="442">
        <f>+'PLAN.ADQ.'!F86</f>
        <v>35000</v>
      </c>
      <c r="AG54" s="321">
        <f t="shared" si="2"/>
        <v>35000</v>
      </c>
    </row>
    <row r="55" spans="1:33" ht="135.75" thickBot="1">
      <c r="A55" s="32"/>
      <c r="B55" s="472" t="s">
        <v>152</v>
      </c>
      <c r="C55" s="473" t="s">
        <v>669</v>
      </c>
      <c r="D55" s="45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3"/>
      <c r="P55" s="452"/>
      <c r="Q55" s="452"/>
      <c r="R55" s="452"/>
      <c r="S55" s="452"/>
      <c r="T55" s="452"/>
      <c r="U55" s="392"/>
      <c r="V55" s="394"/>
      <c r="W55" s="394"/>
      <c r="X55" s="394"/>
      <c r="Y55" s="394"/>
      <c r="Z55" s="394"/>
      <c r="AA55" s="456"/>
      <c r="AB55" s="397" t="s">
        <v>671</v>
      </c>
      <c r="AC55" s="397" t="s">
        <v>670</v>
      </c>
      <c r="AD55" s="397" t="s">
        <v>280</v>
      </c>
      <c r="AE55" s="455">
        <f>+'PLAN.ADQ.'!E87</f>
        <v>0</v>
      </c>
      <c r="AF55" s="455">
        <f>+'PLAN.ADQ.'!F87</f>
        <v>20000</v>
      </c>
      <c r="AG55" s="474">
        <f t="shared" si="2"/>
        <v>20000</v>
      </c>
    </row>
    <row r="56" spans="1:33" ht="79.5" thickBot="1">
      <c r="A56" s="32"/>
      <c r="B56" s="379" t="s">
        <v>153</v>
      </c>
      <c r="C56" s="475" t="s">
        <v>305</v>
      </c>
      <c r="D56" s="20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316"/>
      <c r="P56" s="318"/>
      <c r="Q56" s="318"/>
      <c r="R56" s="318"/>
      <c r="S56" s="318"/>
      <c r="T56" s="318"/>
      <c r="U56" s="288"/>
      <c r="V56" s="288"/>
      <c r="W56" s="288"/>
      <c r="X56" s="288"/>
      <c r="Y56" s="383"/>
      <c r="Z56" s="383"/>
      <c r="AA56" s="471"/>
      <c r="AB56" s="271" t="s">
        <v>666</v>
      </c>
      <c r="AC56" s="314" t="s">
        <v>667</v>
      </c>
      <c r="AD56" s="271" t="s">
        <v>281</v>
      </c>
      <c r="AE56" s="442">
        <f>+'PLAN.ADQ.'!E88</f>
        <v>0</v>
      </c>
      <c r="AF56" s="442">
        <f>+'PLAN.ADQ.'!F88</f>
        <v>20000</v>
      </c>
      <c r="AG56" s="321">
        <f t="shared" si="2"/>
        <v>20000</v>
      </c>
    </row>
    <row r="57" spans="1:33" ht="67.5">
      <c r="A57" s="32"/>
      <c r="B57" s="645" t="s">
        <v>154</v>
      </c>
      <c r="C57" s="380" t="s">
        <v>673</v>
      </c>
      <c r="D57" s="446"/>
      <c r="E57" s="361"/>
      <c r="F57" s="361"/>
      <c r="G57" s="361"/>
      <c r="H57" s="361"/>
      <c r="I57" s="361"/>
      <c r="J57" s="361"/>
      <c r="K57" s="361"/>
      <c r="L57" s="361"/>
      <c r="M57" s="362"/>
      <c r="N57" s="362"/>
      <c r="O57" s="363"/>
      <c r="P57" s="465"/>
      <c r="Q57" s="465"/>
      <c r="R57" s="465"/>
      <c r="S57" s="465"/>
      <c r="T57" s="465"/>
      <c r="U57" s="362"/>
      <c r="V57" s="362"/>
      <c r="W57" s="362"/>
      <c r="X57" s="362"/>
      <c r="Y57" s="362"/>
      <c r="Z57" s="362"/>
      <c r="AA57" s="476"/>
      <c r="AB57" s="306" t="s">
        <v>674</v>
      </c>
      <c r="AC57" s="306" t="s">
        <v>677</v>
      </c>
      <c r="AD57" s="643" t="s">
        <v>282</v>
      </c>
      <c r="AE57" s="448">
        <f>+'PLAN.ADQ.'!E16</f>
        <v>80400</v>
      </c>
      <c r="AF57" s="448">
        <f>+'PLAN.ADQ.'!F16</f>
        <v>44000</v>
      </c>
      <c r="AG57" s="308">
        <f t="shared" si="2"/>
        <v>124400</v>
      </c>
    </row>
    <row r="58" spans="1:33" ht="56.25">
      <c r="A58" s="32"/>
      <c r="B58" s="646"/>
      <c r="C58" s="286" t="s">
        <v>675</v>
      </c>
      <c r="D58" s="283"/>
      <c r="E58" s="270"/>
      <c r="F58" s="270"/>
      <c r="G58" s="270"/>
      <c r="H58" s="270"/>
      <c r="I58" s="270"/>
      <c r="J58" s="270"/>
      <c r="K58" s="270"/>
      <c r="L58" s="270"/>
      <c r="M58" s="331"/>
      <c r="N58" s="331"/>
      <c r="O58" s="332"/>
      <c r="P58" s="417"/>
      <c r="Q58" s="417"/>
      <c r="R58" s="417"/>
      <c r="S58" s="417"/>
      <c r="T58" s="417"/>
      <c r="U58" s="331"/>
      <c r="V58" s="331"/>
      <c r="W58" s="331"/>
      <c r="X58" s="331"/>
      <c r="Y58" s="331"/>
      <c r="Z58" s="331"/>
      <c r="AA58" s="420"/>
      <c r="AB58" s="259" t="s">
        <v>676</v>
      </c>
      <c r="AC58" s="259" t="s">
        <v>677</v>
      </c>
      <c r="AD58" s="640"/>
      <c r="AE58" s="266">
        <f>+'PLAN.ADQ.'!E20</f>
        <v>19600</v>
      </c>
      <c r="AF58" s="266">
        <f>+'PLAN.ADQ.'!F20</f>
        <v>35000</v>
      </c>
      <c r="AG58" s="267">
        <f t="shared" si="2"/>
        <v>54600</v>
      </c>
    </row>
    <row r="59" spans="1:33" ht="90.75" thickBot="1">
      <c r="A59" s="32"/>
      <c r="B59" s="650"/>
      <c r="C59" s="466" t="s">
        <v>553</v>
      </c>
      <c r="D59" s="339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405"/>
      <c r="P59" s="468"/>
      <c r="Q59" s="468"/>
      <c r="R59" s="468"/>
      <c r="S59" s="437"/>
      <c r="T59" s="437"/>
      <c r="U59" s="341"/>
      <c r="V59" s="341"/>
      <c r="W59" s="341"/>
      <c r="X59" s="341"/>
      <c r="Y59" s="341"/>
      <c r="Z59" s="341"/>
      <c r="AA59" s="438"/>
      <c r="AB59" s="345" t="s">
        <v>679</v>
      </c>
      <c r="AC59" s="345" t="s">
        <v>678</v>
      </c>
      <c r="AD59" s="644"/>
      <c r="AE59" s="439">
        <f>+'PLAN.ADQ.'!E89</f>
        <v>0</v>
      </c>
      <c r="AF59" s="439">
        <f>+'PLAN.ADQ.'!F89</f>
        <v>21000</v>
      </c>
      <c r="AG59" s="469">
        <f t="shared" si="2"/>
        <v>21000</v>
      </c>
    </row>
    <row r="60" spans="1:33" ht="158.25" thickBot="1">
      <c r="A60" s="32"/>
      <c r="B60" s="472" t="s">
        <v>155</v>
      </c>
      <c r="C60" s="473" t="s">
        <v>680</v>
      </c>
      <c r="D60" s="453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3"/>
      <c r="P60" s="452"/>
      <c r="Q60" s="452"/>
      <c r="R60" s="452"/>
      <c r="S60" s="477"/>
      <c r="T60" s="477"/>
      <c r="U60" s="394"/>
      <c r="V60" s="394"/>
      <c r="W60" s="394"/>
      <c r="X60" s="394"/>
      <c r="Y60" s="394"/>
      <c r="Z60" s="394"/>
      <c r="AA60" s="456"/>
      <c r="AB60" s="397" t="s">
        <v>681</v>
      </c>
      <c r="AC60" s="345" t="s">
        <v>682</v>
      </c>
      <c r="AD60" s="397" t="s">
        <v>283</v>
      </c>
      <c r="AE60" s="455">
        <f>+'PLAN.ADQ.'!E90</f>
        <v>0</v>
      </c>
      <c r="AF60" s="455">
        <f>+'PLAN.ADQ.'!F90</f>
        <v>70000</v>
      </c>
      <c r="AG60" s="474">
        <f t="shared" si="2"/>
        <v>70000</v>
      </c>
    </row>
    <row r="61" spans="1:33" ht="14.25" thickBot="1" thickTop="1">
      <c r="A61" s="32"/>
      <c r="B61" s="634" t="s">
        <v>80</v>
      </c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6"/>
      <c r="AD61" s="319"/>
      <c r="AE61" s="320">
        <f>SUM(AE62:AE81)</f>
        <v>465000</v>
      </c>
      <c r="AF61" s="320">
        <f>SUM(AF62:AF81)</f>
        <v>2007500</v>
      </c>
      <c r="AG61" s="516">
        <f>SUM(AG62:AG81)</f>
        <v>2472500</v>
      </c>
    </row>
    <row r="62" spans="1:33" ht="181.5" thickBot="1" thickTop="1">
      <c r="A62" s="32"/>
      <c r="B62" s="499" t="s">
        <v>306</v>
      </c>
      <c r="C62" s="500" t="s">
        <v>552</v>
      </c>
      <c r="D62" s="501"/>
      <c r="E62" s="427"/>
      <c r="F62" s="427"/>
      <c r="G62" s="427"/>
      <c r="H62" s="427"/>
      <c r="I62" s="427"/>
      <c r="J62" s="428"/>
      <c r="K62" s="428"/>
      <c r="L62" s="428"/>
      <c r="M62" s="428"/>
      <c r="N62" s="428"/>
      <c r="O62" s="429"/>
      <c r="P62" s="502"/>
      <c r="Q62" s="430"/>
      <c r="R62" s="430"/>
      <c r="S62" s="430"/>
      <c r="T62" s="430"/>
      <c r="U62" s="428"/>
      <c r="V62" s="428"/>
      <c r="W62" s="428"/>
      <c r="X62" s="428"/>
      <c r="Y62" s="428"/>
      <c r="Z62" s="428"/>
      <c r="AA62" s="503"/>
      <c r="AB62" s="280" t="s">
        <v>554</v>
      </c>
      <c r="AC62" s="314" t="s">
        <v>555</v>
      </c>
      <c r="AD62" s="432" t="s">
        <v>285</v>
      </c>
      <c r="AE62" s="504">
        <f>+'PLAN.ADQ.'!E95</f>
        <v>30000</v>
      </c>
      <c r="AF62" s="434">
        <f>+'PLAN.ADQ.'!F95</f>
        <v>20000</v>
      </c>
      <c r="AG62" s="505">
        <f aca="true" t="shared" si="3" ref="AG62:AG81">+AE62+AF62</f>
        <v>50000</v>
      </c>
    </row>
    <row r="63" spans="1:33" ht="124.5" thickBot="1">
      <c r="A63" s="32"/>
      <c r="B63" s="449" t="s">
        <v>158</v>
      </c>
      <c r="C63" s="473" t="s">
        <v>556</v>
      </c>
      <c r="D63" s="453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3"/>
      <c r="P63" s="391"/>
      <c r="Q63" s="452"/>
      <c r="R63" s="452"/>
      <c r="S63" s="477"/>
      <c r="T63" s="477"/>
      <c r="U63" s="394"/>
      <c r="V63" s="394"/>
      <c r="W63" s="394"/>
      <c r="X63" s="394"/>
      <c r="Y63" s="394"/>
      <c r="Z63" s="394"/>
      <c r="AA63" s="456"/>
      <c r="AB63" s="397" t="s">
        <v>554</v>
      </c>
      <c r="AC63" s="397" t="s">
        <v>555</v>
      </c>
      <c r="AD63" s="397" t="s">
        <v>307</v>
      </c>
      <c r="AE63" s="506">
        <f>+'PLAN.ADQ.'!E96</f>
        <v>0</v>
      </c>
      <c r="AF63" s="455">
        <f>+'PLAN.ADQ.'!F96</f>
        <v>70000</v>
      </c>
      <c r="AG63" s="474">
        <f t="shared" si="3"/>
        <v>70000</v>
      </c>
    </row>
    <row r="64" spans="1:33" ht="79.5" thickBot="1">
      <c r="A64" s="32"/>
      <c r="B64" s="449" t="s">
        <v>159</v>
      </c>
      <c r="C64" s="473" t="s">
        <v>557</v>
      </c>
      <c r="D64" s="453"/>
      <c r="E64" s="392"/>
      <c r="F64" s="392"/>
      <c r="G64" s="392"/>
      <c r="H64" s="392"/>
      <c r="I64" s="392"/>
      <c r="J64" s="394"/>
      <c r="K64" s="394"/>
      <c r="L64" s="394"/>
      <c r="M64" s="394"/>
      <c r="N64" s="394"/>
      <c r="O64" s="507"/>
      <c r="P64" s="508"/>
      <c r="Q64" s="477"/>
      <c r="R64" s="477"/>
      <c r="S64" s="477"/>
      <c r="T64" s="477"/>
      <c r="U64" s="394"/>
      <c r="V64" s="392"/>
      <c r="W64" s="392"/>
      <c r="X64" s="392"/>
      <c r="Y64" s="392"/>
      <c r="Z64" s="392"/>
      <c r="AA64" s="453"/>
      <c r="AB64" s="397" t="s">
        <v>558</v>
      </c>
      <c r="AC64" s="397" t="s">
        <v>559</v>
      </c>
      <c r="AD64" s="397" t="s">
        <v>286</v>
      </c>
      <c r="AE64" s="506">
        <f>+'PLAN.ADQ.'!E97</f>
        <v>60000</v>
      </c>
      <c r="AF64" s="455">
        <f>+'PLAN.ADQ.'!F97</f>
        <v>70000</v>
      </c>
      <c r="AG64" s="474">
        <f t="shared" si="3"/>
        <v>130000</v>
      </c>
    </row>
    <row r="65" spans="1:33" ht="64.5" customHeight="1">
      <c r="A65" s="32"/>
      <c r="B65" s="660" t="s">
        <v>160</v>
      </c>
      <c r="C65" s="380" t="s">
        <v>298</v>
      </c>
      <c r="D65" s="517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524"/>
      <c r="P65" s="525"/>
      <c r="Q65" s="444"/>
      <c r="R65" s="444"/>
      <c r="S65" s="519"/>
      <c r="T65" s="519"/>
      <c r="U65" s="518"/>
      <c r="V65" s="518"/>
      <c r="W65" s="518"/>
      <c r="X65" s="518"/>
      <c r="Y65" s="518"/>
      <c r="Z65" s="518"/>
      <c r="AA65" s="526"/>
      <c r="AB65" s="378" t="s">
        <v>300</v>
      </c>
      <c r="AC65" s="378" t="s">
        <v>677</v>
      </c>
      <c r="AD65" s="643" t="s">
        <v>299</v>
      </c>
      <c r="AE65" s="520">
        <f>+'PLAN.ADQ.'!E39</f>
        <v>0</v>
      </c>
      <c r="AF65" s="521">
        <f>+'PLAN.ADQ.'!F39</f>
        <v>624799.2</v>
      </c>
      <c r="AG65" s="522">
        <f>+AE65+AF65</f>
        <v>624799.2</v>
      </c>
    </row>
    <row r="66" spans="1:33" ht="66.75" customHeight="1">
      <c r="A66" s="32"/>
      <c r="B66" s="661"/>
      <c r="C66" s="510" t="s">
        <v>560</v>
      </c>
      <c r="D66" s="511"/>
      <c r="E66" s="282"/>
      <c r="F66" s="282"/>
      <c r="G66" s="282"/>
      <c r="H66" s="282"/>
      <c r="I66" s="282"/>
      <c r="J66" s="352"/>
      <c r="K66" s="352"/>
      <c r="L66" s="352"/>
      <c r="M66" s="352"/>
      <c r="N66" s="352"/>
      <c r="O66" s="353"/>
      <c r="P66" s="290"/>
      <c r="Q66" s="281"/>
      <c r="R66" s="281"/>
      <c r="S66" s="281"/>
      <c r="T66" s="281"/>
      <c r="U66" s="282"/>
      <c r="V66" s="282"/>
      <c r="W66" s="282"/>
      <c r="X66" s="282"/>
      <c r="Y66" s="282"/>
      <c r="Z66" s="282"/>
      <c r="AA66" s="511"/>
      <c r="AB66" s="314" t="s">
        <v>103</v>
      </c>
      <c r="AC66" s="314" t="s">
        <v>561</v>
      </c>
      <c r="AD66" s="640"/>
      <c r="AE66" s="527">
        <f>+'PLAN.ADQ.'!E98</f>
        <v>50000</v>
      </c>
      <c r="AF66" s="463">
        <f>+'PLAN.ADQ.'!F98</f>
        <v>0</v>
      </c>
      <c r="AG66" s="292">
        <f t="shared" si="3"/>
        <v>50000</v>
      </c>
    </row>
    <row r="67" spans="1:33" ht="57" customHeight="1" thickBot="1">
      <c r="A67" s="32"/>
      <c r="B67" s="662"/>
      <c r="C67" s="404" t="s">
        <v>301</v>
      </c>
      <c r="D67" s="339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405"/>
      <c r="P67" s="339"/>
      <c r="Q67" s="468"/>
      <c r="R67" s="468"/>
      <c r="S67" s="437"/>
      <c r="T67" s="437"/>
      <c r="U67" s="341"/>
      <c r="V67" s="341"/>
      <c r="W67" s="341"/>
      <c r="X67" s="341"/>
      <c r="Y67" s="341"/>
      <c r="Z67" s="341"/>
      <c r="AA67" s="438"/>
      <c r="AB67" s="345" t="s">
        <v>90</v>
      </c>
      <c r="AC67" s="345" t="s">
        <v>555</v>
      </c>
      <c r="AD67" s="644"/>
      <c r="AE67" s="523">
        <f>+'PLAN.ADQ.'!E99</f>
        <v>0</v>
      </c>
      <c r="AF67" s="439">
        <f>+'PLAN.ADQ.'!F99</f>
        <v>39880.799999999996</v>
      </c>
      <c r="AG67" s="469">
        <f>+AE67+AF67</f>
        <v>39880.799999999996</v>
      </c>
    </row>
    <row r="68" spans="1:33" ht="60" customHeight="1">
      <c r="A68" s="32"/>
      <c r="B68" s="645" t="s">
        <v>161</v>
      </c>
      <c r="C68" s="380" t="s">
        <v>563</v>
      </c>
      <c r="D68" s="446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87"/>
      <c r="P68" s="360"/>
      <c r="Q68" s="464"/>
      <c r="R68" s="464"/>
      <c r="S68" s="464"/>
      <c r="T68" s="464"/>
      <c r="U68" s="361"/>
      <c r="V68" s="362"/>
      <c r="W68" s="362"/>
      <c r="X68" s="362"/>
      <c r="Y68" s="362"/>
      <c r="Z68" s="362"/>
      <c r="AA68" s="476"/>
      <c r="AB68" s="306" t="s">
        <v>564</v>
      </c>
      <c r="AC68" s="306" t="s">
        <v>565</v>
      </c>
      <c r="AD68" s="643" t="s">
        <v>308</v>
      </c>
      <c r="AE68" s="447">
        <f>+'PLAN.ADQ.'!E40</f>
        <v>0</v>
      </c>
      <c r="AF68" s="448">
        <f>+'PLAN.ADQ.'!F40</f>
        <v>60000</v>
      </c>
      <c r="AG68" s="308">
        <f t="shared" si="3"/>
        <v>60000</v>
      </c>
    </row>
    <row r="69" spans="1:33" ht="79.5" thickBot="1">
      <c r="A69" s="32"/>
      <c r="B69" s="650"/>
      <c r="C69" s="466" t="s">
        <v>566</v>
      </c>
      <c r="D69" s="467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405"/>
      <c r="P69" s="343"/>
      <c r="Q69" s="437"/>
      <c r="R69" s="437"/>
      <c r="S69" s="437"/>
      <c r="T69" s="437"/>
      <c r="U69" s="341"/>
      <c r="V69" s="340"/>
      <c r="W69" s="340"/>
      <c r="X69" s="340"/>
      <c r="Y69" s="340"/>
      <c r="Z69" s="340"/>
      <c r="AA69" s="467"/>
      <c r="AB69" s="345" t="s">
        <v>567</v>
      </c>
      <c r="AC69" s="345" t="s">
        <v>561</v>
      </c>
      <c r="AD69" s="644"/>
      <c r="AE69" s="346">
        <f>+'PLAN.ADQ.'!E101</f>
        <v>0</v>
      </c>
      <c r="AF69" s="439">
        <f>+'PLAN.ADQ.'!F101</f>
        <v>10000</v>
      </c>
      <c r="AG69" s="469">
        <f t="shared" si="3"/>
        <v>10000</v>
      </c>
    </row>
    <row r="70" spans="1:33" ht="102" thickBot="1">
      <c r="A70" s="32"/>
      <c r="B70" s="472" t="s">
        <v>162</v>
      </c>
      <c r="C70" s="473" t="s">
        <v>568</v>
      </c>
      <c r="D70" s="453"/>
      <c r="E70" s="392"/>
      <c r="F70" s="392"/>
      <c r="G70" s="392"/>
      <c r="H70" s="392"/>
      <c r="I70" s="392"/>
      <c r="J70" s="394"/>
      <c r="K70" s="394"/>
      <c r="L70" s="394"/>
      <c r="M70" s="394"/>
      <c r="N70" s="394"/>
      <c r="O70" s="507"/>
      <c r="P70" s="508"/>
      <c r="Q70" s="477"/>
      <c r="R70" s="477"/>
      <c r="S70" s="452"/>
      <c r="T70" s="452"/>
      <c r="U70" s="392"/>
      <c r="V70" s="392"/>
      <c r="W70" s="392"/>
      <c r="X70" s="392"/>
      <c r="Y70" s="392"/>
      <c r="Z70" s="392"/>
      <c r="AA70" s="453"/>
      <c r="AB70" s="397" t="s">
        <v>569</v>
      </c>
      <c r="AC70" s="397" t="s">
        <v>561</v>
      </c>
      <c r="AD70" s="397" t="s">
        <v>287</v>
      </c>
      <c r="AE70" s="457">
        <f>+'PLAN.ADQ.'!E102</f>
        <v>70000</v>
      </c>
      <c r="AF70" s="455">
        <f>+'PLAN.ADQ.'!F102</f>
        <v>30000</v>
      </c>
      <c r="AG70" s="474">
        <f t="shared" si="3"/>
        <v>100000</v>
      </c>
    </row>
    <row r="71" spans="1:33" ht="102" thickBot="1">
      <c r="A71" s="32"/>
      <c r="B71" s="472" t="s">
        <v>163</v>
      </c>
      <c r="C71" s="473" t="s">
        <v>309</v>
      </c>
      <c r="D71" s="453"/>
      <c r="E71" s="392"/>
      <c r="F71" s="392"/>
      <c r="G71" s="394"/>
      <c r="H71" s="394"/>
      <c r="I71" s="394"/>
      <c r="J71" s="394"/>
      <c r="K71" s="394"/>
      <c r="L71" s="394"/>
      <c r="M71" s="394"/>
      <c r="N71" s="394"/>
      <c r="O71" s="507"/>
      <c r="P71" s="391"/>
      <c r="Q71" s="452"/>
      <c r="R71" s="452"/>
      <c r="S71" s="452"/>
      <c r="T71" s="452"/>
      <c r="U71" s="392"/>
      <c r="V71" s="392"/>
      <c r="W71" s="392"/>
      <c r="X71" s="392"/>
      <c r="Y71" s="392"/>
      <c r="Z71" s="392"/>
      <c r="AA71" s="512"/>
      <c r="AB71" s="397" t="s">
        <v>591</v>
      </c>
      <c r="AC71" s="397" t="s">
        <v>561</v>
      </c>
      <c r="AD71" s="397" t="s">
        <v>310</v>
      </c>
      <c r="AE71" s="457">
        <f>+'PLAN.ADQ.'!E103</f>
        <v>40000</v>
      </c>
      <c r="AF71" s="455">
        <f>+'PLAN.ADQ.'!F103</f>
        <v>0</v>
      </c>
      <c r="AG71" s="474">
        <f t="shared" si="3"/>
        <v>40000</v>
      </c>
    </row>
    <row r="72" spans="1:33" ht="79.5" thickBot="1">
      <c r="A72" s="32"/>
      <c r="B72" s="472" t="s">
        <v>164</v>
      </c>
      <c r="C72" s="473" t="s">
        <v>311</v>
      </c>
      <c r="D72" s="453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3"/>
      <c r="P72" s="391"/>
      <c r="Q72" s="452"/>
      <c r="R72" s="452"/>
      <c r="S72" s="452"/>
      <c r="T72" s="452"/>
      <c r="U72" s="392"/>
      <c r="V72" s="394"/>
      <c r="W72" s="394"/>
      <c r="X72" s="394"/>
      <c r="Y72" s="394"/>
      <c r="Z72" s="394"/>
      <c r="AA72" s="513"/>
      <c r="AB72" s="397" t="s">
        <v>114</v>
      </c>
      <c r="AC72" s="397" t="s">
        <v>561</v>
      </c>
      <c r="AD72" s="397" t="s">
        <v>288</v>
      </c>
      <c r="AE72" s="457">
        <f>+'PLAN.ADQ.'!E104</f>
        <v>0</v>
      </c>
      <c r="AF72" s="455">
        <f>+'PLAN.ADQ.'!F104</f>
        <v>50000</v>
      </c>
      <c r="AG72" s="474">
        <f t="shared" si="3"/>
        <v>50000</v>
      </c>
    </row>
    <row r="73" spans="1:33" ht="68.25" thickBot="1">
      <c r="A73" s="32"/>
      <c r="B73" s="472" t="s">
        <v>165</v>
      </c>
      <c r="C73" s="473" t="s">
        <v>570</v>
      </c>
      <c r="D73" s="453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93"/>
      <c r="P73" s="391"/>
      <c r="Q73" s="452"/>
      <c r="R73" s="452"/>
      <c r="S73" s="452"/>
      <c r="T73" s="452"/>
      <c r="U73" s="392"/>
      <c r="V73" s="394"/>
      <c r="W73" s="394"/>
      <c r="X73" s="394"/>
      <c r="Y73" s="394"/>
      <c r="Z73" s="394"/>
      <c r="AA73" s="513"/>
      <c r="AB73" s="397" t="s">
        <v>571</v>
      </c>
      <c r="AC73" s="397" t="s">
        <v>572</v>
      </c>
      <c r="AD73" s="397" t="s">
        <v>289</v>
      </c>
      <c r="AE73" s="457">
        <f>+'PLAN.ADQ.'!E106</f>
        <v>0</v>
      </c>
      <c r="AF73" s="455">
        <f>+'PLAN.ADQ.'!F106</f>
        <v>100000</v>
      </c>
      <c r="AG73" s="474">
        <f t="shared" si="3"/>
        <v>100000</v>
      </c>
    </row>
    <row r="74" spans="1:33" ht="57" customHeight="1">
      <c r="A74" s="32"/>
      <c r="B74" s="645" t="s">
        <v>526</v>
      </c>
      <c r="C74" s="475" t="s">
        <v>573</v>
      </c>
      <c r="D74" s="20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316"/>
      <c r="P74" s="317"/>
      <c r="Q74" s="318"/>
      <c r="R74" s="318"/>
      <c r="S74" s="421"/>
      <c r="T74" s="421"/>
      <c r="U74" s="383"/>
      <c r="V74" s="383"/>
      <c r="W74" s="383"/>
      <c r="X74" s="383"/>
      <c r="Y74" s="383"/>
      <c r="Z74" s="383"/>
      <c r="AA74" s="514"/>
      <c r="AB74" s="271" t="s">
        <v>575</v>
      </c>
      <c r="AC74" s="378" t="s">
        <v>574</v>
      </c>
      <c r="AD74" s="643" t="s">
        <v>312</v>
      </c>
      <c r="AE74" s="515">
        <f>+'PLAN.ADQ.'!E42</f>
        <v>0</v>
      </c>
      <c r="AF74" s="442">
        <f>+'PLAN.ADQ.'!F42</f>
        <v>441950.39999999997</v>
      </c>
      <c r="AG74" s="321">
        <f t="shared" si="3"/>
        <v>441950.39999999997</v>
      </c>
    </row>
    <row r="75" spans="1:33" ht="67.5">
      <c r="A75" s="32"/>
      <c r="B75" s="646"/>
      <c r="C75" s="509" t="s">
        <v>576</v>
      </c>
      <c r="D75" s="283"/>
      <c r="E75" s="270"/>
      <c r="F75" s="270"/>
      <c r="G75" s="270"/>
      <c r="H75" s="270"/>
      <c r="I75" s="270"/>
      <c r="J75" s="352"/>
      <c r="K75" s="352"/>
      <c r="L75" s="352"/>
      <c r="M75" s="352"/>
      <c r="N75" s="352"/>
      <c r="O75" s="353"/>
      <c r="P75" s="290"/>
      <c r="Q75" s="281"/>
      <c r="R75" s="281"/>
      <c r="S75" s="281"/>
      <c r="T75" s="281"/>
      <c r="U75" s="282"/>
      <c r="V75" s="282"/>
      <c r="W75" s="282"/>
      <c r="X75" s="282"/>
      <c r="Y75" s="282"/>
      <c r="Z75" s="282"/>
      <c r="AA75" s="283"/>
      <c r="AB75" s="259" t="s">
        <v>103</v>
      </c>
      <c r="AC75" s="259" t="s">
        <v>577</v>
      </c>
      <c r="AD75" s="640"/>
      <c r="AE75" s="265">
        <f>+'PLAN.ADQ.'!E107</f>
        <v>140000</v>
      </c>
      <c r="AF75" s="284">
        <f>+'PLAN.ADQ.'!F107</f>
        <v>0</v>
      </c>
      <c r="AG75" s="267">
        <f t="shared" si="3"/>
        <v>140000</v>
      </c>
    </row>
    <row r="76" spans="1:33" ht="57" thickBot="1">
      <c r="A76" s="32"/>
      <c r="B76" s="646"/>
      <c r="C76" s="291" t="s">
        <v>302</v>
      </c>
      <c r="D76" s="511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315"/>
      <c r="P76" s="290"/>
      <c r="Q76" s="281"/>
      <c r="R76" s="281"/>
      <c r="S76" s="418"/>
      <c r="T76" s="418"/>
      <c r="U76" s="352"/>
      <c r="V76" s="352"/>
      <c r="W76" s="352"/>
      <c r="X76" s="352"/>
      <c r="Y76" s="352"/>
      <c r="Z76" s="352"/>
      <c r="AA76" s="462"/>
      <c r="AB76" s="314" t="s">
        <v>90</v>
      </c>
      <c r="AC76" s="314" t="s">
        <v>110</v>
      </c>
      <c r="AD76" s="644"/>
      <c r="AE76" s="356">
        <f>+'PLAN.ADQ.'!E108</f>
        <v>0</v>
      </c>
      <c r="AF76" s="463">
        <f>+'PLAN.ADQ.'!F108</f>
        <v>28209.6</v>
      </c>
      <c r="AG76" s="292">
        <f t="shared" si="3"/>
        <v>28209.6</v>
      </c>
    </row>
    <row r="77" spans="1:33" ht="169.5" thickBot="1">
      <c r="A77" s="32"/>
      <c r="B77" s="472" t="s">
        <v>635</v>
      </c>
      <c r="C77" s="473" t="s">
        <v>641</v>
      </c>
      <c r="D77" s="453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453"/>
      <c r="P77" s="391"/>
      <c r="Q77" s="452"/>
      <c r="R77" s="452"/>
      <c r="S77" s="452"/>
      <c r="T77" s="452"/>
      <c r="U77" s="392"/>
      <c r="V77" s="394"/>
      <c r="W77" s="394"/>
      <c r="X77" s="394"/>
      <c r="Y77" s="394"/>
      <c r="Z77" s="394"/>
      <c r="AA77" s="456"/>
      <c r="AB77" s="397" t="s">
        <v>679</v>
      </c>
      <c r="AC77" s="397" t="s">
        <v>578</v>
      </c>
      <c r="AD77" s="397" t="s">
        <v>316</v>
      </c>
      <c r="AE77" s="457">
        <f>+'PLAN.ADQ.'!E109</f>
        <v>0</v>
      </c>
      <c r="AF77" s="455">
        <f>+'PLAN.ADQ.'!F109</f>
        <v>125000</v>
      </c>
      <c r="AG77" s="474">
        <f t="shared" si="3"/>
        <v>125000</v>
      </c>
    </row>
    <row r="78" spans="1:33" ht="67.5">
      <c r="A78" s="32"/>
      <c r="B78" s="646" t="s">
        <v>636</v>
      </c>
      <c r="C78" s="551" t="s">
        <v>642</v>
      </c>
      <c r="D78" s="20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08"/>
      <c r="P78" s="317"/>
      <c r="Q78" s="318"/>
      <c r="R78" s="318"/>
      <c r="S78" s="421"/>
      <c r="T78" s="421"/>
      <c r="U78" s="383"/>
      <c r="V78" s="383"/>
      <c r="W78" s="383"/>
      <c r="X78" s="383"/>
      <c r="Y78" s="383"/>
      <c r="Z78" s="383"/>
      <c r="AA78" s="471"/>
      <c r="AB78" s="271" t="s">
        <v>575</v>
      </c>
      <c r="AC78" s="271" t="s">
        <v>574</v>
      </c>
      <c r="AD78" s="640" t="s">
        <v>303</v>
      </c>
      <c r="AE78" s="441">
        <f>+'PLAN.ADQ.'!E43</f>
        <v>0</v>
      </c>
      <c r="AF78" s="442">
        <f>+'PLAN.ADQ.'!F43</f>
        <v>293900.39999999997</v>
      </c>
      <c r="AG78" s="321">
        <f>+AE78+AF78</f>
        <v>293900.39999999997</v>
      </c>
    </row>
    <row r="79" spans="1:33" ht="67.5">
      <c r="A79" s="32"/>
      <c r="B79" s="646"/>
      <c r="C79" s="268" t="s">
        <v>643</v>
      </c>
      <c r="D79" s="283"/>
      <c r="E79" s="270"/>
      <c r="F79" s="270"/>
      <c r="G79" s="270"/>
      <c r="H79" s="270"/>
      <c r="I79" s="270"/>
      <c r="J79" s="331"/>
      <c r="K79" s="331"/>
      <c r="L79" s="331"/>
      <c r="M79" s="331"/>
      <c r="N79" s="331"/>
      <c r="O79" s="420"/>
      <c r="P79" s="269"/>
      <c r="Q79" s="287"/>
      <c r="R79" s="287"/>
      <c r="S79" s="287"/>
      <c r="T79" s="287"/>
      <c r="U79" s="270"/>
      <c r="V79" s="270"/>
      <c r="W79" s="270"/>
      <c r="X79" s="270"/>
      <c r="Y79" s="270"/>
      <c r="Z79" s="270"/>
      <c r="AA79" s="283"/>
      <c r="AB79" s="259" t="s">
        <v>103</v>
      </c>
      <c r="AC79" s="259" t="s">
        <v>577</v>
      </c>
      <c r="AD79" s="640"/>
      <c r="AE79" s="265">
        <f>+'PLAN.ADQ.'!E110</f>
        <v>25000</v>
      </c>
      <c r="AF79" s="266">
        <f>+'PLAN.ADQ.'!F110</f>
        <v>0</v>
      </c>
      <c r="AG79" s="267">
        <f>+AE79+AF79</f>
        <v>25000</v>
      </c>
    </row>
    <row r="80" spans="1:33" ht="57" thickBot="1">
      <c r="A80" s="32"/>
      <c r="B80" s="646"/>
      <c r="C80" s="510" t="s">
        <v>644</v>
      </c>
      <c r="D80" s="20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08"/>
      <c r="P80" s="317"/>
      <c r="Q80" s="318"/>
      <c r="R80" s="318"/>
      <c r="S80" s="421"/>
      <c r="T80" s="421"/>
      <c r="U80" s="383"/>
      <c r="V80" s="383"/>
      <c r="W80" s="383"/>
      <c r="X80" s="383"/>
      <c r="Y80" s="383"/>
      <c r="Z80" s="383"/>
      <c r="AA80" s="471"/>
      <c r="AB80" s="314" t="s">
        <v>90</v>
      </c>
      <c r="AC80" s="314" t="s">
        <v>110</v>
      </c>
      <c r="AD80" s="644"/>
      <c r="AE80" s="441">
        <f>+'PLAN.ADQ.'!E111</f>
        <v>0</v>
      </c>
      <c r="AF80" s="442">
        <f>+'PLAN.ADQ.'!F111</f>
        <v>18759.6</v>
      </c>
      <c r="AG80" s="321">
        <f>+AE80+AF80</f>
        <v>18759.6</v>
      </c>
    </row>
    <row r="81" spans="1:33" ht="113.25" thickBot="1">
      <c r="A81" s="32"/>
      <c r="B81" s="528" t="s">
        <v>637</v>
      </c>
      <c r="C81" s="529" t="s">
        <v>645</v>
      </c>
      <c r="D81" s="530"/>
      <c r="E81" s="531"/>
      <c r="F81" s="531"/>
      <c r="G81" s="532"/>
      <c r="H81" s="532"/>
      <c r="I81" s="532"/>
      <c r="J81" s="532"/>
      <c r="K81" s="532"/>
      <c r="L81" s="532"/>
      <c r="M81" s="532"/>
      <c r="N81" s="532"/>
      <c r="O81" s="533"/>
      <c r="P81" s="534"/>
      <c r="Q81" s="535"/>
      <c r="R81" s="535"/>
      <c r="S81" s="535"/>
      <c r="T81" s="535"/>
      <c r="U81" s="532"/>
      <c r="V81" s="532"/>
      <c r="W81" s="532"/>
      <c r="X81" s="532"/>
      <c r="Y81" s="532"/>
      <c r="Z81" s="532"/>
      <c r="AA81" s="533"/>
      <c r="AB81" s="536" t="s">
        <v>313</v>
      </c>
      <c r="AC81" s="536" t="s">
        <v>579</v>
      </c>
      <c r="AD81" s="536" t="s">
        <v>290</v>
      </c>
      <c r="AE81" s="537">
        <f>+'PLAN.ADQ.'!E112</f>
        <v>50000</v>
      </c>
      <c r="AF81" s="538">
        <f>+'PLAN.ADQ.'!F112</f>
        <v>25000</v>
      </c>
      <c r="AG81" s="539">
        <f t="shared" si="3"/>
        <v>75000</v>
      </c>
    </row>
    <row r="82" spans="1:33" ht="14.25" thickBot="1" thickTop="1">
      <c r="A82" s="32"/>
      <c r="B82" s="647" t="s">
        <v>31</v>
      </c>
      <c r="C82" s="648"/>
      <c r="D82" s="648"/>
      <c r="E82" s="648"/>
      <c r="F82" s="648"/>
      <c r="G82" s="648"/>
      <c r="H82" s="648"/>
      <c r="I82" s="648"/>
      <c r="J82" s="648"/>
      <c r="K82" s="648"/>
      <c r="L82" s="648"/>
      <c r="M82" s="648"/>
      <c r="N82" s="648"/>
      <c r="O82" s="648"/>
      <c r="P82" s="648"/>
      <c r="Q82" s="648"/>
      <c r="R82" s="648"/>
      <c r="S82" s="648"/>
      <c r="T82" s="648"/>
      <c r="U82" s="648"/>
      <c r="V82" s="648"/>
      <c r="W82" s="648"/>
      <c r="X82" s="648"/>
      <c r="Y82" s="648"/>
      <c r="Z82" s="648"/>
      <c r="AA82" s="648"/>
      <c r="AB82" s="648"/>
      <c r="AC82" s="648"/>
      <c r="AD82" s="649"/>
      <c r="AE82" s="322">
        <f>SUM(AE83:AE93)</f>
        <v>304400</v>
      </c>
      <c r="AF82" s="312">
        <f>SUM(AF83:AF93)</f>
        <v>201600</v>
      </c>
      <c r="AG82" s="313">
        <f>SUM(AG83:AG93)</f>
        <v>506000</v>
      </c>
    </row>
    <row r="83" spans="1:33" ht="79.5" thickTop="1">
      <c r="A83" s="32"/>
      <c r="B83" s="656" t="s">
        <v>32</v>
      </c>
      <c r="C83" s="478" t="s">
        <v>683</v>
      </c>
      <c r="D83" s="418"/>
      <c r="E83" s="352"/>
      <c r="F83" s="352"/>
      <c r="G83" s="349"/>
      <c r="H83" s="349"/>
      <c r="I83" s="349"/>
      <c r="J83" s="276"/>
      <c r="K83" s="276"/>
      <c r="L83" s="276"/>
      <c r="M83" s="276"/>
      <c r="N83" s="276"/>
      <c r="O83" s="293"/>
      <c r="P83" s="263"/>
      <c r="Q83" s="294"/>
      <c r="R83" s="294"/>
      <c r="S83" s="294"/>
      <c r="T83" s="294"/>
      <c r="U83" s="276"/>
      <c r="V83" s="276"/>
      <c r="W83" s="276"/>
      <c r="X83" s="276"/>
      <c r="Y83" s="276"/>
      <c r="Z83" s="276"/>
      <c r="AA83" s="293"/>
      <c r="AB83" s="275" t="s">
        <v>686</v>
      </c>
      <c r="AC83" s="259" t="s">
        <v>15</v>
      </c>
      <c r="AD83" s="639" t="s">
        <v>284</v>
      </c>
      <c r="AE83" s="479">
        <f>+'PLAN.ADQ.'!E23</f>
        <v>58800</v>
      </c>
      <c r="AF83" s="479">
        <f>+'PLAN.ADQ.'!F23</f>
        <v>0</v>
      </c>
      <c r="AG83" s="295">
        <f>+AE83+AF83</f>
        <v>58800</v>
      </c>
    </row>
    <row r="84" spans="1:33" ht="56.25">
      <c r="A84" s="32"/>
      <c r="B84" s="646"/>
      <c r="C84" s="268" t="s">
        <v>684</v>
      </c>
      <c r="D84" s="418"/>
      <c r="E84" s="352"/>
      <c r="F84" s="352"/>
      <c r="G84" s="331"/>
      <c r="H84" s="331"/>
      <c r="I84" s="331"/>
      <c r="J84" s="270"/>
      <c r="K84" s="270"/>
      <c r="L84" s="270"/>
      <c r="M84" s="270"/>
      <c r="N84" s="270"/>
      <c r="O84" s="283"/>
      <c r="P84" s="269"/>
      <c r="Q84" s="287"/>
      <c r="R84" s="287"/>
      <c r="S84" s="287"/>
      <c r="T84" s="287"/>
      <c r="U84" s="270"/>
      <c r="V84" s="270"/>
      <c r="W84" s="270"/>
      <c r="X84" s="270"/>
      <c r="Y84" s="270"/>
      <c r="Z84" s="270"/>
      <c r="AA84" s="283"/>
      <c r="AB84" s="275" t="s">
        <v>13</v>
      </c>
      <c r="AC84" s="259" t="s">
        <v>15</v>
      </c>
      <c r="AD84" s="640"/>
      <c r="AE84" s="479">
        <f>+'PLAN.ADQ.'!E24</f>
        <v>17000</v>
      </c>
      <c r="AF84" s="479">
        <f>+'PLAN.ADQ.'!F24</f>
        <v>0</v>
      </c>
      <c r="AG84" s="295">
        <f>+AE84+AF84</f>
        <v>17000</v>
      </c>
    </row>
    <row r="85" spans="1:33" ht="56.25">
      <c r="A85" s="32"/>
      <c r="B85" s="646"/>
      <c r="C85" s="268" t="s">
        <v>685</v>
      </c>
      <c r="D85" s="417"/>
      <c r="E85" s="331"/>
      <c r="F85" s="331"/>
      <c r="G85" s="331"/>
      <c r="H85" s="331"/>
      <c r="I85" s="331"/>
      <c r="J85" s="270"/>
      <c r="K85" s="270"/>
      <c r="L85" s="270"/>
      <c r="M85" s="270"/>
      <c r="N85" s="270"/>
      <c r="O85" s="273"/>
      <c r="P85" s="269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3"/>
      <c r="AB85" s="275" t="s">
        <v>14</v>
      </c>
      <c r="AC85" s="259" t="s">
        <v>15</v>
      </c>
      <c r="AD85" s="640"/>
      <c r="AE85" s="479">
        <f>+'PLAN.ADQ.'!E25</f>
        <v>27000</v>
      </c>
      <c r="AF85" s="479">
        <f>+'PLAN.ADQ.'!F25</f>
        <v>0</v>
      </c>
      <c r="AG85" s="295">
        <f>+AE85+AF85</f>
        <v>27000</v>
      </c>
    </row>
    <row r="86" spans="1:33" ht="67.5">
      <c r="A86" s="32"/>
      <c r="B86" s="646"/>
      <c r="C86" s="480" t="s">
        <v>16</v>
      </c>
      <c r="D86" s="418"/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3"/>
      <c r="P86" s="354"/>
      <c r="Q86" s="352"/>
      <c r="R86" s="352"/>
      <c r="S86" s="352"/>
      <c r="T86" s="352"/>
      <c r="U86" s="352"/>
      <c r="V86" s="352"/>
      <c r="W86" s="352"/>
      <c r="X86" s="352"/>
      <c r="Y86" s="352"/>
      <c r="Z86" s="352"/>
      <c r="AA86" s="353"/>
      <c r="AB86" s="275" t="s">
        <v>75</v>
      </c>
      <c r="AC86" s="259" t="s">
        <v>76</v>
      </c>
      <c r="AD86" s="640"/>
      <c r="AE86" s="459">
        <f>+'PLAN.ADQ.'!E114</f>
        <v>42000</v>
      </c>
      <c r="AF86" s="459">
        <f>+'PLAN.ADQ.'!F114</f>
        <v>42000</v>
      </c>
      <c r="AG86" s="295">
        <f>+AE86+AF86</f>
        <v>84000</v>
      </c>
    </row>
    <row r="87" spans="1:33" ht="56.25">
      <c r="A87" s="32"/>
      <c r="B87" s="646"/>
      <c r="C87" s="481" t="s">
        <v>17</v>
      </c>
      <c r="D87" s="418"/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3"/>
      <c r="P87" s="354"/>
      <c r="Q87" s="352"/>
      <c r="R87" s="352"/>
      <c r="S87" s="352"/>
      <c r="T87" s="352"/>
      <c r="U87" s="352"/>
      <c r="V87" s="352"/>
      <c r="W87" s="352"/>
      <c r="X87" s="352"/>
      <c r="Y87" s="352"/>
      <c r="Z87" s="352"/>
      <c r="AA87" s="353"/>
      <c r="AB87" s="275" t="s">
        <v>24</v>
      </c>
      <c r="AC87" s="259" t="s">
        <v>76</v>
      </c>
      <c r="AD87" s="640"/>
      <c r="AE87" s="459">
        <f>+'PLAN.ADQ.'!E115</f>
        <v>24000</v>
      </c>
      <c r="AF87" s="459">
        <f>+'PLAN.ADQ.'!F115</f>
        <v>24000</v>
      </c>
      <c r="AG87" s="295">
        <f aca="true" t="shared" si="4" ref="AG87:AG93">+AE87+AF87</f>
        <v>48000</v>
      </c>
    </row>
    <row r="88" spans="1:33" ht="67.5">
      <c r="A88" s="32"/>
      <c r="B88" s="646"/>
      <c r="C88" s="481" t="s">
        <v>18</v>
      </c>
      <c r="D88" s="418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3"/>
      <c r="P88" s="354"/>
      <c r="Q88" s="352"/>
      <c r="R88" s="352"/>
      <c r="S88" s="352"/>
      <c r="T88" s="352"/>
      <c r="U88" s="352"/>
      <c r="V88" s="352"/>
      <c r="W88" s="352"/>
      <c r="X88" s="352"/>
      <c r="Y88" s="352"/>
      <c r="Z88" s="352"/>
      <c r="AA88" s="353"/>
      <c r="AB88" s="275" t="s">
        <v>25</v>
      </c>
      <c r="AC88" s="259" t="s">
        <v>76</v>
      </c>
      <c r="AD88" s="640"/>
      <c r="AE88" s="459">
        <f>+'PLAN.ADQ.'!E116</f>
        <v>24000</v>
      </c>
      <c r="AF88" s="459">
        <f>+'PLAN.ADQ.'!F116</f>
        <v>24000</v>
      </c>
      <c r="AG88" s="295">
        <f t="shared" si="4"/>
        <v>48000</v>
      </c>
    </row>
    <row r="89" spans="1:33" ht="67.5">
      <c r="A89" s="32"/>
      <c r="B89" s="646"/>
      <c r="C89" s="481" t="s">
        <v>19</v>
      </c>
      <c r="D89" s="418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3"/>
      <c r="P89" s="354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3"/>
      <c r="AB89" s="275" t="s">
        <v>26</v>
      </c>
      <c r="AC89" s="259" t="s">
        <v>76</v>
      </c>
      <c r="AD89" s="640"/>
      <c r="AE89" s="459">
        <f>+'PLAN.ADQ.'!E117</f>
        <v>24000</v>
      </c>
      <c r="AF89" s="459">
        <f>+'PLAN.ADQ.'!F117</f>
        <v>24000</v>
      </c>
      <c r="AG89" s="295">
        <f t="shared" si="4"/>
        <v>48000</v>
      </c>
    </row>
    <row r="90" spans="1:33" ht="56.25">
      <c r="A90" s="32"/>
      <c r="B90" s="646"/>
      <c r="C90" s="481" t="s">
        <v>20</v>
      </c>
      <c r="D90" s="418"/>
      <c r="E90" s="352"/>
      <c r="F90" s="352"/>
      <c r="G90" s="352"/>
      <c r="H90" s="352"/>
      <c r="I90" s="352"/>
      <c r="J90" s="352"/>
      <c r="K90" s="352"/>
      <c r="L90" s="352"/>
      <c r="M90" s="352"/>
      <c r="N90" s="352"/>
      <c r="O90" s="353"/>
      <c r="P90" s="354"/>
      <c r="Q90" s="352"/>
      <c r="R90" s="352"/>
      <c r="S90" s="352"/>
      <c r="T90" s="352"/>
      <c r="U90" s="352"/>
      <c r="V90" s="352"/>
      <c r="W90" s="352"/>
      <c r="X90" s="352"/>
      <c r="Y90" s="352"/>
      <c r="Z90" s="352"/>
      <c r="AA90" s="353"/>
      <c r="AB90" s="275" t="s">
        <v>27</v>
      </c>
      <c r="AC90" s="259" t="s">
        <v>76</v>
      </c>
      <c r="AD90" s="640"/>
      <c r="AE90" s="459">
        <f>+'PLAN.ADQ.'!E118</f>
        <v>24000</v>
      </c>
      <c r="AF90" s="459">
        <f>+'PLAN.ADQ.'!F118</f>
        <v>24000</v>
      </c>
      <c r="AG90" s="295">
        <f t="shared" si="4"/>
        <v>48000</v>
      </c>
    </row>
    <row r="91" spans="1:33" ht="67.5">
      <c r="A91" s="32"/>
      <c r="B91" s="646"/>
      <c r="C91" s="481" t="s">
        <v>21</v>
      </c>
      <c r="D91" s="418"/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3"/>
      <c r="P91" s="354"/>
      <c r="Q91" s="352"/>
      <c r="R91" s="352"/>
      <c r="S91" s="352"/>
      <c r="T91" s="352"/>
      <c r="U91" s="352"/>
      <c r="V91" s="352"/>
      <c r="W91" s="352"/>
      <c r="X91" s="352"/>
      <c r="Y91" s="352"/>
      <c r="Z91" s="352"/>
      <c r="AA91" s="353"/>
      <c r="AB91" s="275" t="s">
        <v>28</v>
      </c>
      <c r="AC91" s="259" t="s">
        <v>76</v>
      </c>
      <c r="AD91" s="640"/>
      <c r="AE91" s="459">
        <f>+'PLAN.ADQ.'!E119</f>
        <v>9600</v>
      </c>
      <c r="AF91" s="459">
        <f>+'PLAN.ADQ.'!F119</f>
        <v>9600</v>
      </c>
      <c r="AG91" s="295">
        <f t="shared" si="4"/>
        <v>19200</v>
      </c>
    </row>
    <row r="92" spans="1:33" ht="67.5">
      <c r="A92" s="32"/>
      <c r="B92" s="646"/>
      <c r="C92" s="481" t="s">
        <v>22</v>
      </c>
      <c r="D92" s="418"/>
      <c r="E92" s="352"/>
      <c r="F92" s="352"/>
      <c r="G92" s="352"/>
      <c r="H92" s="352"/>
      <c r="I92" s="352"/>
      <c r="J92" s="352"/>
      <c r="K92" s="352"/>
      <c r="L92" s="352"/>
      <c r="M92" s="352"/>
      <c r="N92" s="352"/>
      <c r="O92" s="353"/>
      <c r="P92" s="354"/>
      <c r="Q92" s="352"/>
      <c r="R92" s="352"/>
      <c r="S92" s="352"/>
      <c r="T92" s="352"/>
      <c r="U92" s="352"/>
      <c r="V92" s="352"/>
      <c r="W92" s="352"/>
      <c r="X92" s="352"/>
      <c r="Y92" s="352"/>
      <c r="Z92" s="352"/>
      <c r="AA92" s="353"/>
      <c r="AB92" s="275" t="s">
        <v>314</v>
      </c>
      <c r="AC92" s="259" t="s">
        <v>76</v>
      </c>
      <c r="AD92" s="640"/>
      <c r="AE92" s="459">
        <f>+'PLAN.ADQ.'!E120</f>
        <v>30000</v>
      </c>
      <c r="AF92" s="459">
        <f>+'PLAN.ADQ.'!F120</f>
        <v>30000</v>
      </c>
      <c r="AG92" s="295">
        <f t="shared" si="4"/>
        <v>60000</v>
      </c>
    </row>
    <row r="93" spans="1:33" ht="57" thickBot="1">
      <c r="A93" s="32"/>
      <c r="B93" s="657"/>
      <c r="C93" s="481" t="s">
        <v>23</v>
      </c>
      <c r="D93" s="418"/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3"/>
      <c r="P93" s="354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3"/>
      <c r="AB93" s="275" t="s">
        <v>29</v>
      </c>
      <c r="AC93" s="259" t="s">
        <v>76</v>
      </c>
      <c r="AD93" s="658"/>
      <c r="AE93" s="459">
        <f>+'PLAN.ADQ.'!E121</f>
        <v>24000</v>
      </c>
      <c r="AF93" s="459">
        <f>+'PLAN.ADQ.'!F121</f>
        <v>24000</v>
      </c>
      <c r="AG93" s="295">
        <f t="shared" si="4"/>
        <v>48000</v>
      </c>
    </row>
    <row r="94" spans="1:33" ht="14.25" thickBot="1" thickTop="1">
      <c r="A94" s="32"/>
      <c r="B94" s="647" t="s">
        <v>33</v>
      </c>
      <c r="C94" s="648"/>
      <c r="D94" s="648"/>
      <c r="E94" s="648"/>
      <c r="F94" s="648"/>
      <c r="G94" s="648"/>
      <c r="H94" s="648"/>
      <c r="I94" s="648"/>
      <c r="J94" s="648"/>
      <c r="K94" s="648"/>
      <c r="L94" s="648"/>
      <c r="M94" s="648"/>
      <c r="N94" s="648"/>
      <c r="O94" s="648"/>
      <c r="P94" s="648"/>
      <c r="Q94" s="648"/>
      <c r="R94" s="648"/>
      <c r="S94" s="648"/>
      <c r="T94" s="648"/>
      <c r="U94" s="648"/>
      <c r="V94" s="648"/>
      <c r="W94" s="648"/>
      <c r="X94" s="648"/>
      <c r="Y94" s="648"/>
      <c r="Z94" s="648"/>
      <c r="AA94" s="648"/>
      <c r="AB94" s="648"/>
      <c r="AC94" s="648"/>
      <c r="AD94" s="649"/>
      <c r="AE94" s="322">
        <f>SUM(AE95)</f>
        <v>26000</v>
      </c>
      <c r="AF94" s="312">
        <f>SUM(AF95)</f>
        <v>26000</v>
      </c>
      <c r="AG94" s="313">
        <f>SUM(AG95)</f>
        <v>52000</v>
      </c>
    </row>
    <row r="95" spans="1:33" ht="91.5" thickBot="1" thickTop="1">
      <c r="A95" s="32"/>
      <c r="B95" s="482" t="s">
        <v>34</v>
      </c>
      <c r="C95" s="483" t="s">
        <v>30</v>
      </c>
      <c r="D95" s="484"/>
      <c r="E95" s="485"/>
      <c r="F95" s="485"/>
      <c r="G95" s="485"/>
      <c r="H95" s="485"/>
      <c r="I95" s="485"/>
      <c r="J95" s="485"/>
      <c r="K95" s="485"/>
      <c r="L95" s="485"/>
      <c r="M95" s="486"/>
      <c r="N95" s="486"/>
      <c r="O95" s="487"/>
      <c r="P95" s="488"/>
      <c r="Q95" s="485"/>
      <c r="R95" s="485"/>
      <c r="S95" s="485"/>
      <c r="T95" s="485"/>
      <c r="U95" s="485"/>
      <c r="V95" s="485"/>
      <c r="W95" s="485"/>
      <c r="X95" s="485"/>
      <c r="Y95" s="486"/>
      <c r="Z95" s="486"/>
      <c r="AA95" s="489"/>
      <c r="AB95" s="490" t="s">
        <v>35</v>
      </c>
      <c r="AC95" s="490" t="s">
        <v>315</v>
      </c>
      <c r="AD95" s="490" t="s">
        <v>36</v>
      </c>
      <c r="AE95" s="492">
        <f>+'PLAN.ADQ.'!E123</f>
        <v>26000</v>
      </c>
      <c r="AF95" s="492">
        <f>+'PLAN.ADQ.'!F123</f>
        <v>26000</v>
      </c>
      <c r="AG95" s="491">
        <f>+AE95+AF95</f>
        <v>52000</v>
      </c>
    </row>
    <row r="96" spans="1:33" ht="14.25" thickBot="1" thickTop="1">
      <c r="A96" s="32"/>
      <c r="B96" s="647" t="s">
        <v>37</v>
      </c>
      <c r="C96" s="648"/>
      <c r="D96" s="648"/>
      <c r="E96" s="648"/>
      <c r="F96" s="648"/>
      <c r="G96" s="648"/>
      <c r="H96" s="648"/>
      <c r="I96" s="648"/>
      <c r="J96" s="648"/>
      <c r="K96" s="648"/>
      <c r="L96" s="648"/>
      <c r="M96" s="648"/>
      <c r="N96" s="648"/>
      <c r="O96" s="648"/>
      <c r="P96" s="648"/>
      <c r="Q96" s="648"/>
      <c r="R96" s="648"/>
      <c r="S96" s="648"/>
      <c r="T96" s="648"/>
      <c r="U96" s="648"/>
      <c r="V96" s="648"/>
      <c r="W96" s="648"/>
      <c r="X96" s="648"/>
      <c r="Y96" s="648"/>
      <c r="Z96" s="648"/>
      <c r="AA96" s="648"/>
      <c r="AB96" s="648"/>
      <c r="AC96" s="648"/>
      <c r="AD96" s="649"/>
      <c r="AE96" s="322">
        <f>SUM(AE97:AE98)</f>
        <v>150000</v>
      </c>
      <c r="AF96" s="312">
        <f>SUM(AF97:AF98)</f>
        <v>20000</v>
      </c>
      <c r="AG96" s="313">
        <f>SUM(AG97)</f>
        <v>20000</v>
      </c>
    </row>
    <row r="97" spans="1:33" ht="57" thickTop="1">
      <c r="A97" s="32"/>
      <c r="B97" s="685" t="s">
        <v>38</v>
      </c>
      <c r="C97" s="280" t="s">
        <v>659</v>
      </c>
      <c r="D97" s="511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315"/>
      <c r="P97" s="290"/>
      <c r="Q97" s="282"/>
      <c r="R97" s="282"/>
      <c r="S97" s="352"/>
      <c r="T97" s="352"/>
      <c r="U97" s="352"/>
      <c r="V97" s="352"/>
      <c r="W97" s="352"/>
      <c r="X97" s="352"/>
      <c r="Y97" s="282"/>
      <c r="Z97" s="282"/>
      <c r="AA97" s="315"/>
      <c r="AB97" s="271" t="s">
        <v>660</v>
      </c>
      <c r="AC97" s="271" t="s">
        <v>85</v>
      </c>
      <c r="AD97" s="639" t="s">
        <v>322</v>
      </c>
      <c r="AE97" s="442">
        <f>+'PLAN.ADQ.'!E125</f>
        <v>0</v>
      </c>
      <c r="AF97" s="442">
        <f>+'PLAN.ADQ.'!F125</f>
        <v>20000</v>
      </c>
      <c r="AG97" s="323">
        <f>+AE97+AF97</f>
        <v>20000</v>
      </c>
    </row>
    <row r="98" spans="1:33" ht="68.25" thickBot="1">
      <c r="A98" s="32"/>
      <c r="B98" s="686"/>
      <c r="C98" s="543" t="s">
        <v>319</v>
      </c>
      <c r="D98" s="549"/>
      <c r="E98" s="547"/>
      <c r="F98" s="547"/>
      <c r="G98" s="547"/>
      <c r="H98" s="547"/>
      <c r="I98" s="547"/>
      <c r="J98" s="547"/>
      <c r="K98" s="547"/>
      <c r="L98" s="547"/>
      <c r="M98" s="547"/>
      <c r="N98" s="547"/>
      <c r="O98" s="550"/>
      <c r="P98" s="546"/>
      <c r="Q98" s="544"/>
      <c r="R98" s="544"/>
      <c r="S98" s="544"/>
      <c r="T98" s="544"/>
      <c r="U98" s="544"/>
      <c r="V98" s="544"/>
      <c r="W98" s="544"/>
      <c r="X98" s="544"/>
      <c r="Y98" s="544"/>
      <c r="Z98" s="544"/>
      <c r="AA98" s="545"/>
      <c r="AB98" s="543" t="s">
        <v>320</v>
      </c>
      <c r="AC98" s="543" t="s">
        <v>321</v>
      </c>
      <c r="AD98" s="659"/>
      <c r="AE98" s="548">
        <f>+'PLAN.ADQ.'!E128</f>
        <v>150000</v>
      </c>
      <c r="AF98" s="548">
        <f>+'PLAN.ADQ.'!F128</f>
        <v>0</v>
      </c>
      <c r="AG98" s="542">
        <f>+AE98+AF98</f>
        <v>150000</v>
      </c>
    </row>
    <row r="99" spans="1:33" ht="14.25" thickBot="1" thickTop="1">
      <c r="A99" s="1"/>
      <c r="B99" s="632" t="s">
        <v>267</v>
      </c>
      <c r="C99" s="633"/>
      <c r="D99" s="633"/>
      <c r="E99" s="633"/>
      <c r="F99" s="633"/>
      <c r="G99" s="633"/>
      <c r="H99" s="633"/>
      <c r="I99" s="633"/>
      <c r="J99" s="633"/>
      <c r="K99" s="633"/>
      <c r="L99" s="633"/>
      <c r="M99" s="633"/>
      <c r="N99" s="633"/>
      <c r="O99" s="633"/>
      <c r="P99" s="633"/>
      <c r="Q99" s="633"/>
      <c r="R99" s="633"/>
      <c r="S99" s="633"/>
      <c r="T99" s="633"/>
      <c r="U99" s="633"/>
      <c r="V99" s="633"/>
      <c r="W99" s="633"/>
      <c r="X99" s="633"/>
      <c r="Y99" s="633"/>
      <c r="Z99" s="633"/>
      <c r="AA99" s="633"/>
      <c r="AB99" s="633"/>
      <c r="AC99" s="633"/>
      <c r="AD99" s="633"/>
      <c r="AE99" s="325">
        <f>+AE13+AE36+AE46+AE61+AE82+AE94+AE96</f>
        <v>2190400</v>
      </c>
      <c r="AF99" s="326">
        <f>+AF13+AF36+AF46+AF61+AF82+AF94+AF96</f>
        <v>5348100</v>
      </c>
      <c r="AG99" s="493">
        <f>+AG13+AG36+AG46+AG61+AG82+AG94+AG96</f>
        <v>7388500</v>
      </c>
    </row>
    <row r="100" ht="13.5" thickTop="1"/>
  </sheetData>
  <sheetProtection/>
  <mergeCells count="55">
    <mergeCell ref="B13:AD13"/>
    <mergeCell ref="AD22:AD24"/>
    <mergeCell ref="B97:B98"/>
    <mergeCell ref="AD97:AD98"/>
    <mergeCell ref="B96:AD96"/>
    <mergeCell ref="B46:AD46"/>
    <mergeCell ref="B36:AD36"/>
    <mergeCell ref="B68:B69"/>
    <mergeCell ref="AD68:AD69"/>
    <mergeCell ref="B74:B76"/>
    <mergeCell ref="D9:O11"/>
    <mergeCell ref="P9:AA11"/>
    <mergeCell ref="AE9:AG10"/>
    <mergeCell ref="AE11:AE12"/>
    <mergeCell ref="AB9:AD9"/>
    <mergeCell ref="AG11:AG12"/>
    <mergeCell ref="AF11:AF12"/>
    <mergeCell ref="B43:B45"/>
    <mergeCell ref="B57:B59"/>
    <mergeCell ref="AD57:AD59"/>
    <mergeCell ref="B4:AG4"/>
    <mergeCell ref="B5:AG5"/>
    <mergeCell ref="B7:AG7"/>
    <mergeCell ref="B9:B12"/>
    <mergeCell ref="C9:C12"/>
    <mergeCell ref="B39:B41"/>
    <mergeCell ref="AD39:AD41"/>
    <mergeCell ref="B47:B51"/>
    <mergeCell ref="AD47:AD51"/>
    <mergeCell ref="B52:B53"/>
    <mergeCell ref="AD52:AD53"/>
    <mergeCell ref="B82:AD82"/>
    <mergeCell ref="B65:B67"/>
    <mergeCell ref="AD65:AD67"/>
    <mergeCell ref="AD74:AD76"/>
    <mergeCell ref="B94:AD94"/>
    <mergeCell ref="AD26:AD28"/>
    <mergeCell ref="AD29:AD31"/>
    <mergeCell ref="B29:B31"/>
    <mergeCell ref="B32:B34"/>
    <mergeCell ref="AD32:AD34"/>
    <mergeCell ref="B26:B28"/>
    <mergeCell ref="B83:B93"/>
    <mergeCell ref="AD83:AD93"/>
    <mergeCell ref="AD43:AD45"/>
    <mergeCell ref="B99:AD99"/>
    <mergeCell ref="B2:AG2"/>
    <mergeCell ref="B61:AC61"/>
    <mergeCell ref="B14:B18"/>
    <mergeCell ref="AD14:AD18"/>
    <mergeCell ref="B19:B21"/>
    <mergeCell ref="AD19:AD21"/>
    <mergeCell ref="B22:B24"/>
    <mergeCell ref="B78:B80"/>
    <mergeCell ref="AD78:AD8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77"/>
  <sheetViews>
    <sheetView tabSelected="1" zoomScalePageLayoutView="0" workbookViewId="0" topLeftCell="A36">
      <selection activeCell="B55" sqref="B55"/>
    </sheetView>
  </sheetViews>
  <sheetFormatPr defaultColWidth="9.140625" defaultRowHeight="12.75"/>
  <cols>
    <col min="2" max="2" width="79.57421875" style="0" customWidth="1"/>
    <col min="3" max="3" width="19.28125" style="0" customWidth="1"/>
    <col min="4" max="4" width="17.7109375" style="571" customWidth="1"/>
  </cols>
  <sheetData>
    <row r="1" ht="12.75">
      <c r="D1" s="559"/>
    </row>
    <row r="2" spans="2:4" ht="12.75">
      <c r="B2" s="585" t="s">
        <v>173</v>
      </c>
      <c r="C2" s="585"/>
      <c r="D2" s="585"/>
    </row>
    <row r="3" spans="2:4" ht="12.75">
      <c r="B3" s="585" t="s">
        <v>186</v>
      </c>
      <c r="C3" s="585"/>
      <c r="D3" s="585"/>
    </row>
    <row r="4" spans="2:4" ht="12.75">
      <c r="B4" s="585" t="s">
        <v>137</v>
      </c>
      <c r="C4" s="585"/>
      <c r="D4" s="585"/>
    </row>
    <row r="5" spans="2:4" ht="12.75">
      <c r="B5" s="586"/>
      <c r="C5" s="586"/>
      <c r="D5" s="586"/>
    </row>
    <row r="6" spans="2:4" ht="12.75">
      <c r="B6" s="585" t="s">
        <v>5</v>
      </c>
      <c r="C6" s="585"/>
      <c r="D6" s="585"/>
    </row>
    <row r="7" spans="2:4" ht="12.75">
      <c r="B7" s="586"/>
      <c r="C7" s="586"/>
      <c r="D7" s="586"/>
    </row>
    <row r="8" spans="2:4" ht="13.5" thickBot="1">
      <c r="B8" s="1"/>
      <c r="C8" s="1"/>
      <c r="D8" s="560"/>
    </row>
    <row r="9" spans="2:4" ht="13.5" thickTop="1">
      <c r="B9" s="582" t="s">
        <v>6</v>
      </c>
      <c r="C9" s="554"/>
      <c r="D9" s="579" t="s">
        <v>691</v>
      </c>
    </row>
    <row r="10" spans="2:4" ht="12.75">
      <c r="B10" s="583"/>
      <c r="C10" s="555" t="s">
        <v>690</v>
      </c>
      <c r="D10" s="580"/>
    </row>
    <row r="11" spans="2:4" ht="13.5" thickBot="1">
      <c r="B11" s="584"/>
      <c r="C11" s="556"/>
      <c r="D11" s="581"/>
    </row>
    <row r="12" spans="2:4" ht="14.25" thickBot="1" thickTop="1">
      <c r="B12" s="34" t="s">
        <v>709</v>
      </c>
      <c r="C12" s="34"/>
      <c r="D12" s="561"/>
    </row>
    <row r="13" spans="2:4" ht="21" customHeight="1">
      <c r="B13" s="6" t="s">
        <v>695</v>
      </c>
      <c r="C13" s="568" t="s">
        <v>689</v>
      </c>
      <c r="D13" s="557" t="s">
        <v>7</v>
      </c>
    </row>
    <row r="14" spans="2:4" ht="33.75">
      <c r="B14" s="7" t="s">
        <v>139</v>
      </c>
      <c r="C14" s="568" t="s">
        <v>689</v>
      </c>
      <c r="D14" s="558" t="s">
        <v>7</v>
      </c>
    </row>
    <row r="15" spans="2:4" ht="24.75" customHeight="1">
      <c r="B15" s="21" t="s">
        <v>140</v>
      </c>
      <c r="C15" s="568" t="s">
        <v>689</v>
      </c>
      <c r="D15" s="562" t="s">
        <v>8</v>
      </c>
    </row>
    <row r="16" spans="2:4" ht="22.5">
      <c r="B16" s="7" t="s">
        <v>359</v>
      </c>
      <c r="C16" s="568" t="s">
        <v>689</v>
      </c>
      <c r="D16" s="558" t="s">
        <v>687</v>
      </c>
    </row>
    <row r="17" spans="2:4" ht="22.5">
      <c r="B17" s="7" t="s">
        <v>141</v>
      </c>
      <c r="C17" s="568" t="s">
        <v>689</v>
      </c>
      <c r="D17" s="558" t="s">
        <v>687</v>
      </c>
    </row>
    <row r="18" spans="2:4" ht="22.5">
      <c r="B18" s="7" t="s">
        <v>696</v>
      </c>
      <c r="C18" s="568" t="s">
        <v>689</v>
      </c>
      <c r="D18" s="558" t="s">
        <v>7</v>
      </c>
    </row>
    <row r="19" spans="2:4" ht="12.75">
      <c r="B19" s="7" t="s">
        <v>697</v>
      </c>
      <c r="C19" s="568" t="s">
        <v>689</v>
      </c>
      <c r="D19" s="558" t="s">
        <v>7</v>
      </c>
    </row>
    <row r="20" spans="2:4" ht="12.75">
      <c r="B20" s="7" t="s">
        <v>143</v>
      </c>
      <c r="C20" s="568" t="s">
        <v>689</v>
      </c>
      <c r="D20" s="558" t="s">
        <v>7</v>
      </c>
    </row>
    <row r="21" spans="2:4" ht="12.75">
      <c r="B21" s="7" t="s">
        <v>144</v>
      </c>
      <c r="C21" s="568" t="s">
        <v>689</v>
      </c>
      <c r="D21" s="558" t="s">
        <v>7</v>
      </c>
    </row>
    <row r="22" spans="2:4" ht="22.5">
      <c r="B22" s="7" t="s">
        <v>145</v>
      </c>
      <c r="C22" s="568" t="s">
        <v>689</v>
      </c>
      <c r="D22" s="558" t="s">
        <v>687</v>
      </c>
    </row>
    <row r="23" spans="2:4" ht="13.5" thickBot="1">
      <c r="B23" s="7" t="s">
        <v>146</v>
      </c>
      <c r="C23" s="568" t="s">
        <v>689</v>
      </c>
      <c r="D23" s="558" t="s">
        <v>688</v>
      </c>
    </row>
    <row r="24" spans="2:4" ht="13.5" thickBot="1">
      <c r="B24" s="16" t="s">
        <v>708</v>
      </c>
      <c r="C24" s="16"/>
      <c r="D24" s="563"/>
    </row>
    <row r="25" spans="2:4" ht="12.75">
      <c r="B25" s="9" t="s">
        <v>694</v>
      </c>
      <c r="C25" s="568" t="s">
        <v>689</v>
      </c>
      <c r="D25" s="557" t="s">
        <v>688</v>
      </c>
    </row>
    <row r="26" spans="2:4" ht="22.5">
      <c r="B26" s="10" t="s">
        <v>148</v>
      </c>
      <c r="C26" s="568" t="s">
        <v>689</v>
      </c>
      <c r="D26" s="558" t="s">
        <v>688</v>
      </c>
    </row>
    <row r="27" spans="2:4" ht="33.75">
      <c r="B27" s="10" t="s">
        <v>698</v>
      </c>
      <c r="C27" s="568" t="s">
        <v>689</v>
      </c>
      <c r="D27" s="558" t="s">
        <v>7</v>
      </c>
    </row>
    <row r="28" spans="2:4" ht="12.75">
      <c r="B28" s="11" t="s">
        <v>699</v>
      </c>
      <c r="C28" s="568" t="s">
        <v>689</v>
      </c>
      <c r="D28" s="572" t="s">
        <v>688</v>
      </c>
    </row>
    <row r="29" spans="2:4" ht="12.75">
      <c r="B29" s="10" t="s">
        <v>700</v>
      </c>
      <c r="C29" s="568" t="s">
        <v>689</v>
      </c>
      <c r="D29" s="558" t="s">
        <v>7</v>
      </c>
    </row>
    <row r="30" spans="2:4" ht="13.5" thickBot="1">
      <c r="B30" s="12" t="s">
        <v>701</v>
      </c>
      <c r="C30" s="568" t="s">
        <v>689</v>
      </c>
      <c r="D30" s="557" t="s">
        <v>7</v>
      </c>
    </row>
    <row r="31" spans="2:4" ht="13.5" thickBot="1">
      <c r="B31" s="16" t="s">
        <v>707</v>
      </c>
      <c r="C31" s="16"/>
      <c r="D31" s="563"/>
    </row>
    <row r="32" spans="2:4" ht="12.75">
      <c r="B32" s="12" t="s">
        <v>150</v>
      </c>
      <c r="C32" s="568" t="s">
        <v>689</v>
      </c>
      <c r="D32" s="557" t="s">
        <v>7</v>
      </c>
    </row>
    <row r="33" spans="2:4" ht="12.75">
      <c r="B33" s="12" t="s">
        <v>151</v>
      </c>
      <c r="C33" s="568" t="s">
        <v>689</v>
      </c>
      <c r="D33" s="558" t="s">
        <v>7</v>
      </c>
    </row>
    <row r="34" spans="2:4" ht="22.5">
      <c r="B34" s="10" t="s">
        <v>702</v>
      </c>
      <c r="C34" s="568" t="s">
        <v>689</v>
      </c>
      <c r="D34" s="558" t="s">
        <v>688</v>
      </c>
    </row>
    <row r="35" spans="2:4" ht="22.5">
      <c r="B35" s="10" t="s">
        <v>705</v>
      </c>
      <c r="C35" s="568" t="s">
        <v>689</v>
      </c>
      <c r="D35" s="558" t="s">
        <v>688</v>
      </c>
    </row>
    <row r="36" spans="2:4" ht="15.75" customHeight="1">
      <c r="B36" s="10" t="s">
        <v>668</v>
      </c>
      <c r="C36" s="568" t="s">
        <v>689</v>
      </c>
      <c r="D36" s="558" t="s">
        <v>692</v>
      </c>
    </row>
    <row r="37" spans="2:4" ht="20.25" customHeight="1">
      <c r="B37" s="10" t="s">
        <v>703</v>
      </c>
      <c r="C37" s="568" t="s">
        <v>689</v>
      </c>
      <c r="D37" s="558" t="s">
        <v>692</v>
      </c>
    </row>
    <row r="38" spans="2:4" ht="12.75">
      <c r="B38" s="10" t="s">
        <v>154</v>
      </c>
      <c r="C38" s="568" t="s">
        <v>689</v>
      </c>
      <c r="D38" s="558" t="s">
        <v>9</v>
      </c>
    </row>
    <row r="39" spans="2:4" ht="12.75">
      <c r="B39" s="10" t="s">
        <v>704</v>
      </c>
      <c r="C39" s="568" t="s">
        <v>689</v>
      </c>
      <c r="D39" s="558" t="s">
        <v>693</v>
      </c>
    </row>
    <row r="40" spans="2:4" ht="13.5" customHeight="1">
      <c r="B40" s="10" t="s">
        <v>156</v>
      </c>
      <c r="C40" s="568" t="s">
        <v>689</v>
      </c>
      <c r="D40" s="558" t="s">
        <v>688</v>
      </c>
    </row>
    <row r="41" spans="2:4" ht="13.5" thickBot="1">
      <c r="B41" s="10" t="s">
        <v>157</v>
      </c>
      <c r="C41" s="568" t="s">
        <v>689</v>
      </c>
      <c r="D41" s="558" t="s">
        <v>7</v>
      </c>
    </row>
    <row r="42" spans="2:4" ht="13.5" thickBot="1">
      <c r="B42" s="16" t="s">
        <v>706</v>
      </c>
      <c r="C42" s="16"/>
      <c r="D42" s="563"/>
    </row>
    <row r="43" spans="2:4" ht="12.75">
      <c r="B43" s="35" t="s">
        <v>732</v>
      </c>
      <c r="C43" s="568" t="s">
        <v>689</v>
      </c>
      <c r="D43" s="564" t="s">
        <v>688</v>
      </c>
    </row>
    <row r="44" spans="2:4" ht="12.75">
      <c r="B44" s="12" t="s">
        <v>722</v>
      </c>
      <c r="C44" s="568" t="s">
        <v>689</v>
      </c>
      <c r="D44" s="558" t="s">
        <v>10</v>
      </c>
    </row>
    <row r="45" spans="2:4" ht="12.75">
      <c r="B45" s="12" t="s">
        <v>723</v>
      </c>
      <c r="C45" s="568" t="s">
        <v>689</v>
      </c>
      <c r="D45" s="558" t="s">
        <v>10</v>
      </c>
    </row>
    <row r="46" spans="2:4" ht="12.75">
      <c r="B46" s="12" t="s">
        <v>724</v>
      </c>
      <c r="C46" s="568" t="s">
        <v>689</v>
      </c>
      <c r="D46" s="558" t="s">
        <v>715</v>
      </c>
    </row>
    <row r="47" spans="2:4" ht="22.5">
      <c r="B47" s="10" t="s">
        <v>725</v>
      </c>
      <c r="C47" s="568" t="s">
        <v>689</v>
      </c>
      <c r="D47" s="558" t="s">
        <v>733</v>
      </c>
    </row>
    <row r="48" spans="2:4" ht="12.75">
      <c r="B48" s="12" t="s">
        <v>726</v>
      </c>
      <c r="C48" s="568" t="s">
        <v>689</v>
      </c>
      <c r="D48" s="558" t="s">
        <v>8</v>
      </c>
    </row>
    <row r="49" spans="2:4" ht="12.75">
      <c r="B49" s="12" t="s">
        <v>162</v>
      </c>
      <c r="C49" s="568" t="s">
        <v>689</v>
      </c>
      <c r="D49" s="558" t="s">
        <v>8</v>
      </c>
    </row>
    <row r="50" spans="2:4" ht="12.75">
      <c r="B50" s="12" t="s">
        <v>727</v>
      </c>
      <c r="C50" s="568" t="s">
        <v>689</v>
      </c>
      <c r="D50" s="558" t="s">
        <v>8</v>
      </c>
    </row>
    <row r="51" spans="2:4" ht="12.75">
      <c r="B51" s="12" t="s">
        <v>164</v>
      </c>
      <c r="C51" s="568" t="s">
        <v>689</v>
      </c>
      <c r="D51" s="558" t="s">
        <v>8</v>
      </c>
    </row>
    <row r="52" spans="2:4" ht="12.75">
      <c r="B52" s="12" t="s">
        <v>728</v>
      </c>
      <c r="C52" s="568" t="s">
        <v>689</v>
      </c>
      <c r="D52" s="558" t="s">
        <v>10</v>
      </c>
    </row>
    <row r="53" spans="2:4" ht="12.75">
      <c r="B53" s="12" t="s">
        <v>729</v>
      </c>
      <c r="C53" s="568" t="s">
        <v>689</v>
      </c>
      <c r="D53" s="558" t="s">
        <v>11</v>
      </c>
    </row>
    <row r="54" spans="2:4" ht="12.75">
      <c r="B54" s="12" t="s">
        <v>731</v>
      </c>
      <c r="C54" s="568" t="s">
        <v>689</v>
      </c>
      <c r="D54" s="558" t="s">
        <v>12</v>
      </c>
    </row>
    <row r="55" spans="2:4" ht="12.75">
      <c r="B55" s="12" t="s">
        <v>730</v>
      </c>
      <c r="C55" s="568" t="s">
        <v>689</v>
      </c>
      <c r="D55" s="558" t="s">
        <v>11</v>
      </c>
    </row>
    <row r="56" spans="2:4" ht="13.5" thickBot="1">
      <c r="B56" s="12" t="s">
        <v>637</v>
      </c>
      <c r="C56" s="568" t="s">
        <v>689</v>
      </c>
      <c r="D56" s="562" t="s">
        <v>12</v>
      </c>
    </row>
    <row r="57" spans="2:4" ht="14.25" thickBot="1" thickTop="1">
      <c r="B57" s="24" t="s">
        <v>166</v>
      </c>
      <c r="C57" s="24"/>
      <c r="D57" s="565"/>
    </row>
    <row r="58" spans="2:4" ht="14.25" thickBot="1" thickTop="1">
      <c r="B58" s="25" t="s">
        <v>168</v>
      </c>
      <c r="C58" s="102"/>
      <c r="D58" s="566"/>
    </row>
    <row r="59" spans="2:4" ht="13.5" thickTop="1">
      <c r="B59" s="36" t="s">
        <v>198</v>
      </c>
      <c r="C59" s="568"/>
      <c r="D59" s="567"/>
    </row>
    <row r="60" spans="2:4" ht="12.75">
      <c r="B60" s="60" t="s">
        <v>196</v>
      </c>
      <c r="C60" s="568" t="s">
        <v>689</v>
      </c>
      <c r="D60" s="558" t="s">
        <v>688</v>
      </c>
    </row>
    <row r="61" spans="2:4" ht="12.75">
      <c r="B61" s="37" t="s">
        <v>199</v>
      </c>
      <c r="C61" s="568" t="s">
        <v>689</v>
      </c>
      <c r="D61" s="558" t="s">
        <v>688</v>
      </c>
    </row>
    <row r="62" spans="2:4" ht="12.75">
      <c r="B62" s="37" t="s">
        <v>197</v>
      </c>
      <c r="C62" s="568" t="s">
        <v>689</v>
      </c>
      <c r="D62" s="558" t="s">
        <v>688</v>
      </c>
    </row>
    <row r="63" spans="2:4" ht="12.75">
      <c r="B63" s="37" t="s">
        <v>200</v>
      </c>
      <c r="C63" s="568"/>
      <c r="D63" s="558"/>
    </row>
    <row r="64" spans="2:4" ht="12.75">
      <c r="B64" s="37" t="s">
        <v>234</v>
      </c>
      <c r="C64" s="568" t="s">
        <v>689</v>
      </c>
      <c r="D64" s="558" t="s">
        <v>688</v>
      </c>
    </row>
    <row r="65" spans="2:4" ht="12.75">
      <c r="B65" s="37" t="s">
        <v>201</v>
      </c>
      <c r="C65" s="568" t="s">
        <v>689</v>
      </c>
      <c r="D65" s="558" t="s">
        <v>688</v>
      </c>
    </row>
    <row r="66" spans="2:4" ht="12.75">
      <c r="B66" s="37" t="s">
        <v>202</v>
      </c>
      <c r="C66" s="568" t="s">
        <v>689</v>
      </c>
      <c r="D66" s="557" t="s">
        <v>688</v>
      </c>
    </row>
    <row r="67" spans="2:4" ht="13.5" thickBot="1">
      <c r="B67" s="37" t="s">
        <v>203</v>
      </c>
      <c r="C67" s="568" t="s">
        <v>689</v>
      </c>
      <c r="D67" s="570" t="s">
        <v>688</v>
      </c>
    </row>
    <row r="68" spans="2:4" ht="14.25" thickBot="1" thickTop="1">
      <c r="B68" s="29" t="s">
        <v>169</v>
      </c>
      <c r="C68" s="29"/>
      <c r="D68" s="563"/>
    </row>
    <row r="69" spans="2:4" ht="13.5" thickBot="1">
      <c r="B69" s="38" t="s">
        <v>170</v>
      </c>
      <c r="C69" s="568" t="s">
        <v>689</v>
      </c>
      <c r="D69" s="557" t="s">
        <v>688</v>
      </c>
    </row>
    <row r="70" spans="2:4" ht="13.5" thickBot="1">
      <c r="B70" s="16" t="s">
        <v>171</v>
      </c>
      <c r="C70" s="16"/>
      <c r="D70" s="563"/>
    </row>
    <row r="71" spans="2:4" ht="12.75">
      <c r="B71" s="36" t="s">
        <v>646</v>
      </c>
      <c r="C71" s="568"/>
      <c r="D71" s="567"/>
    </row>
    <row r="72" spans="2:4" ht="12.75">
      <c r="B72" s="37" t="s">
        <v>647</v>
      </c>
      <c r="C72" s="568" t="s">
        <v>689</v>
      </c>
      <c r="D72" s="558" t="s">
        <v>688</v>
      </c>
    </row>
    <row r="73" spans="2:4" ht="12.75">
      <c r="B73" s="37" t="s">
        <v>648</v>
      </c>
      <c r="C73" s="568" t="s">
        <v>689</v>
      </c>
      <c r="D73" s="558" t="s">
        <v>688</v>
      </c>
    </row>
    <row r="74" spans="2:4" ht="12.75">
      <c r="B74" s="37" t="s">
        <v>649</v>
      </c>
      <c r="C74" s="568" t="s">
        <v>689</v>
      </c>
      <c r="D74" s="558" t="s">
        <v>688</v>
      </c>
    </row>
    <row r="75" spans="2:4" ht="12.75">
      <c r="B75" s="37" t="s">
        <v>650</v>
      </c>
      <c r="C75" s="568"/>
      <c r="D75" s="569"/>
    </row>
    <row r="76" spans="2:4" ht="12.75">
      <c r="B76" s="38" t="s">
        <v>651</v>
      </c>
      <c r="C76" s="568" t="s">
        <v>689</v>
      </c>
      <c r="D76" s="557" t="s">
        <v>688</v>
      </c>
    </row>
    <row r="77" spans="2:4" ht="13.5" thickBot="1">
      <c r="B77" s="541" t="s">
        <v>652</v>
      </c>
      <c r="C77" s="570" t="s">
        <v>689</v>
      </c>
      <c r="D77" s="570" t="s">
        <v>688</v>
      </c>
    </row>
    <row r="78" ht="13.5" thickTop="1"/>
  </sheetData>
  <sheetProtection/>
  <mergeCells count="8">
    <mergeCell ref="B6:D6"/>
    <mergeCell ref="B7:D7"/>
    <mergeCell ref="B9:B11"/>
    <mergeCell ref="D9:D11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00390625" style="0" customWidth="1"/>
    <col min="2" max="2" width="77.7109375" style="0" customWidth="1"/>
    <col min="3" max="3" width="11.421875" style="0" customWidth="1"/>
    <col min="4" max="4" width="11.28125" style="0" customWidth="1"/>
    <col min="5" max="5" width="26.140625" style="0" customWidth="1"/>
  </cols>
  <sheetData>
    <row r="1" spans="2:3" ht="12.75">
      <c r="B1" s="585" t="s">
        <v>173</v>
      </c>
      <c r="C1" s="585"/>
    </row>
    <row r="2" spans="2:3" ht="12.75">
      <c r="B2" s="585" t="s">
        <v>186</v>
      </c>
      <c r="C2" s="585"/>
    </row>
    <row r="3" spans="2:3" ht="12.75">
      <c r="B3" s="585" t="s">
        <v>137</v>
      </c>
      <c r="C3" s="585"/>
    </row>
    <row r="4" spans="2:3" ht="12.75">
      <c r="B4" s="586"/>
      <c r="C4" s="586"/>
    </row>
    <row r="5" spans="2:3" ht="12.75">
      <c r="B5" s="585" t="s">
        <v>4</v>
      </c>
      <c r="C5" s="585"/>
    </row>
    <row r="6" spans="2:3" ht="12.75">
      <c r="B6" s="586"/>
      <c r="C6" s="586"/>
    </row>
    <row r="7" spans="2:3" ht="13.5" thickBot="1">
      <c r="B7" s="1"/>
      <c r="C7" s="1"/>
    </row>
    <row r="8" spans="2:5" ht="13.5" thickTop="1">
      <c r="B8" s="582" t="s">
        <v>712</v>
      </c>
      <c r="C8" s="579" t="s">
        <v>710</v>
      </c>
      <c r="D8" s="579" t="s">
        <v>711</v>
      </c>
      <c r="E8" s="579" t="s">
        <v>719</v>
      </c>
    </row>
    <row r="9" spans="2:5" ht="12.75">
      <c r="B9" s="583"/>
      <c r="C9" s="580"/>
      <c r="D9" s="580"/>
      <c r="E9" s="580"/>
    </row>
    <row r="10" spans="2:5" ht="13.5" thickBot="1">
      <c r="B10" s="584"/>
      <c r="C10" s="581"/>
      <c r="D10" s="581"/>
      <c r="E10" s="581"/>
    </row>
    <row r="11" spans="2:5" ht="23.25" thickTop="1">
      <c r="B11" s="6" t="s">
        <v>695</v>
      </c>
      <c r="C11" s="4">
        <f>3600000</f>
        <v>3600000</v>
      </c>
      <c r="D11" s="573" t="s">
        <v>714</v>
      </c>
      <c r="E11" s="576"/>
    </row>
    <row r="12" spans="2:5" ht="33.75">
      <c r="B12" s="7" t="s">
        <v>139</v>
      </c>
      <c r="C12" s="5">
        <f>1000000</f>
        <v>1000000</v>
      </c>
      <c r="D12" s="573" t="s">
        <v>714</v>
      </c>
      <c r="E12" s="577"/>
    </row>
    <row r="13" spans="2:5" ht="26.25" customHeight="1">
      <c r="B13" s="21" t="s">
        <v>140</v>
      </c>
      <c r="C13" s="18">
        <f>2720000</f>
        <v>2720000</v>
      </c>
      <c r="D13" s="573" t="s">
        <v>716</v>
      </c>
      <c r="E13" s="577"/>
    </row>
    <row r="14" spans="2:5" ht="22.5">
      <c r="B14" s="7" t="s">
        <v>359</v>
      </c>
      <c r="C14" s="5">
        <f>500000</f>
        <v>500000</v>
      </c>
      <c r="D14" s="573" t="s">
        <v>717</v>
      </c>
      <c r="E14" s="577"/>
    </row>
    <row r="15" spans="2:5" ht="22.5">
      <c r="B15" s="7" t="s">
        <v>141</v>
      </c>
      <c r="C15" s="5">
        <f>300000</f>
        <v>300000</v>
      </c>
      <c r="D15" s="573" t="s">
        <v>716</v>
      </c>
      <c r="E15" s="577"/>
    </row>
    <row r="16" spans="2:5" ht="22.5">
      <c r="B16" s="7" t="s">
        <v>696</v>
      </c>
      <c r="C16" s="5">
        <f>1400000</f>
        <v>1400000</v>
      </c>
      <c r="D16" s="573" t="s">
        <v>714</v>
      </c>
      <c r="E16" s="577"/>
    </row>
    <row r="17" spans="2:5" ht="12.75">
      <c r="B17" s="7" t="s">
        <v>697</v>
      </c>
      <c r="C17" s="5">
        <f>1100000</f>
        <v>1100000</v>
      </c>
      <c r="D17" s="573" t="s">
        <v>714</v>
      </c>
      <c r="E17" s="577"/>
    </row>
    <row r="18" spans="2:5" ht="12.75">
      <c r="B18" s="7" t="s">
        <v>143</v>
      </c>
      <c r="C18" s="5">
        <f>100000</f>
        <v>100000</v>
      </c>
      <c r="D18" s="573" t="s">
        <v>714</v>
      </c>
      <c r="E18" s="577"/>
    </row>
    <row r="19" spans="2:5" ht="12.75">
      <c r="B19" s="7" t="s">
        <v>144</v>
      </c>
      <c r="C19" s="5">
        <f>250000</f>
        <v>250000</v>
      </c>
      <c r="D19" s="573" t="s">
        <v>716</v>
      </c>
      <c r="E19" s="577"/>
    </row>
    <row r="20" spans="2:5" ht="22.5">
      <c r="B20" s="7" t="s">
        <v>145</v>
      </c>
      <c r="C20" s="5">
        <f>300000</f>
        <v>300000</v>
      </c>
      <c r="D20" s="573" t="s">
        <v>716</v>
      </c>
      <c r="E20" s="577"/>
    </row>
    <row r="21" spans="2:5" ht="16.5" customHeight="1">
      <c r="B21" s="12" t="s">
        <v>724</v>
      </c>
      <c r="C21" s="5">
        <v>2265600</v>
      </c>
      <c r="D21" s="573" t="s">
        <v>716</v>
      </c>
      <c r="E21" s="577"/>
    </row>
    <row r="22" spans="2:5" ht="12.75">
      <c r="B22" s="12" t="s">
        <v>726</v>
      </c>
      <c r="C22" s="5">
        <f>70000</f>
        <v>70000</v>
      </c>
      <c r="D22" s="573" t="s">
        <v>716</v>
      </c>
      <c r="E22" s="577"/>
    </row>
    <row r="23" spans="2:5" ht="12.75">
      <c r="B23" s="12" t="s">
        <v>164</v>
      </c>
      <c r="C23" s="5">
        <f>280000</f>
        <v>280000</v>
      </c>
      <c r="D23" s="573" t="s">
        <v>716</v>
      </c>
      <c r="E23" s="577"/>
    </row>
    <row r="24" spans="2:5" ht="12.75" customHeight="1">
      <c r="B24" s="12" t="s">
        <v>729</v>
      </c>
      <c r="C24" s="5">
        <f>1647200+60000</f>
        <v>1707200</v>
      </c>
      <c r="D24" s="573" t="s">
        <v>716</v>
      </c>
      <c r="E24" s="577"/>
    </row>
    <row r="25" spans="2:5" ht="21.75" customHeight="1" thickBot="1">
      <c r="B25" s="578" t="s">
        <v>730</v>
      </c>
      <c r="C25" s="574">
        <f>1067200</f>
        <v>1067200</v>
      </c>
      <c r="D25" s="575" t="s">
        <v>718</v>
      </c>
      <c r="E25" s="575" t="s">
        <v>720</v>
      </c>
    </row>
    <row r="26" ht="13.5" thickTop="1"/>
  </sheetData>
  <sheetProtection/>
  <mergeCells count="10">
    <mergeCell ref="B1:C1"/>
    <mergeCell ref="B2:C2"/>
    <mergeCell ref="B3:C3"/>
    <mergeCell ref="B4:C4"/>
    <mergeCell ref="E8:E10"/>
    <mergeCell ref="D8:D10"/>
    <mergeCell ref="B5:C5"/>
    <mergeCell ref="B6:C6"/>
    <mergeCell ref="B8:B10"/>
    <mergeCell ref="C8:C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Link - Plan de Ejecución del Programa (ES-L1066- Programa de Desarrollo Turístico de a Franja Costero-Marina) </dc:title>
  <dc:subject/>
  <dc:creator>Andres E. Garrett</dc:creator>
  <cp:keywords/>
  <dc:description/>
  <cp:lastModifiedBy>Inter-American Development Bank</cp:lastModifiedBy>
  <dcterms:created xsi:type="dcterms:W3CDTF">2013-04-22T11:52:50Z</dcterms:created>
  <dcterms:modified xsi:type="dcterms:W3CDTF">2013-06-17T15:48:25Z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TaxCatchA">
    <vt:lpwstr/>
  </property>
  <property fmtid="{D5CDD505-2E9C-101B-9397-08002B2CF9AE}" pid="6" name="display_urn:schemas-microsoft-com:office:office#Edit">
    <vt:lpwstr>Velasco, M. Mercedes</vt:lpwstr>
  </property>
  <property fmtid="{D5CDD505-2E9C-101B-9397-08002B2CF9AE}" pid="7" name="Access to Information Poli">
    <vt:lpwstr>Public</vt:lpwstr>
  </property>
  <property fmtid="{D5CDD505-2E9C-101B-9397-08002B2CF9AE}" pid="8" name="Other Auth">
    <vt:lpwstr/>
  </property>
  <property fmtid="{D5CDD505-2E9C-101B-9397-08002B2CF9AE}" pid="9" name="Division or Un">
    <vt:lpwstr>INE/RND</vt:lpwstr>
  </property>
  <property fmtid="{D5CDD505-2E9C-101B-9397-08002B2CF9AE}" pid="10" name="Business Ar">
    <vt:lpwstr/>
  </property>
  <property fmtid="{D5CDD505-2E9C-101B-9397-08002B2CF9AE}" pid="11" name="Webtop">
    <vt:lpwstr>DU-TUR</vt:lpwstr>
  </property>
  <property fmtid="{D5CDD505-2E9C-101B-9397-08002B2CF9AE}" pid="12" name="display_urn:schemas-microsoft-com:office:office#Auth">
    <vt:lpwstr>Velasco, M. Mercedes</vt:lpwstr>
  </property>
  <property fmtid="{D5CDD505-2E9C-101B-9397-08002B2CF9AE}" pid="13" name="Project Numb">
    <vt:lpwstr>ES-L1066</vt:lpwstr>
  </property>
  <property fmtid="{D5CDD505-2E9C-101B-9397-08002B2CF9AE}" pid="14" name="Fro">
    <vt:lpwstr/>
  </property>
  <property fmtid="{D5CDD505-2E9C-101B-9397-08002B2CF9AE}" pid="15" name="T">
    <vt:lpwstr/>
  </property>
  <property fmtid="{D5CDD505-2E9C-101B-9397-08002B2CF9AE}" pid="16" name="Identifi">
    <vt:lpwstr> TECFILE</vt:lpwstr>
  </property>
  <property fmtid="{D5CDD505-2E9C-101B-9397-08002B2CF9AE}" pid="17" name="Project Document Ty">
    <vt:lpwstr/>
  </property>
  <property fmtid="{D5CDD505-2E9C-101B-9397-08002B2CF9AE}" pid="18" name="IDBDocs Numb">
    <vt:lpwstr>37775846</vt:lpwstr>
  </property>
  <property fmtid="{D5CDD505-2E9C-101B-9397-08002B2CF9AE}" pid="19" name="Migration In">
    <vt:lpwstr>&lt;Data&gt;&lt;APPLICATION&gt;MS EXCEL&lt;/APPLICATION&gt;&lt;USER_STAGE&gt;Loan Proposal&lt;/USER_STAGE&gt;&lt;PD_OBJ_TYPE&gt;0&lt;/PD_OBJ_TYPE&gt;&lt;MAKERECORD&gt;N&lt;/MAKERECORD&gt;&lt;/Data&gt;</vt:lpwstr>
  </property>
  <property fmtid="{D5CDD505-2E9C-101B-9397-08002B2CF9AE}" pid="20" name="Document Auth">
    <vt:lpwstr>Velasco, M. Mercedes</vt:lpwstr>
  </property>
  <property fmtid="{D5CDD505-2E9C-101B-9397-08002B2CF9AE}" pid="21" name="Approval Numb">
    <vt:lpwstr/>
  </property>
  <property fmtid="{D5CDD505-2E9C-101B-9397-08002B2CF9AE}" pid="22" name="Document Language I">
    <vt:lpwstr>Spanish</vt:lpwstr>
  </property>
  <property fmtid="{D5CDD505-2E9C-101B-9397-08002B2CF9AE}" pid="23" name="Fiscal Year I">
    <vt:lpwstr>2013</vt:lpwstr>
  </property>
  <property fmtid="{D5CDD505-2E9C-101B-9397-08002B2CF9AE}" pid="24" name="Disclosure Activi">
    <vt:lpwstr>Loan Proposal</vt:lpwstr>
  </property>
</Properties>
</file>