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45" windowWidth="6795" windowHeight="9225" tabRatio="599" activeTab="0"/>
  </bookViews>
  <sheets>
    <sheet name="Anexo 1 " sheetId="1" r:id="rId1"/>
    <sheet name="Anexo 2" sheetId="2" r:id="rId2"/>
    <sheet name="Anexo 3" sheetId="3" r:id="rId3"/>
    <sheet name="Anexo 5" sheetId="4" r:id="rId4"/>
    <sheet name="Anexo 4" sheetId="5" r:id="rId5"/>
    <sheet name="Anexo 6 " sheetId="6" r:id="rId6"/>
    <sheet name="Anexo 7" sheetId="7" r:id="rId7"/>
    <sheet name="Anexo 8" sheetId="8" r:id="rId8"/>
    <sheet name="Anexo 9" sheetId="9" r:id="rId9"/>
    <sheet name="Anexo 10 " sheetId="10" r:id="rId10"/>
    <sheet name="Anexo 11" sheetId="11" r:id="rId11"/>
  </sheets>
  <externalReferences>
    <externalReference r:id="rId14"/>
  </externalReferences>
  <definedNames>
    <definedName name="OLE_LINK1" localSheetId="4">'Anexo 4'!$H$16</definedName>
    <definedName name="OLE_LINK2" localSheetId="4">'Anexo 4'!$H$16</definedName>
    <definedName name="_xlnm.Print_Area" localSheetId="0">'Anexo 1 '!$A$2:$F$72</definedName>
    <definedName name="_xlnm.Print_Area" localSheetId="9">'Anexo 10 '!$A$2:$K$60</definedName>
    <definedName name="_xlnm.Print_Area" localSheetId="10">'Anexo 11'!$A$2:$K$60</definedName>
    <definedName name="_xlnm.Print_Area" localSheetId="1">'Anexo 2'!$A$1:$F$80</definedName>
    <definedName name="_xlnm.Print_Area" localSheetId="2">'Anexo 3'!$A$1:$F$52</definedName>
    <definedName name="_xlnm.Print_Area" localSheetId="4">'Anexo 4'!$A$1:$F$53</definedName>
    <definedName name="_xlnm.Print_Area" localSheetId="3">'Anexo 5'!$A$1:$K$82</definedName>
    <definedName name="_xlnm.Print_Area" localSheetId="5">'Anexo 6 '!$A$1:$K$83</definedName>
    <definedName name="_xlnm.Print_Area" localSheetId="6">'Anexo 7'!$A$1:$K$82</definedName>
    <definedName name="_xlnm.Print_Area" localSheetId="7">'Anexo 8'!$A$1:$K$82</definedName>
    <definedName name="_xlnm.Print_Area" localSheetId="8">'Anexo 9'!$A$2:$K$60</definedName>
  </definedNames>
  <calcPr fullCalcOnLoad="1"/>
</workbook>
</file>

<file path=xl/sharedStrings.xml><?xml version="1.0" encoding="utf-8"?>
<sst xmlns="http://schemas.openxmlformats.org/spreadsheetml/2006/main" count="919" uniqueCount="272">
  <si>
    <t>1.0.0.0. - RECEITAS CORRENTES</t>
  </si>
  <si>
    <t>1.1.1.0. - Impostos</t>
  </si>
  <si>
    <t>1.1.2.0. - Taxas</t>
  </si>
  <si>
    <t>1.3.0.0. - Receita Patrimonial</t>
  </si>
  <si>
    <t>1.3.2.0. - Outras</t>
  </si>
  <si>
    <t>2.0.0.0. - RECEITAS DE CAPITAL</t>
  </si>
  <si>
    <t>2.5.0.0. - Outras Receitas de Capital</t>
  </si>
  <si>
    <t>3.1.0.0. - Pessoal e Encargos Sociais</t>
  </si>
  <si>
    <t>3.3.0.0. - Outras Despesas Correntes</t>
  </si>
  <si>
    <t>4.0.0.0. - DESPESAS DE CAPITAL</t>
  </si>
  <si>
    <t>4.1.0.0. - Investimentos</t>
  </si>
  <si>
    <t>3.0.0.0. - DESPESAS CORRENTES</t>
  </si>
  <si>
    <t>DISCRIMINAÇÃO</t>
  </si>
  <si>
    <t>1.3.1.0. - Aplicações Financeiras</t>
  </si>
  <si>
    <t>1.7.0.0. - Transferências Correntes</t>
  </si>
  <si>
    <t>2.2.0.0. - Alienação de Bens</t>
  </si>
  <si>
    <t xml:space="preserve">4.3.1.0. - Amortizações </t>
  </si>
  <si>
    <t>1.1.0.0. - Receita Tributária</t>
  </si>
  <si>
    <t>2.1.0.0. - Operações de Crédito</t>
  </si>
  <si>
    <t>2.1.1.0. - Operações de Crédito Interno</t>
  </si>
  <si>
    <t>2.4.0.0. - Transferências de Capital</t>
  </si>
  <si>
    <t>3.2.1.0. - Da Dívida Interna</t>
  </si>
  <si>
    <t>3.2.2.0. - Da Dívida Externa</t>
  </si>
  <si>
    <t>4.2.0.0. - Inversões Financeiras</t>
  </si>
  <si>
    <t>4.3.0.0. - Transferências de Capital</t>
  </si>
  <si>
    <t>4.3.1.1. - Da Dívida Interna</t>
  </si>
  <si>
    <t>4.3.1.2. - Da Dívida Externa</t>
  </si>
  <si>
    <t>SUPERÁVIT/DÉFICIT</t>
  </si>
  <si>
    <t>RECEITA LíQUIDA</t>
  </si>
  <si>
    <t>DESPESAS LíQUIDAS</t>
  </si>
  <si>
    <t>RESULTADO PRIMÁRIO</t>
  </si>
  <si>
    <t>CÁLCULO DO RESULTADO PRIMÁRIO</t>
  </si>
  <si>
    <t>6 - PASSIVO REAL (4 + 5)</t>
  </si>
  <si>
    <t xml:space="preserve"> INFLAÇÃO   IGP-DI (FGV)</t>
  </si>
  <si>
    <t>ANO</t>
  </si>
  <si>
    <t>% (variação anual)</t>
  </si>
  <si>
    <t>% (variação acumulada)</t>
  </si>
  <si>
    <t>Em US$</t>
  </si>
  <si>
    <t>ANO/</t>
  </si>
  <si>
    <t>ESTADO DA</t>
  </si>
  <si>
    <t>COMISSÃO</t>
  </si>
  <si>
    <t xml:space="preserve">PRESTAÇÃO </t>
  </si>
  <si>
    <t>ENCARGOS</t>
  </si>
  <si>
    <t xml:space="preserve">SALDO </t>
  </si>
  <si>
    <t>SEMESTRE</t>
  </si>
  <si>
    <t>DÍVIDA</t>
  </si>
  <si>
    <t>ACUMULADO</t>
  </si>
  <si>
    <t>JUROS</t>
  </si>
  <si>
    <t xml:space="preserve">TOTAL </t>
  </si>
  <si>
    <t>TOTAIS</t>
  </si>
  <si>
    <t>DEVEDOR</t>
  </si>
  <si>
    <t>-</t>
  </si>
  <si>
    <t>2013/02</t>
  </si>
  <si>
    <t>2014/01</t>
  </si>
  <si>
    <t>2014/02</t>
  </si>
  <si>
    <t>2015/01</t>
  </si>
  <si>
    <t>2015/02</t>
  </si>
  <si>
    <t>2016/01</t>
  </si>
  <si>
    <t>2016/02</t>
  </si>
  <si>
    <t>2017/01</t>
  </si>
  <si>
    <t>2018/01</t>
  </si>
  <si>
    <t>2018/02</t>
  </si>
  <si>
    <t>2019/01</t>
  </si>
  <si>
    <t>2019/02</t>
  </si>
  <si>
    <t>2020/01</t>
  </si>
  <si>
    <t>2020/02</t>
  </si>
  <si>
    <t>2021/01</t>
  </si>
  <si>
    <t>2021/02</t>
  </si>
  <si>
    <t>2022/01</t>
  </si>
  <si>
    <t>2022/02</t>
  </si>
  <si>
    <t>2023/01</t>
  </si>
  <si>
    <t>2023/02</t>
  </si>
  <si>
    <t>2024/01</t>
  </si>
  <si>
    <t>2024/02</t>
  </si>
  <si>
    <t>TOTAL</t>
  </si>
  <si>
    <t>2017/02</t>
  </si>
  <si>
    <t>3.2.0.0. - Juros e Encargos da Dívida</t>
  </si>
  <si>
    <t>ANOS</t>
  </si>
  <si>
    <t>2025/02</t>
  </si>
  <si>
    <t>2025/01</t>
  </si>
  <si>
    <t xml:space="preserve"> DESEMBOLSO.</t>
  </si>
  <si>
    <t xml:space="preserve">DESEMBOLSO </t>
  </si>
  <si>
    <t>SEMESTRAL</t>
  </si>
  <si>
    <t>ANUAL</t>
  </si>
  <si>
    <t>2026/01</t>
  </si>
  <si>
    <t>1.8.0.0. - Outras Receitas Correntes</t>
  </si>
  <si>
    <t>1.2.0.0. - Receita de Contribuições</t>
  </si>
  <si>
    <t>4.1.2.0. - Outros  Investimentos</t>
  </si>
  <si>
    <t>4.1.1.1. - Financiamento  BID</t>
  </si>
  <si>
    <t>RECEITA ORÇAMENTÁRIA</t>
  </si>
  <si>
    <t>7- SALDO PATRIMONIAL (3 - 6)</t>
  </si>
  <si>
    <t xml:space="preserve">     Obs.: Todos os valores considerados ao final do exercício (ano civil).         </t>
  </si>
  <si>
    <t xml:space="preserve"> </t>
  </si>
  <si>
    <t>CRÉDITO</t>
  </si>
  <si>
    <t>1.1.1.1. - IPTU</t>
  </si>
  <si>
    <t xml:space="preserve">1.6.0.0. - Receita de Serviços  </t>
  </si>
  <si>
    <t>1.7.1.0. - Da União</t>
  </si>
  <si>
    <t>1.7.1.1. - FPM</t>
  </si>
  <si>
    <t>1.7.2.0. - Do Estado</t>
  </si>
  <si>
    <t>1.7.2.1. - Cota do ICMS</t>
  </si>
  <si>
    <t>1.7.3.0. - Outras Transferências</t>
  </si>
  <si>
    <t>SUPERAVIT/DEFICIT</t>
  </si>
  <si>
    <t>Média do Resultado Primário</t>
  </si>
  <si>
    <t>Em R$</t>
  </si>
  <si>
    <t>1.1.3.0. - Contribuições de Melhoria</t>
  </si>
  <si>
    <t>RECEITA LÍQUIDA</t>
  </si>
  <si>
    <t>DESPESAS LÍQUIDAS</t>
  </si>
  <si>
    <t xml:space="preserve">       DISPONÍVEL</t>
  </si>
  <si>
    <t>1 - ATIVO  FINANCEIRO  (1)</t>
  </si>
  <si>
    <t>3- ATIVO REAL (3 = 1 + 2)</t>
  </si>
  <si>
    <t xml:space="preserve">         Caixa </t>
  </si>
  <si>
    <t xml:space="preserve">         Bancos Conta Movimento</t>
  </si>
  <si>
    <t xml:space="preserve">          Operações de Crédito - Internas</t>
  </si>
  <si>
    <t>4- PASSIVO  FINANCEIRO (4)</t>
  </si>
  <si>
    <t>DEMONSTRATIVO FINANCEIRO - VALORES PROJETADOS</t>
  </si>
  <si>
    <t>DESPESAS ORÇAMENTÁRIAS</t>
  </si>
  <si>
    <t>2026/02</t>
  </si>
  <si>
    <t>2027/01</t>
  </si>
  <si>
    <t>2027/02</t>
  </si>
  <si>
    <t>2028/01</t>
  </si>
  <si>
    <t>2029/01</t>
  </si>
  <si>
    <t>2029/02</t>
  </si>
  <si>
    <t>2030/01</t>
  </si>
  <si>
    <t>2030/02</t>
  </si>
  <si>
    <t>2031/01</t>
  </si>
  <si>
    <t xml:space="preserve">       DEPÓSITOS EM CONSIGNAÇÃO</t>
  </si>
  <si>
    <t>2031/02</t>
  </si>
  <si>
    <t>1.1.1.3. - IRRF</t>
  </si>
  <si>
    <t>Em  US$</t>
  </si>
  <si>
    <t>DESEMBOLSO</t>
  </si>
  <si>
    <t>C. CRÉDITO</t>
  </si>
  <si>
    <t xml:space="preserve"> Encargos  Totais</t>
  </si>
  <si>
    <t>ANO  1</t>
  </si>
  <si>
    <t>ANO  2</t>
  </si>
  <si>
    <t>ANO  3</t>
  </si>
  <si>
    <t>ANO  4</t>
  </si>
  <si>
    <t>ANO  5</t>
  </si>
  <si>
    <t>Total</t>
  </si>
  <si>
    <t>1.8.1.0. - Receita da Dívida Ativa</t>
  </si>
  <si>
    <t>1.8.2.0. - Demais Receitas Correntes</t>
  </si>
  <si>
    <t>1.7.1.2. - Demais Transferências União</t>
  </si>
  <si>
    <t>1.7.2.2. - Demais Transferências Estado</t>
  </si>
  <si>
    <t>2016</t>
  </si>
  <si>
    <t>2.1.1.0. - Operações Crédito Interno</t>
  </si>
  <si>
    <t>2.1.2.0. - Operações Crédito Externo</t>
  </si>
  <si>
    <t>3.2.2.2. - Outras Operações Externas</t>
  </si>
  <si>
    <t xml:space="preserve">             - Outras Operações Externas</t>
  </si>
  <si>
    <t>1.1.1.4. - ITBI</t>
  </si>
  <si>
    <t>1.1.1.2. - ISSQN</t>
  </si>
  <si>
    <t>2.1.2.2. - Outras Operações Externas</t>
  </si>
  <si>
    <t>AMORTIZAÇÃO</t>
  </si>
  <si>
    <t>2032/01</t>
  </si>
  <si>
    <t>2.1.2.0. - Operações de Crédito Externo</t>
  </si>
  <si>
    <t>4.3.2.0. - Outras Transferências Capital</t>
  </si>
  <si>
    <t xml:space="preserve">1.4.0.0. - Receita Agropecuária  </t>
  </si>
  <si>
    <t xml:space="preserve">1.5.0.0. - Receita Industrial  </t>
  </si>
  <si>
    <t>2017</t>
  </si>
  <si>
    <t xml:space="preserve">ALTERNATIVA: Desconsiderando o Financiamento do BID   </t>
  </si>
  <si>
    <t>2032/02</t>
  </si>
  <si>
    <t>AMORTIZAÇÃ0</t>
  </si>
  <si>
    <t xml:space="preserve">       REALIZÁVEL DE CURTO PRAZO</t>
  </si>
  <si>
    <t xml:space="preserve">          Bens e Valores em Circulação </t>
  </si>
  <si>
    <t xml:space="preserve">       REALIZÁVEL DE LONGO PRAZO</t>
  </si>
  <si>
    <t xml:space="preserve">         Crédito da Dívida Ativa</t>
  </si>
  <si>
    <t xml:space="preserve">       DEPÓSITOS DIVERSOS</t>
  </si>
  <si>
    <t>5- PASSIVO  NÃO FINANCEIRO (5)</t>
  </si>
  <si>
    <t xml:space="preserve">          Operações de Crédito - Externas</t>
  </si>
  <si>
    <t xml:space="preserve">          Créditos a Receber</t>
  </si>
  <si>
    <t xml:space="preserve">         Investimentos</t>
  </si>
  <si>
    <t xml:space="preserve">          Outras Exigibilidades</t>
  </si>
  <si>
    <t>2.3.0.0. - Amortização de Empréstimos</t>
  </si>
  <si>
    <t>2033/01</t>
  </si>
  <si>
    <t>1.3.1.0. - Valores Mobiliários</t>
  </si>
  <si>
    <t>2008</t>
  </si>
  <si>
    <t>09,10</t>
  </si>
  <si>
    <t>2034/01</t>
  </si>
  <si>
    <t>Em  R$</t>
  </si>
  <si>
    <t>2018</t>
  </si>
  <si>
    <t>2 - ATIVO  PERMANENTE (2)</t>
  </si>
  <si>
    <t>DEDUÇÕES RECEITA P/FUNDEB</t>
  </si>
  <si>
    <t>MÉDIO</t>
  </si>
  <si>
    <t>2009</t>
  </si>
  <si>
    <t>2010</t>
  </si>
  <si>
    <t>2019</t>
  </si>
  <si>
    <t>2020</t>
  </si>
  <si>
    <t>2034/02</t>
  </si>
  <si>
    <t>2035/01</t>
  </si>
  <si>
    <t>2036/01</t>
  </si>
  <si>
    <t>2033/02</t>
  </si>
  <si>
    <t xml:space="preserve">       RESTOS A PAGAR</t>
  </si>
  <si>
    <t xml:space="preserve">         Valores  Diversos</t>
  </si>
  <si>
    <t xml:space="preserve">       IMOBILIZADO</t>
  </si>
  <si>
    <r>
      <t xml:space="preserve">Condições do Empréstimo: </t>
    </r>
    <r>
      <rPr>
        <sz val="9"/>
        <rFont val="Arial"/>
        <family val="2"/>
      </rPr>
      <t>25 Anos, com 11 Semestres (5,5 anos) de Carência; Amortização em 39 Parcelas Semestrais Iguais; Comissão de Crédito de 0,25%  a.a., paga semestralmente (com carência de seis meses); Inspeção e Vigilância de 0% do Valor do Empréstimo.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Juros de 1,90% a.a., pagos semestralmente (com carência de seis meses)</t>
    </r>
    <r>
      <rPr>
        <b/>
        <sz val="9"/>
        <rFont val="Arial"/>
        <family val="2"/>
      </rPr>
      <t>.</t>
    </r>
  </si>
  <si>
    <r>
      <t>Condições do Empréstimo:</t>
    </r>
    <r>
      <rPr>
        <sz val="9"/>
        <rFont val="Arial"/>
        <family val="2"/>
      </rPr>
      <t xml:space="preserve"> 25 Anos, com 09 Semestres (4,5 anos) de Carência; Amortização em 41 Parcelas Semestrais Iguais; Comissão de Crédito de 0,25%  a.a., paga semestralmente (com carência de seis meses); Inspeção e Vigilância de 0% do Valor do Empréstimo. Juros de 1,90% a.a., pagos semestralmente (com carência de seis meses).</t>
    </r>
  </si>
  <si>
    <t>1.7.2.2. - Demais Transf. Estado</t>
  </si>
  <si>
    <t>-01,43</t>
  </si>
  <si>
    <t>11,30</t>
  </si>
  <si>
    <t>2007/2006</t>
  </si>
  <si>
    <t>2008/2007</t>
  </si>
  <si>
    <t>2009/5008</t>
  </si>
  <si>
    <t>2010/2009</t>
  </si>
  <si>
    <t>MEDIA</t>
  </si>
  <si>
    <t>2010/2006</t>
  </si>
  <si>
    <t>2008/2006</t>
  </si>
  <si>
    <t>2009/2008</t>
  </si>
  <si>
    <t>1.5.0.0. - Receita Industrial</t>
  </si>
  <si>
    <t>2.3.0.0. - Amortização de Empréstimo</t>
  </si>
  <si>
    <t>2011</t>
  </si>
  <si>
    <t>05,00</t>
  </si>
  <si>
    <t>1.9.0.0. - Rec.Cor. Intra-Orçamentárias</t>
  </si>
  <si>
    <t xml:space="preserve">         Aplicações Financeiras </t>
  </si>
  <si>
    <t xml:space="preserve">          Outros Valores Realizáveis</t>
  </si>
  <si>
    <t xml:space="preserve">         Bens Móveis e Imóveis</t>
  </si>
  <si>
    <t xml:space="preserve">         Títulos e Valores Intangíveis</t>
  </si>
  <si>
    <t xml:space="preserve">       OUTRAS OBRIGAÇÕES A PAGAR</t>
  </si>
  <si>
    <t xml:space="preserve">       PRECATÓRIOS</t>
  </si>
  <si>
    <t xml:space="preserve">       DÍVIDA  FUNDADA</t>
  </si>
  <si>
    <t xml:space="preserve">         Demais Disponibilidades</t>
  </si>
  <si>
    <r>
      <t xml:space="preserve">         </t>
    </r>
    <r>
      <rPr>
        <sz val="11"/>
        <rFont val="Arial"/>
        <family val="2"/>
      </rPr>
      <t xml:space="preserve"> Outros Valores Realizáveis</t>
    </r>
  </si>
  <si>
    <t xml:space="preserve">          Depósitos Realizáveis de C. Prazo</t>
  </si>
  <si>
    <t xml:space="preserve">          Investimentos em Reg. Prev.Própria</t>
  </si>
  <si>
    <t>2014**</t>
  </si>
  <si>
    <t>2021</t>
  </si>
  <si>
    <t>2037/01</t>
  </si>
  <si>
    <t>PRIMEIRA ALTERNATIVA DE DESEMBOLSO: Empréstimo do BID no valor de US$ 21.450.000,00.</t>
  </si>
  <si>
    <t>SEGUNDA ALTERNATIVA DE DESEMBOLSO: Empréstimo do BID no  valor de US$ 21.450.000,00</t>
  </si>
  <si>
    <t>TERCEIRA ALTERNATIVA DE DESEMBOLSO: Empréstimo do BID no valor de US$ 21.450.000,00</t>
  </si>
  <si>
    <t>SEGUNDA ALTERNATIVA: Financiamento do BID de US$ 21.450.000,00, com Desembolso em 04 anos</t>
  </si>
  <si>
    <t xml:space="preserve">2.1.2.1. - Desen. Urbano Sustentável </t>
  </si>
  <si>
    <t>3.2.2.1. - Desen. Urbano Sustentável</t>
  </si>
  <si>
    <t>4.1.1.0. - Desen. Urbano Sustentável</t>
  </si>
  <si>
    <t xml:space="preserve">             - Desen. Urbano Sustentável</t>
  </si>
  <si>
    <t>2.1.2.1. -  Desen. Urbano Sustentável</t>
  </si>
  <si>
    <t>3.2.2.1. -  Desen. Urbano Sustentável</t>
  </si>
  <si>
    <t>4.1.1.0. -  Desen. Urbano Sustentável</t>
  </si>
  <si>
    <t xml:space="preserve">             -  Desen. Urbano Sustentável</t>
  </si>
  <si>
    <t>Em R$ 1.000</t>
  </si>
  <si>
    <t xml:space="preserve">TERCEIRA ALTERNATIVA: Financiamento do BID de US$ 21.450.000,00, com Desembolso em 05 anos </t>
  </si>
  <si>
    <t xml:space="preserve">MUNICÍPIO DE LONDRINA </t>
  </si>
  <si>
    <t>MUNICÍPIO DE LONDRINA</t>
  </si>
  <si>
    <t xml:space="preserve">          Valores Pendentes  de C. Prazo</t>
  </si>
  <si>
    <r>
      <t xml:space="preserve">       </t>
    </r>
    <r>
      <rPr>
        <b/>
        <sz val="11"/>
        <color indexed="12"/>
        <rFont val="Arial"/>
        <family val="2"/>
      </rPr>
      <t>OUTROS DÉBITOS  A PAGAR</t>
    </r>
  </si>
  <si>
    <t xml:space="preserve">          Valores Pendentes de C. Prazo</t>
  </si>
  <si>
    <r>
      <t xml:space="preserve">       </t>
    </r>
    <r>
      <rPr>
        <b/>
        <sz val="11"/>
        <color indexed="12"/>
        <rFont val="Arial"/>
        <family val="2"/>
      </rPr>
      <t>OUTROS DÉBITOS A PAGAR</t>
    </r>
  </si>
  <si>
    <t>4.1.1.2. - Contrapartida de Londrina</t>
  </si>
  <si>
    <t>Taxa de câmbio US$/R$ 1,85</t>
  </si>
  <si>
    <t>Taxa de Câmbio US$/R 1,85</t>
  </si>
  <si>
    <t xml:space="preserve"> Encargos Totais</t>
  </si>
  <si>
    <t>2012</t>
  </si>
  <si>
    <t>08,10</t>
  </si>
  <si>
    <t>2037/02</t>
  </si>
  <si>
    <t>2013*</t>
  </si>
  <si>
    <t>2015**</t>
  </si>
  <si>
    <t>2022</t>
  </si>
  <si>
    <t>OBS: * Valores para 2013 foram calculados a patir da LOA de 2013</t>
  </si>
  <si>
    <t xml:space="preserve">        ** Valores para 2014 e 2015 foram calculados a partir das previsões da LDO  2013.</t>
  </si>
  <si>
    <t xml:space="preserve">            Para o período de 2016 - 2022, as Receitas e as Despesas foram calculadas de acordo com o estabelecido nos parágrafos 5.15 a 5.20</t>
  </si>
  <si>
    <t xml:space="preserve">OBS: * Valores para 2013 foram calculados a patir da LOA de 2013 </t>
  </si>
  <si>
    <t xml:space="preserve">        ** Valores para 2014 e  2015 foram calculados a partir das previsões da LDO  2013</t>
  </si>
  <si>
    <t xml:space="preserve">            Para o período de 2016 - 2022, as Receitas e as Despesas foram calculadas de acordo com o estabelecido nos paragrafos 5.15 a 5.20</t>
  </si>
  <si>
    <t xml:space="preserve">PRIMEIRA ALTERNATIVA: Financiamento do BID de US$ 21.450.000,00, com Desembolso em 04 anos </t>
  </si>
  <si>
    <t xml:space="preserve">2017 </t>
  </si>
  <si>
    <t xml:space="preserve">        ** Valores para  2014 e 2015 foram calculados a partir das previsões da LDO  2013</t>
  </si>
  <si>
    <t xml:space="preserve">            Para o período de 2016 - 2022, as Receitas e as despesas foram calculadas de acordo com o estabelecido nos paragrafos 5.15 a 5.20</t>
  </si>
  <si>
    <t xml:space="preserve">            Para o período de 2016 - 2022, as Receitas e as Despesas foram calculadas de acordo com o estabelecida nos paragrafos 5.15 a 5.20</t>
  </si>
  <si>
    <r>
      <t xml:space="preserve">         </t>
    </r>
    <r>
      <rPr>
        <sz val="11"/>
        <rFont val="Arial"/>
        <family val="2"/>
      </rPr>
      <t>Restos a Pagar Processados</t>
    </r>
  </si>
  <si>
    <r>
      <t xml:space="preserve">         </t>
    </r>
    <r>
      <rPr>
        <sz val="11"/>
        <rFont val="Arial"/>
        <family val="2"/>
      </rPr>
      <t>Restos a Pagar Não Processados</t>
    </r>
  </si>
  <si>
    <t>1.4.0.0. - Receita Agropecuária</t>
  </si>
  <si>
    <t>2028/02</t>
  </si>
  <si>
    <t>2035/02</t>
  </si>
  <si>
    <t>2036/02</t>
  </si>
  <si>
    <t>ANEXO RELATORIO AVALIACAO FINANCIERA MUNICIPIO DE LONDRINA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</si>
</sst>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00_);_(* \(#,##0.000\);_(* &quot;-&quot;??_);_(@_)"/>
    <numFmt numFmtId="179" formatCode="_(* #,##0.000_);_(* \(#,##0.000\);_(* &quot;-&quot;???_);_(@_)"/>
    <numFmt numFmtId="180" formatCode="0.0"/>
    <numFmt numFmtId="181" formatCode="#,##0.0"/>
    <numFmt numFmtId="182" formatCode="#,##0.000"/>
    <numFmt numFmtId="183" formatCode="_(* #,##0.000000_);_(* \(#,##0.000000\);_(* &quot;-&quot;??????_);_(@_)"/>
    <numFmt numFmtId="184" formatCode="0.00;[Red]0.00"/>
    <numFmt numFmtId="185" formatCode="0.000;[Red]0.000"/>
    <numFmt numFmtId="186" formatCode="_(* #,##0_);_(* \(#,##0\);_(* &quot;-&quot;??_);_(@_)"/>
    <numFmt numFmtId="187" formatCode="_(* #,##0.0000_);_(* \(#,##0.0000\);_(* &quot;-&quot;????_);_(@_)"/>
    <numFmt numFmtId="188" formatCode="_(* #,##0.00000_);_(* \(#,##0.00000\);_(* &quot;-&quot;?????_);_(@_)"/>
    <numFmt numFmtId="189" formatCode="_(* #,##0.0_);_(* \(#,##0.0\);_(* &quot;-&quot;??_);_(@_)"/>
    <numFmt numFmtId="190" formatCode="_(* #,##0.00000_);_(* \(#,##0.00000\);_(* &quot;-&quot;??????_);_(@_)"/>
    <numFmt numFmtId="191" formatCode="_(* #,##0.0000_);_(* \(#,##0.0000\);_(* &quot;-&quot;??????_);_(@_)"/>
    <numFmt numFmtId="192" formatCode="_(* #,##0.000_);_(* \(#,##0.000\);_(* &quot;-&quot;??????_);_(@_)"/>
    <numFmt numFmtId="193" formatCode="_(* #,##0.00_);_(* \(#,##0.00\);_(* &quot;-&quot;??????_);_(@_)"/>
    <numFmt numFmtId="194" formatCode="_(* #,##0.0_);_(* \(#,##0.0\);_(* &quot;-&quot;??????_);_(@_)"/>
    <numFmt numFmtId="195" formatCode="_(* #,##0_);_(* \(#,##0\);_(* &quot;-&quot;??????_);_(@_)"/>
    <numFmt numFmtId="196" formatCode="0.00_);[Red]\(0.00\)"/>
    <numFmt numFmtId="197" formatCode="0.00_);\(0.00\)"/>
    <numFmt numFmtId="198" formatCode="#,##0.000_);[Red]\(#,##0.000\)"/>
    <numFmt numFmtId="199" formatCode="#,##0.00;[Red]#,##0.00"/>
    <numFmt numFmtId="200" formatCode="0.0_);[Red]\(0.0\)"/>
    <numFmt numFmtId="201" formatCode="#,##0;[Red]#,##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0000"/>
    <numFmt numFmtId="207" formatCode="#,##0.00000_);\(#,##0.00000\)"/>
    <numFmt numFmtId="208" formatCode="#,##0.0000_);\(#,##0.0000\)"/>
    <numFmt numFmtId="209" formatCode="#,##0.000000;[Red]#,##0.000000"/>
    <numFmt numFmtId="210" formatCode="#,##0.00000;[Red]#,##0.00000"/>
    <numFmt numFmtId="211" formatCode="#,##0.00_ ;\-#,##0.00\ "/>
    <numFmt numFmtId="212" formatCode="#,##0_ ;\-#,##0\ "/>
    <numFmt numFmtId="213" formatCode="#,##0.0000_ ;\-#,##0.0000\ "/>
    <numFmt numFmtId="214" formatCode="&quot;Sim&quot;;&quot;Sim&quot;;&quot;Não&quot;"/>
    <numFmt numFmtId="215" formatCode="&quot;Verdadeiro&quot;;&quot;Verdadeiro&quot;;&quot;Falso&quot;"/>
    <numFmt numFmtId="216" formatCode="&quot;Ativar&quot;;&quot;Ativar&quot;;&quot;Desativar&quot;"/>
    <numFmt numFmtId="217" formatCode="00000"/>
  </numFmts>
  <fonts count="6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b/>
      <sz val="8"/>
      <color indexed="48"/>
      <name val="Arial"/>
      <family val="2"/>
    </font>
    <font>
      <b/>
      <sz val="7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1.5"/>
      <color indexed="12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  <font>
      <sz val="11.5"/>
      <color indexed="8"/>
      <name val="Arial"/>
      <family val="2"/>
    </font>
    <font>
      <sz val="10"/>
      <name val="Tahoma"/>
      <family val="0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0" fontId="4" fillId="0" borderId="0" xfId="42" applyNumberFormat="1" applyFont="1" applyBorder="1" applyAlignment="1">
      <alignment vertic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180" fontId="11" fillId="0" borderId="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180" fontId="3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43" fontId="3" fillId="0" borderId="16" xfId="42" applyFont="1" applyBorder="1" applyAlignment="1" quotePrefix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5" fontId="1" fillId="0" borderId="0" xfId="0" applyNumberFormat="1" applyFont="1" applyBorder="1" applyAlignment="1">
      <alignment horizontal="center" vertical="center"/>
    </xf>
    <xf numFmtId="40" fontId="1" fillId="0" borderId="0" xfId="0" applyNumberFormat="1" applyFont="1" applyFill="1" applyBorder="1" applyAlignment="1">
      <alignment horizontal="right" vertical="center"/>
    </xf>
    <xf numFmtId="40" fontId="0" fillId="0" borderId="0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left" vertical="center"/>
    </xf>
    <xf numFmtId="40" fontId="14" fillId="0" borderId="0" xfId="0" applyNumberFormat="1" applyFont="1" applyFill="1" applyBorder="1" applyAlignment="1">
      <alignment horizontal="right" vertical="center"/>
    </xf>
    <xf numFmtId="180" fontId="3" fillId="0" borderId="15" xfId="0" applyNumberFormat="1" applyFont="1" applyBorder="1" applyAlignment="1">
      <alignment vertical="center"/>
    </xf>
    <xf numFmtId="180" fontId="10" fillId="34" borderId="17" xfId="0" applyNumberFormat="1" applyFont="1" applyFill="1" applyBorder="1" applyAlignment="1">
      <alignment horizontal="center" vertical="center"/>
    </xf>
    <xf numFmtId="180" fontId="3" fillId="34" borderId="17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vertical="center"/>
    </xf>
    <xf numFmtId="37" fontId="11" fillId="36" borderId="18" xfId="42" applyNumberFormat="1" applyFont="1" applyFill="1" applyBorder="1" applyAlignment="1">
      <alignment horizontal="right"/>
    </xf>
    <xf numFmtId="37" fontId="11" fillId="0" borderId="18" xfId="42" applyNumberFormat="1" applyFont="1" applyFill="1" applyBorder="1" applyAlignment="1">
      <alignment horizontal="right"/>
    </xf>
    <xf numFmtId="37" fontId="11" fillId="0" borderId="15" xfId="42" applyNumberFormat="1" applyFont="1" applyFill="1" applyBorder="1" applyAlignment="1">
      <alignment horizontal="right"/>
    </xf>
    <xf numFmtId="37" fontId="11" fillId="0" borderId="16" xfId="42" applyNumberFormat="1" applyFont="1" applyFill="1" applyBorder="1" applyAlignment="1">
      <alignment horizontal="center"/>
    </xf>
    <xf numFmtId="37" fontId="11" fillId="0" borderId="19" xfId="42" applyNumberFormat="1" applyFont="1" applyFill="1" applyBorder="1" applyAlignment="1">
      <alignment horizontal="center"/>
    </xf>
    <xf numFmtId="37" fontId="11" fillId="36" borderId="10" xfId="42" applyNumberFormat="1" applyFont="1" applyFill="1" applyBorder="1" applyAlignment="1">
      <alignment horizontal="center"/>
    </xf>
    <xf numFmtId="37" fontId="11" fillId="36" borderId="18" xfId="42" applyNumberFormat="1" applyFont="1" applyFill="1" applyBorder="1" applyAlignment="1">
      <alignment horizontal="center"/>
    </xf>
    <xf numFmtId="37" fontId="11" fillId="36" borderId="20" xfId="42" applyNumberFormat="1" applyFont="1" applyFill="1" applyBorder="1" applyAlignment="1">
      <alignment horizontal="right"/>
    </xf>
    <xf numFmtId="37" fontId="11" fillId="0" borderId="10" xfId="42" applyNumberFormat="1" applyFont="1" applyFill="1" applyBorder="1" applyAlignment="1">
      <alignment horizontal="right"/>
    </xf>
    <xf numFmtId="37" fontId="11" fillId="0" borderId="18" xfId="42" applyNumberFormat="1" applyFont="1" applyFill="1" applyBorder="1" applyAlignment="1">
      <alignment horizontal="center"/>
    </xf>
    <xf numFmtId="37" fontId="11" fillId="0" borderId="20" xfId="42" applyNumberFormat="1" applyFont="1" applyFill="1" applyBorder="1" applyAlignment="1">
      <alignment horizontal="right"/>
    </xf>
    <xf numFmtId="37" fontId="11" fillId="36" borderId="10" xfId="42" applyNumberFormat="1" applyFont="1" applyFill="1" applyBorder="1" applyAlignment="1">
      <alignment horizontal="right"/>
    </xf>
    <xf numFmtId="37" fontId="11" fillId="0" borderId="21" xfId="42" applyNumberFormat="1" applyFont="1" applyFill="1" applyBorder="1" applyAlignment="1">
      <alignment horizontal="right"/>
    </xf>
    <xf numFmtId="37" fontId="11" fillId="0" borderId="22" xfId="42" applyNumberFormat="1" applyFont="1" applyFill="1" applyBorder="1" applyAlignment="1">
      <alignment horizontal="center"/>
    </xf>
    <xf numFmtId="37" fontId="11" fillId="0" borderId="22" xfId="42" applyNumberFormat="1" applyFont="1" applyFill="1" applyBorder="1" applyAlignment="1">
      <alignment horizontal="right"/>
    </xf>
    <xf numFmtId="37" fontId="11" fillId="0" borderId="23" xfId="42" applyNumberFormat="1" applyFont="1" applyFill="1" applyBorder="1" applyAlignment="1">
      <alignment horizontal="right"/>
    </xf>
    <xf numFmtId="0" fontId="11" fillId="37" borderId="24" xfId="0" applyFont="1" applyFill="1" applyBorder="1" applyAlignment="1">
      <alignment horizontal="center"/>
    </xf>
    <xf numFmtId="3" fontId="11" fillId="37" borderId="25" xfId="42" applyNumberFormat="1" applyFont="1" applyFill="1" applyBorder="1" applyAlignment="1">
      <alignment horizontal="center"/>
    </xf>
    <xf numFmtId="3" fontId="11" fillId="37" borderId="26" xfId="42" applyNumberFormat="1" applyFont="1" applyFill="1" applyBorder="1" applyAlignment="1">
      <alignment horizontal="right"/>
    </xf>
    <xf numFmtId="3" fontId="11" fillId="37" borderId="26" xfId="42" applyNumberFormat="1" applyFont="1" applyFill="1" applyBorder="1" applyAlignment="1">
      <alignment horizontal="center"/>
    </xf>
    <xf numFmtId="3" fontId="11" fillId="37" borderId="27" xfId="42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37" fontId="11" fillId="38" borderId="10" xfId="42" applyNumberFormat="1" applyFont="1" applyFill="1" applyBorder="1" applyAlignment="1">
      <alignment horizontal="center"/>
    </xf>
    <xf numFmtId="37" fontId="11" fillId="38" borderId="18" xfId="42" applyNumberFormat="1" applyFont="1" applyFill="1" applyBorder="1" applyAlignment="1">
      <alignment horizontal="right"/>
    </xf>
    <xf numFmtId="37" fontId="11" fillId="38" borderId="18" xfId="42" applyNumberFormat="1" applyFont="1" applyFill="1" applyBorder="1" applyAlignment="1">
      <alignment horizontal="center"/>
    </xf>
    <xf numFmtId="37" fontId="11" fillId="38" borderId="20" xfId="42" applyNumberFormat="1" applyFont="1" applyFill="1" applyBorder="1" applyAlignment="1">
      <alignment horizontal="right"/>
    </xf>
    <xf numFmtId="37" fontId="11" fillId="38" borderId="10" xfId="42" applyNumberFormat="1" applyFont="1" applyFill="1" applyBorder="1" applyAlignment="1">
      <alignment horizontal="right"/>
    </xf>
    <xf numFmtId="37" fontId="11" fillId="39" borderId="10" xfId="42" applyNumberFormat="1" applyFont="1" applyFill="1" applyBorder="1" applyAlignment="1">
      <alignment horizontal="center"/>
    </xf>
    <xf numFmtId="37" fontId="11" fillId="39" borderId="18" xfId="42" applyNumberFormat="1" applyFont="1" applyFill="1" applyBorder="1" applyAlignment="1">
      <alignment horizontal="right"/>
    </xf>
    <xf numFmtId="37" fontId="11" fillId="39" borderId="18" xfId="42" applyNumberFormat="1" applyFont="1" applyFill="1" applyBorder="1" applyAlignment="1">
      <alignment horizontal="center"/>
    </xf>
    <xf numFmtId="37" fontId="11" fillId="39" borderId="20" xfId="42" applyNumberFormat="1" applyFont="1" applyFill="1" applyBorder="1" applyAlignment="1">
      <alignment horizontal="right"/>
    </xf>
    <xf numFmtId="37" fontId="11" fillId="39" borderId="10" xfId="42" applyNumberFormat="1" applyFont="1" applyFill="1" applyBorder="1" applyAlignment="1">
      <alignment horizontal="right"/>
    </xf>
    <xf numFmtId="37" fontId="11" fillId="34" borderId="10" xfId="42" applyNumberFormat="1" applyFont="1" applyFill="1" applyBorder="1" applyAlignment="1">
      <alignment horizontal="right"/>
    </xf>
    <xf numFmtId="37" fontId="11" fillId="34" borderId="18" xfId="42" applyNumberFormat="1" applyFont="1" applyFill="1" applyBorder="1" applyAlignment="1">
      <alignment horizontal="right"/>
    </xf>
    <xf numFmtId="37" fontId="11" fillId="34" borderId="18" xfId="42" applyNumberFormat="1" applyFont="1" applyFill="1" applyBorder="1" applyAlignment="1">
      <alignment horizontal="center"/>
    </xf>
    <xf numFmtId="37" fontId="11" fillId="34" borderId="20" xfId="42" applyNumberFormat="1" applyFont="1" applyFill="1" applyBorder="1" applyAlignment="1">
      <alignment horizontal="right"/>
    </xf>
    <xf numFmtId="37" fontId="11" fillId="38" borderId="20" xfId="42" applyNumberFormat="1" applyFont="1" applyFill="1" applyBorder="1" applyAlignment="1">
      <alignment horizontal="center"/>
    </xf>
    <xf numFmtId="37" fontId="11" fillId="34" borderId="20" xfId="42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37" borderId="12" xfId="0" applyFont="1" applyFill="1" applyBorder="1" applyAlignment="1">
      <alignment horizontal="center"/>
    </xf>
    <xf numFmtId="0" fontId="18" fillId="37" borderId="28" xfId="0" applyFont="1" applyFill="1" applyBorder="1" applyAlignment="1">
      <alignment horizontal="center"/>
    </xf>
    <xf numFmtId="0" fontId="18" fillId="37" borderId="29" xfId="0" applyFont="1" applyFill="1" applyBorder="1" applyAlignment="1">
      <alignment horizontal="center"/>
    </xf>
    <xf numFmtId="0" fontId="18" fillId="37" borderId="30" xfId="0" applyFont="1" applyFill="1" applyBorder="1" applyAlignment="1">
      <alignment horizontal="center"/>
    </xf>
    <xf numFmtId="0" fontId="18" fillId="37" borderId="31" xfId="0" applyFont="1" applyFill="1" applyBorder="1" applyAlignment="1">
      <alignment horizontal="center"/>
    </xf>
    <xf numFmtId="0" fontId="18" fillId="37" borderId="32" xfId="0" applyFont="1" applyFill="1" applyBorder="1" applyAlignment="1">
      <alignment horizontal="center"/>
    </xf>
    <xf numFmtId="0" fontId="18" fillId="37" borderId="33" xfId="0" applyFont="1" applyFill="1" applyBorder="1" applyAlignment="1">
      <alignment horizontal="center"/>
    </xf>
    <xf numFmtId="0" fontId="18" fillId="37" borderId="34" xfId="0" applyFont="1" applyFill="1" applyBorder="1" applyAlignment="1">
      <alignment horizontal="center"/>
    </xf>
    <xf numFmtId="0" fontId="18" fillId="37" borderId="18" xfId="0" applyFont="1" applyFill="1" applyBorder="1" applyAlignment="1">
      <alignment horizontal="center"/>
    </xf>
    <xf numFmtId="0" fontId="18" fillId="37" borderId="35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7" fontId="9" fillId="0" borderId="0" xfId="42" applyNumberFormat="1" applyFont="1" applyFill="1" applyBorder="1" applyAlignment="1">
      <alignment horizontal="center"/>
    </xf>
    <xf numFmtId="37" fontId="4" fillId="0" borderId="0" xfId="42" applyNumberFormat="1" applyFont="1" applyFill="1" applyBorder="1" applyAlignment="1">
      <alignment horizontal="right"/>
    </xf>
    <xf numFmtId="37" fontId="3" fillId="0" borderId="0" xfId="0" applyNumberFormat="1" applyFont="1" applyAlignment="1">
      <alignment horizontal="right"/>
    </xf>
    <xf numFmtId="201" fontId="1" fillId="0" borderId="0" xfId="0" applyNumberFormat="1" applyFont="1" applyAlignment="1">
      <alignment horizontal="center"/>
    </xf>
    <xf numFmtId="37" fontId="3" fillId="0" borderId="0" xfId="42" applyNumberFormat="1" applyFont="1" applyFill="1" applyBorder="1" applyAlignment="1">
      <alignment horizontal="right"/>
    </xf>
    <xf numFmtId="0" fontId="18" fillId="37" borderId="36" xfId="0" applyFont="1" applyFill="1" applyBorder="1" applyAlignment="1">
      <alignment horizontal="centerContinuous"/>
    </xf>
    <xf numFmtId="0" fontId="15" fillId="0" borderId="0" xfId="0" applyFont="1" applyAlignment="1">
      <alignment/>
    </xf>
    <xf numFmtId="184" fontId="1" fillId="0" borderId="0" xfId="0" applyNumberFormat="1" applyFont="1" applyBorder="1" applyAlignment="1">
      <alignment horizontal="center" vertical="center"/>
    </xf>
    <xf numFmtId="0" fontId="11" fillId="37" borderId="31" xfId="0" applyFont="1" applyFill="1" applyBorder="1" applyAlignment="1">
      <alignment horizontal="center"/>
    </xf>
    <xf numFmtId="37" fontId="11" fillId="37" borderId="17" xfId="42" applyNumberFormat="1" applyFont="1" applyFill="1" applyBorder="1" applyAlignment="1">
      <alignment horizontal="center"/>
    </xf>
    <xf numFmtId="37" fontId="11" fillId="37" borderId="37" xfId="42" applyNumberFormat="1" applyFont="1" applyFill="1" applyBorder="1" applyAlignment="1">
      <alignment horizontal="right"/>
    </xf>
    <xf numFmtId="37" fontId="11" fillId="37" borderId="37" xfId="42" applyNumberFormat="1" applyFont="1" applyFill="1" applyBorder="1" applyAlignment="1">
      <alignment horizontal="center"/>
    </xf>
    <xf numFmtId="37" fontId="11" fillId="37" borderId="38" xfId="42" applyNumberFormat="1" applyFont="1" applyFill="1" applyBorder="1" applyAlignment="1">
      <alignment horizontal="center"/>
    </xf>
    <xf numFmtId="40" fontId="4" fillId="0" borderId="39" xfId="0" applyNumberFormat="1" applyFont="1" applyBorder="1" applyAlignment="1">
      <alignment vertical="center"/>
    </xf>
    <xf numFmtId="40" fontId="3" fillId="0" borderId="39" xfId="0" applyNumberFormat="1" applyFont="1" applyBorder="1" applyAlignment="1">
      <alignment vertical="center"/>
    </xf>
    <xf numFmtId="40" fontId="10" fillId="0" borderId="39" xfId="0" applyNumberFormat="1" applyFont="1" applyBorder="1" applyAlignment="1">
      <alignment vertical="center"/>
    </xf>
    <xf numFmtId="40" fontId="10" fillId="0" borderId="39" xfId="0" applyNumberFormat="1" applyFont="1" applyFill="1" applyBorder="1" applyAlignment="1">
      <alignment vertical="center"/>
    </xf>
    <xf numFmtId="40" fontId="3" fillId="0" borderId="39" xfId="0" applyNumberFormat="1" applyFont="1" applyFill="1" applyBorder="1" applyAlignment="1">
      <alignment vertical="center"/>
    </xf>
    <xf numFmtId="40" fontId="10" fillId="40" borderId="39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vertical="center"/>
    </xf>
    <xf numFmtId="38" fontId="13" fillId="0" borderId="18" xfId="42" applyNumberFormat="1" applyFont="1" applyBorder="1" applyAlignment="1" quotePrefix="1">
      <alignment horizontal="right" vertical="center"/>
    </xf>
    <xf numFmtId="38" fontId="8" fillId="0" borderId="18" xfId="42" applyNumberFormat="1" applyFont="1" applyBorder="1" applyAlignment="1">
      <alignment vertical="center"/>
    </xf>
    <xf numFmtId="38" fontId="13" fillId="0" borderId="18" xfId="42" applyNumberFormat="1" applyFont="1" applyBorder="1" applyAlignment="1">
      <alignment vertical="center"/>
    </xf>
    <xf numFmtId="38" fontId="11" fillId="0" borderId="18" xfId="42" applyNumberFormat="1" applyFont="1" applyBorder="1" applyAlignment="1">
      <alignment vertical="center"/>
    </xf>
    <xf numFmtId="38" fontId="11" fillId="0" borderId="18" xfId="42" applyNumberFormat="1" applyFont="1" applyFill="1" applyBorder="1" applyAlignment="1">
      <alignment vertical="center"/>
    </xf>
    <xf numFmtId="38" fontId="13" fillId="40" borderId="18" xfId="42" applyNumberFormat="1" applyFont="1" applyFill="1" applyBorder="1" applyAlignment="1">
      <alignment vertical="center"/>
    </xf>
    <xf numFmtId="38" fontId="13" fillId="0" borderId="18" xfId="42" applyNumberFormat="1" applyFont="1" applyFill="1" applyBorder="1" applyAlignment="1">
      <alignment vertical="center"/>
    </xf>
    <xf numFmtId="38" fontId="11" fillId="35" borderId="18" xfId="42" applyNumberFormat="1" applyFont="1" applyFill="1" applyBorder="1" applyAlignment="1">
      <alignment vertical="center"/>
    </xf>
    <xf numFmtId="38" fontId="8" fillId="0" borderId="18" xfId="42" applyNumberFormat="1" applyFont="1" applyFill="1" applyBorder="1" applyAlignment="1">
      <alignment vertical="center"/>
    </xf>
    <xf numFmtId="38" fontId="8" fillId="34" borderId="37" xfId="42" applyNumberFormat="1" applyFont="1" applyFill="1" applyBorder="1" applyAlignment="1">
      <alignment vertical="center"/>
    </xf>
    <xf numFmtId="40" fontId="4" fillId="35" borderId="39" xfId="0" applyNumberFormat="1" applyFont="1" applyFill="1" applyBorder="1" applyAlignment="1">
      <alignment vertical="center"/>
    </xf>
    <xf numFmtId="38" fontId="13" fillId="0" borderId="20" xfId="42" applyNumberFormat="1" applyFont="1" applyBorder="1" applyAlignment="1" quotePrefix="1">
      <alignment horizontal="right" vertical="center"/>
    </xf>
    <xf numFmtId="38" fontId="8" fillId="0" borderId="20" xfId="42" applyNumberFormat="1" applyFont="1" applyBorder="1" applyAlignment="1">
      <alignment vertical="center"/>
    </xf>
    <xf numFmtId="38" fontId="13" fillId="0" borderId="20" xfId="42" applyNumberFormat="1" applyFont="1" applyBorder="1" applyAlignment="1">
      <alignment vertical="center"/>
    </xf>
    <xf numFmtId="38" fontId="11" fillId="0" borderId="20" xfId="42" applyNumberFormat="1" applyFont="1" applyBorder="1" applyAlignment="1">
      <alignment vertical="center"/>
    </xf>
    <xf numFmtId="38" fontId="11" fillId="0" borderId="20" xfId="42" applyNumberFormat="1" applyFont="1" applyFill="1" applyBorder="1" applyAlignment="1">
      <alignment vertical="center"/>
    </xf>
    <xf numFmtId="38" fontId="13" fillId="40" borderId="20" xfId="42" applyNumberFormat="1" applyFont="1" applyFill="1" applyBorder="1" applyAlignment="1">
      <alignment vertical="center"/>
    </xf>
    <xf numFmtId="38" fontId="13" fillId="0" borderId="20" xfId="42" applyNumberFormat="1" applyFont="1" applyFill="1" applyBorder="1" applyAlignment="1">
      <alignment vertical="center"/>
    </xf>
    <xf numFmtId="38" fontId="11" fillId="35" borderId="20" xfId="42" applyNumberFormat="1" applyFont="1" applyFill="1" applyBorder="1" applyAlignment="1">
      <alignment vertical="center"/>
    </xf>
    <xf numFmtId="38" fontId="8" fillId="0" borderId="20" xfId="42" applyNumberFormat="1" applyFont="1" applyFill="1" applyBorder="1" applyAlignment="1">
      <alignment vertical="center"/>
    </xf>
    <xf numFmtId="38" fontId="8" fillId="34" borderId="38" xfId="42" applyNumberFormat="1" applyFont="1" applyFill="1" applyBorder="1" applyAlignment="1">
      <alignment vertical="center"/>
    </xf>
    <xf numFmtId="37" fontId="8" fillId="0" borderId="16" xfId="42" applyNumberFormat="1" applyFont="1" applyBorder="1" applyAlignment="1">
      <alignment vertical="center"/>
    </xf>
    <xf numFmtId="37" fontId="13" fillId="0" borderId="18" xfId="42" applyNumberFormat="1" applyFont="1" applyBorder="1" applyAlignment="1">
      <alignment vertical="center"/>
    </xf>
    <xf numFmtId="37" fontId="8" fillId="0" borderId="18" xfId="42" applyNumberFormat="1" applyFont="1" applyBorder="1" applyAlignment="1">
      <alignment vertical="center"/>
    </xf>
    <xf numFmtId="37" fontId="8" fillId="0" borderId="18" xfId="42" applyNumberFormat="1" applyFont="1" applyFill="1" applyBorder="1" applyAlignment="1">
      <alignment vertical="center"/>
    </xf>
    <xf numFmtId="37" fontId="13" fillId="34" borderId="37" xfId="42" applyNumberFormat="1" applyFont="1" applyFill="1" applyBorder="1" applyAlignment="1">
      <alignment vertical="center"/>
    </xf>
    <xf numFmtId="206" fontId="9" fillId="0" borderId="0" xfId="0" applyNumberFormat="1" applyFont="1" applyAlignment="1">
      <alignment/>
    </xf>
    <xf numFmtId="206" fontId="20" fillId="0" borderId="0" xfId="0" applyNumberFormat="1" applyFont="1" applyAlignment="1">
      <alignment/>
    </xf>
    <xf numFmtId="206" fontId="20" fillId="0" borderId="0" xfId="0" applyNumberFormat="1" applyFont="1" applyFill="1" applyBorder="1" applyAlignment="1">
      <alignment/>
    </xf>
    <xf numFmtId="206" fontId="20" fillId="40" borderId="0" xfId="0" applyNumberFormat="1" applyFont="1" applyFill="1" applyAlignment="1">
      <alignment/>
    </xf>
    <xf numFmtId="206" fontId="5" fillId="0" borderId="0" xfId="0" applyNumberFormat="1" applyFont="1" applyAlignment="1">
      <alignment/>
    </xf>
    <xf numFmtId="0" fontId="1" fillId="0" borderId="0" xfId="0" applyFont="1" applyAlignment="1">
      <alignment/>
    </xf>
    <xf numFmtId="208" fontId="19" fillId="40" borderId="0" xfId="42" applyNumberFormat="1" applyFont="1" applyFill="1" applyBorder="1" applyAlignment="1">
      <alignment vertical="center"/>
    </xf>
    <xf numFmtId="208" fontId="0" fillId="0" borderId="0" xfId="0" applyNumberFormat="1" applyAlignment="1">
      <alignment/>
    </xf>
    <xf numFmtId="208" fontId="21" fillId="0" borderId="0" xfId="0" applyNumberFormat="1" applyFont="1" applyAlignment="1">
      <alignment/>
    </xf>
    <xf numFmtId="208" fontId="0" fillId="40" borderId="0" xfId="0" applyNumberFormat="1" applyFill="1" applyAlignment="1">
      <alignment/>
    </xf>
    <xf numFmtId="37" fontId="13" fillId="0" borderId="20" xfId="42" applyNumberFormat="1" applyFont="1" applyBorder="1" applyAlignment="1">
      <alignment vertical="center"/>
    </xf>
    <xf numFmtId="37" fontId="8" fillId="0" borderId="20" xfId="42" applyNumberFormat="1" applyFont="1" applyFill="1" applyBorder="1" applyAlignment="1">
      <alignment vertical="center"/>
    </xf>
    <xf numFmtId="208" fontId="1" fillId="0" borderId="0" xfId="0" applyNumberFormat="1" applyFont="1" applyAlignment="1">
      <alignment/>
    </xf>
    <xf numFmtId="0" fontId="21" fillId="0" borderId="0" xfId="0" applyFont="1" applyAlignment="1">
      <alignment/>
    </xf>
    <xf numFmtId="4" fontId="0" fillId="0" borderId="0" xfId="0" applyNumberFormat="1" applyAlignment="1">
      <alignment/>
    </xf>
    <xf numFmtId="0" fontId="14" fillId="35" borderId="26" xfId="0" applyFont="1" applyFill="1" applyBorder="1" applyAlignment="1" quotePrefix="1">
      <alignment horizontal="center" vertical="center"/>
    </xf>
    <xf numFmtId="0" fontId="14" fillId="35" borderId="27" xfId="0" applyFont="1" applyFill="1" applyBorder="1" applyAlignment="1" quotePrefix="1">
      <alignment horizontal="center" vertical="center"/>
    </xf>
    <xf numFmtId="0" fontId="14" fillId="35" borderId="40" xfId="0" applyFont="1" applyFill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35" borderId="41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37" fontId="11" fillId="35" borderId="22" xfId="42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84" fontId="4" fillId="0" borderId="42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/>
    </xf>
    <xf numFmtId="37" fontId="24" fillId="33" borderId="18" xfId="0" applyNumberFormat="1" applyFont="1" applyFill="1" applyBorder="1" applyAlignment="1">
      <alignment vertical="center"/>
    </xf>
    <xf numFmtId="37" fontId="24" fillId="33" borderId="20" xfId="0" applyNumberFormat="1" applyFont="1" applyFill="1" applyBorder="1" applyAlignment="1">
      <alignment vertical="center"/>
    </xf>
    <xf numFmtId="37" fontId="24" fillId="0" borderId="18" xfId="42" applyNumberFormat="1" applyFont="1" applyFill="1" applyBorder="1" applyAlignment="1">
      <alignment vertical="center"/>
    </xf>
    <xf numFmtId="37" fontId="24" fillId="0" borderId="20" xfId="42" applyNumberFormat="1" applyFont="1" applyFill="1" applyBorder="1" applyAlignment="1">
      <alignment vertical="center"/>
    </xf>
    <xf numFmtId="37" fontId="24" fillId="0" borderId="18" xfId="0" applyNumberFormat="1" applyFont="1" applyFill="1" applyBorder="1" applyAlignment="1">
      <alignment vertical="center"/>
    </xf>
    <xf numFmtId="37" fontId="24" fillId="0" borderId="20" xfId="0" applyNumberFormat="1" applyFont="1" applyFill="1" applyBorder="1" applyAlignment="1">
      <alignment vertical="center"/>
    </xf>
    <xf numFmtId="37" fontId="26" fillId="0" borderId="18" xfId="57" applyNumberFormat="1" applyFont="1" applyFill="1" applyBorder="1" applyAlignment="1">
      <alignment vertical="center"/>
      <protection/>
    </xf>
    <xf numFmtId="37" fontId="26" fillId="0" borderId="20" xfId="57" applyNumberFormat="1" applyFont="1" applyFill="1" applyBorder="1" applyAlignment="1">
      <alignment vertical="center"/>
      <protection/>
    </xf>
    <xf numFmtId="37" fontId="23" fillId="0" borderId="18" xfId="42" applyNumberFormat="1" applyFont="1" applyFill="1" applyBorder="1" applyAlignment="1">
      <alignment vertical="center"/>
    </xf>
    <xf numFmtId="37" fontId="23" fillId="0" borderId="18" xfId="0" applyNumberFormat="1" applyFont="1" applyFill="1" applyBorder="1" applyAlignment="1">
      <alignment vertical="center"/>
    </xf>
    <xf numFmtId="37" fontId="23" fillId="0" borderId="20" xfId="0" applyNumberFormat="1" applyFont="1" applyFill="1" applyBorder="1" applyAlignment="1">
      <alignment vertical="center"/>
    </xf>
    <xf numFmtId="37" fontId="22" fillId="0" borderId="18" xfId="0" applyNumberFormat="1" applyFont="1" applyFill="1" applyBorder="1" applyAlignment="1">
      <alignment vertical="center"/>
    </xf>
    <xf numFmtId="37" fontId="22" fillId="0" borderId="20" xfId="0" applyNumberFormat="1" applyFont="1" applyFill="1" applyBorder="1" applyAlignment="1">
      <alignment vertical="center"/>
    </xf>
    <xf numFmtId="37" fontId="23" fillId="35" borderId="26" xfId="0" applyNumberFormat="1" applyFont="1" applyFill="1" applyBorder="1" applyAlignment="1">
      <alignment vertical="center"/>
    </xf>
    <xf numFmtId="37" fontId="23" fillId="35" borderId="27" xfId="0" applyNumberFormat="1" applyFont="1" applyFill="1" applyBorder="1" applyAlignment="1">
      <alignment vertical="center"/>
    </xf>
    <xf numFmtId="4" fontId="27" fillId="0" borderId="43" xfId="57" applyNumberFormat="1" applyFont="1" applyFill="1" applyBorder="1" applyAlignment="1">
      <alignment horizontal="center"/>
      <protection/>
    </xf>
    <xf numFmtId="0" fontId="14" fillId="35" borderId="25" xfId="0" applyFont="1" applyFill="1" applyBorder="1" applyAlignment="1" quotePrefix="1">
      <alignment horizontal="center" vertical="center"/>
    </xf>
    <xf numFmtId="0" fontId="16" fillId="0" borderId="40" xfId="0" applyFont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3" fillId="35" borderId="10" xfId="0" applyNumberFormat="1" applyFont="1" applyFill="1" applyBorder="1" applyAlignment="1">
      <alignment vertical="center"/>
    </xf>
    <xf numFmtId="37" fontId="13" fillId="0" borderId="18" xfId="42" applyNumberFormat="1" applyFont="1" applyFill="1" applyBorder="1" applyAlignment="1">
      <alignment vertical="center"/>
    </xf>
    <xf numFmtId="37" fontId="11" fillId="0" borderId="18" xfId="42" applyNumberFormat="1" applyFont="1" applyBorder="1" applyAlignment="1">
      <alignment vertical="center"/>
    </xf>
    <xf numFmtId="37" fontId="11" fillId="35" borderId="18" xfId="42" applyNumberFormat="1" applyFont="1" applyFill="1" applyBorder="1" applyAlignment="1">
      <alignment vertical="center"/>
    </xf>
    <xf numFmtId="37" fontId="8" fillId="35" borderId="18" xfId="42" applyNumberFormat="1" applyFont="1" applyFill="1" applyBorder="1" applyAlignment="1">
      <alignment vertical="center"/>
    </xf>
    <xf numFmtId="37" fontId="8" fillId="35" borderId="20" xfId="42" applyNumberFormat="1" applyFont="1" applyFill="1" applyBorder="1" applyAlignment="1">
      <alignment vertical="center"/>
    </xf>
    <xf numFmtId="37" fontId="8" fillId="0" borderId="19" xfId="42" applyNumberFormat="1" applyFont="1" applyBorder="1" applyAlignment="1">
      <alignment horizontal="right" vertical="center"/>
    </xf>
    <xf numFmtId="37" fontId="8" fillId="0" borderId="20" xfId="42" applyNumberFormat="1" applyFont="1" applyBorder="1" applyAlignment="1">
      <alignment horizontal="right" vertical="center"/>
    </xf>
    <xf numFmtId="37" fontId="13" fillId="0" borderId="20" xfId="42" applyNumberFormat="1" applyFont="1" applyBorder="1" applyAlignment="1">
      <alignment horizontal="right" vertical="center"/>
    </xf>
    <xf numFmtId="37" fontId="13" fillId="0" borderId="20" xfId="42" applyNumberFormat="1" applyFont="1" applyFill="1" applyBorder="1" applyAlignment="1">
      <alignment horizontal="right" vertical="center"/>
    </xf>
    <xf numFmtId="37" fontId="13" fillId="34" borderId="38" xfId="42" applyNumberFormat="1" applyFont="1" applyFill="1" applyBorder="1" applyAlignment="1">
      <alignment horizontal="right" vertical="center"/>
    </xf>
    <xf numFmtId="37" fontId="11" fillId="0" borderId="18" xfId="42" applyNumberFormat="1" applyFont="1" applyFill="1" applyBorder="1" applyAlignment="1">
      <alignment vertical="center"/>
    </xf>
    <xf numFmtId="37" fontId="11" fillId="0" borderId="20" xfId="42" applyNumberFormat="1" applyFont="1" applyFill="1" applyBorder="1" applyAlignment="1">
      <alignment vertical="center"/>
    </xf>
    <xf numFmtId="37" fontId="11" fillId="0" borderId="18" xfId="42" applyNumberFormat="1" applyFont="1" applyFill="1" applyBorder="1" applyAlignment="1">
      <alignment horizontal="right" vertical="center"/>
    </xf>
    <xf numFmtId="37" fontId="11" fillId="0" borderId="20" xfId="42" applyNumberFormat="1" applyFont="1" applyFill="1" applyBorder="1" applyAlignment="1">
      <alignment horizontal="right" vertical="center"/>
    </xf>
    <xf numFmtId="37" fontId="8" fillId="0" borderId="18" xfId="42" applyNumberFormat="1" applyFont="1" applyFill="1" applyBorder="1" applyAlignment="1">
      <alignment horizontal="right" vertical="center"/>
    </xf>
    <xf numFmtId="37" fontId="8" fillId="0" borderId="18" xfId="42" applyNumberFormat="1" applyFont="1" applyBorder="1" applyAlignment="1">
      <alignment horizontal="right" vertical="center"/>
    </xf>
    <xf numFmtId="37" fontId="13" fillId="0" borderId="18" xfId="42" applyNumberFormat="1" applyFont="1" applyBorder="1" applyAlignment="1">
      <alignment horizontal="right" vertical="center"/>
    </xf>
    <xf numFmtId="37" fontId="13" fillId="40" borderId="18" xfId="42" applyNumberFormat="1" applyFont="1" applyFill="1" applyBorder="1" applyAlignment="1">
      <alignment vertical="center"/>
    </xf>
    <xf numFmtId="37" fontId="13" fillId="40" borderId="20" xfId="42" applyNumberFormat="1" applyFont="1" applyFill="1" applyBorder="1" applyAlignment="1">
      <alignment vertical="center"/>
    </xf>
    <xf numFmtId="37" fontId="13" fillId="0" borderId="20" xfId="42" applyNumberFormat="1" applyFont="1" applyFill="1" applyBorder="1" applyAlignment="1">
      <alignment vertical="center"/>
    </xf>
    <xf numFmtId="43" fontId="3" fillId="0" borderId="19" xfId="42" applyFont="1" applyBorder="1" applyAlignment="1" quotePrefix="1">
      <alignment horizontal="center" vertical="center"/>
    </xf>
    <xf numFmtId="37" fontId="11" fillId="35" borderId="20" xfId="42" applyNumberFormat="1" applyFont="1" applyFill="1" applyBorder="1" applyAlignment="1">
      <alignment vertical="center"/>
    </xf>
    <xf numFmtId="209" fontId="0" fillId="0" borderId="0" xfId="0" applyNumberFormat="1" applyAlignment="1">
      <alignment/>
    </xf>
    <xf numFmtId="209" fontId="21" fillId="0" borderId="0" xfId="42" applyNumberFormat="1" applyFont="1" applyFill="1" applyBorder="1" applyAlignment="1">
      <alignment vertical="center"/>
    </xf>
    <xf numFmtId="37" fontId="5" fillId="0" borderId="0" xfId="42" applyNumberFormat="1" applyFont="1" applyFill="1" applyBorder="1" applyAlignment="1">
      <alignment horizontal="center"/>
    </xf>
    <xf numFmtId="4" fontId="27" fillId="0" borderId="0" xfId="57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vertical="center"/>
    </xf>
    <xf numFmtId="37" fontId="23" fillId="0" borderId="13" xfId="0" applyNumberFormat="1" applyFont="1" applyFill="1" applyBorder="1" applyAlignment="1">
      <alignment vertical="center"/>
    </xf>
    <xf numFmtId="37" fontId="23" fillId="0" borderId="16" xfId="0" applyNumberFormat="1" applyFont="1" applyFill="1" applyBorder="1" applyAlignment="1">
      <alignment vertical="center"/>
    </xf>
    <xf numFmtId="37" fontId="23" fillId="0" borderId="19" xfId="0" applyNumberFormat="1" applyFont="1" applyFill="1" applyBorder="1" applyAlignment="1">
      <alignment vertical="center"/>
    </xf>
    <xf numFmtId="37" fontId="23" fillId="0" borderId="20" xfId="42" applyNumberFormat="1" applyFont="1" applyFill="1" applyBorder="1" applyAlignment="1">
      <alignment vertical="center"/>
    </xf>
    <xf numFmtId="37" fontId="23" fillId="0" borderId="37" xfId="42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206" fontId="0" fillId="0" borderId="0" xfId="0" applyNumberFormat="1" applyAlignment="1">
      <alignment horizontal="right"/>
    </xf>
    <xf numFmtId="210" fontId="0" fillId="0" borderId="0" xfId="42" applyNumberFormat="1" applyFont="1" applyFill="1" applyBorder="1" applyAlignment="1">
      <alignment vertical="center"/>
    </xf>
    <xf numFmtId="0" fontId="1" fillId="0" borderId="0" xfId="42" applyNumberFormat="1" applyFont="1" applyFill="1" applyBorder="1" applyAlignment="1">
      <alignment horizontal="center" vertical="center"/>
    </xf>
    <xf numFmtId="208" fontId="20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39" fontId="1" fillId="0" borderId="0" xfId="0" applyNumberFormat="1" applyFont="1" applyBorder="1" applyAlignment="1">
      <alignment horizontal="right" vertical="center"/>
    </xf>
    <xf numFmtId="0" fontId="14" fillId="35" borderId="44" xfId="0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206" fontId="20" fillId="0" borderId="0" xfId="0" applyNumberFormat="1" applyFont="1" applyFill="1" applyAlignment="1">
      <alignment/>
    </xf>
    <xf numFmtId="208" fontId="17" fillId="0" borderId="0" xfId="42" applyNumberFormat="1" applyFont="1" applyFill="1" applyBorder="1" applyAlignment="1">
      <alignment vertical="center"/>
    </xf>
    <xf numFmtId="38" fontId="8" fillId="0" borderId="45" xfId="42" applyNumberFormat="1" applyFont="1" applyBorder="1" applyAlignment="1">
      <alignment vertical="center"/>
    </xf>
    <xf numFmtId="180" fontId="3" fillId="0" borderId="21" xfId="0" applyNumberFormat="1" applyFont="1" applyBorder="1" applyAlignment="1">
      <alignment horizontal="center" vertical="center"/>
    </xf>
    <xf numFmtId="37" fontId="8" fillId="0" borderId="22" xfId="42" applyNumberFormat="1" applyFont="1" applyBorder="1" applyAlignment="1">
      <alignment vertical="center"/>
    </xf>
    <xf numFmtId="37" fontId="8" fillId="0" borderId="23" xfId="42" applyNumberFormat="1" applyFont="1" applyBorder="1" applyAlignment="1">
      <alignment horizontal="right" vertical="center"/>
    </xf>
    <xf numFmtId="180" fontId="10" fillId="34" borderId="25" xfId="0" applyNumberFormat="1" applyFont="1" applyFill="1" applyBorder="1" applyAlignment="1">
      <alignment horizontal="center" vertical="center"/>
    </xf>
    <xf numFmtId="37" fontId="13" fillId="34" borderId="26" xfId="42" applyNumberFormat="1" applyFont="1" applyFill="1" applyBorder="1" applyAlignment="1">
      <alignment vertical="center"/>
    </xf>
    <xf numFmtId="37" fontId="13" fillId="34" borderId="27" xfId="42" applyNumberFormat="1" applyFont="1" applyFill="1" applyBorder="1" applyAlignment="1">
      <alignment horizontal="right" vertical="center"/>
    </xf>
    <xf numFmtId="43" fontId="17" fillId="0" borderId="26" xfId="42" applyFont="1" applyBorder="1" applyAlignment="1" quotePrefix="1">
      <alignment horizontal="center" vertical="center"/>
    </xf>
    <xf numFmtId="43" fontId="17" fillId="0" borderId="27" xfId="42" applyFont="1" applyBorder="1" applyAlignment="1" quotePrefix="1">
      <alignment horizontal="center" vertical="center"/>
    </xf>
    <xf numFmtId="43" fontId="17" fillId="41" borderId="40" xfId="42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40" fontId="19" fillId="40" borderId="46" xfId="0" applyNumberFormat="1" applyFont="1" applyFill="1" applyBorder="1" applyAlignment="1">
      <alignment vertical="center"/>
    </xf>
    <xf numFmtId="40" fontId="19" fillId="0" borderId="39" xfId="0" applyNumberFormat="1" applyFont="1" applyBorder="1" applyAlignment="1">
      <alignment vertical="center"/>
    </xf>
    <xf numFmtId="40" fontId="17" fillId="0" borderId="39" xfId="0" applyNumberFormat="1" applyFont="1" applyBorder="1" applyAlignment="1">
      <alignment vertical="center"/>
    </xf>
    <xf numFmtId="40" fontId="16" fillId="0" borderId="39" xfId="0" applyNumberFormat="1" applyFont="1" applyBorder="1" applyAlignment="1">
      <alignment vertical="center"/>
    </xf>
    <xf numFmtId="40" fontId="17" fillId="0" borderId="39" xfId="0" applyNumberFormat="1" applyFont="1" applyFill="1" applyBorder="1" applyAlignment="1">
      <alignment vertical="center"/>
    </xf>
    <xf numFmtId="40" fontId="19" fillId="0" borderId="39" xfId="0" applyNumberFormat="1" applyFont="1" applyFill="1" applyBorder="1" applyAlignment="1">
      <alignment vertical="center"/>
    </xf>
    <xf numFmtId="40" fontId="19" fillId="40" borderId="39" xfId="0" applyNumberFormat="1" applyFont="1" applyFill="1" applyBorder="1" applyAlignment="1">
      <alignment vertical="center"/>
    </xf>
    <xf numFmtId="0" fontId="17" fillId="0" borderId="39" xfId="0" applyFont="1" applyFill="1" applyBorder="1" applyAlignment="1">
      <alignment horizontal="center" vertical="center"/>
    </xf>
    <xf numFmtId="0" fontId="19" fillId="34" borderId="40" xfId="0" applyFont="1" applyFill="1" applyBorder="1" applyAlignment="1">
      <alignment vertical="center"/>
    </xf>
    <xf numFmtId="0" fontId="5" fillId="0" borderId="36" xfId="0" applyFont="1" applyBorder="1" applyAlignment="1" quotePrefix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185" fontId="9" fillId="0" borderId="36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185" fontId="9" fillId="0" borderId="31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211" fontId="21" fillId="0" borderId="0" xfId="42" applyNumberFormat="1" applyFont="1" applyFill="1" applyBorder="1" applyAlignment="1">
      <alignment vertical="center"/>
    </xf>
    <xf numFmtId="211" fontId="0" fillId="0" borderId="0" xfId="42" applyNumberFormat="1" applyFont="1" applyFill="1" applyBorder="1" applyAlignment="1">
      <alignment vertical="center"/>
    </xf>
    <xf numFmtId="211" fontId="1" fillId="0" borderId="0" xfId="42" applyNumberFormat="1" applyFont="1" applyFill="1" applyBorder="1" applyAlignment="1">
      <alignment vertical="center"/>
    </xf>
    <xf numFmtId="208" fontId="21" fillId="0" borderId="0" xfId="42" applyNumberFormat="1" applyFont="1" applyFill="1" applyBorder="1" applyAlignment="1">
      <alignment vertical="center"/>
    </xf>
    <xf numFmtId="4" fontId="21" fillId="0" borderId="0" xfId="42" applyNumberFormat="1" applyFont="1" applyFill="1" applyBorder="1" applyAlignment="1">
      <alignment vertical="center"/>
    </xf>
    <xf numFmtId="212" fontId="21" fillId="0" borderId="28" xfId="42" applyNumberFormat="1" applyFont="1" applyBorder="1" applyAlignment="1">
      <alignment vertical="center"/>
    </xf>
    <xf numFmtId="212" fontId="21" fillId="0" borderId="30" xfId="42" applyNumberFormat="1" applyFont="1" applyBorder="1" applyAlignment="1">
      <alignment vertical="center"/>
    </xf>
    <xf numFmtId="212" fontId="21" fillId="40" borderId="16" xfId="42" applyNumberFormat="1" applyFont="1" applyFill="1" applyBorder="1" applyAlignment="1">
      <alignment vertical="center"/>
    </xf>
    <xf numFmtId="212" fontId="21" fillId="40" borderId="19" xfId="42" applyNumberFormat="1" applyFont="1" applyFill="1" applyBorder="1" applyAlignment="1">
      <alignment vertical="center"/>
    </xf>
    <xf numFmtId="212" fontId="21" fillId="0" borderId="33" xfId="42" applyNumberFormat="1" applyFont="1" applyBorder="1" applyAlignment="1">
      <alignment vertical="center"/>
    </xf>
    <xf numFmtId="212" fontId="21" fillId="0" borderId="33" xfId="42" applyNumberFormat="1" applyFont="1" applyFill="1" applyBorder="1" applyAlignment="1">
      <alignment vertical="center"/>
    </xf>
    <xf numFmtId="212" fontId="21" fillId="0" borderId="35" xfId="42" applyNumberFormat="1" applyFont="1" applyBorder="1" applyAlignment="1">
      <alignment vertical="center"/>
    </xf>
    <xf numFmtId="212" fontId="1" fillId="0" borderId="18" xfId="42" applyNumberFormat="1" applyFont="1" applyBorder="1" applyAlignment="1">
      <alignment vertical="center"/>
    </xf>
    <xf numFmtId="212" fontId="1" fillId="0" borderId="18" xfId="42" applyNumberFormat="1" applyFont="1" applyFill="1" applyBorder="1" applyAlignment="1">
      <alignment vertical="center"/>
    </xf>
    <xf numFmtId="212" fontId="1" fillId="0" borderId="20" xfId="42" applyNumberFormat="1" applyFont="1" applyBorder="1" applyAlignment="1">
      <alignment vertical="center"/>
    </xf>
    <xf numFmtId="212" fontId="0" fillId="0" borderId="18" xfId="0" applyNumberFormat="1" applyFont="1" applyBorder="1" applyAlignment="1">
      <alignment/>
    </xf>
    <xf numFmtId="212" fontId="0" fillId="0" borderId="18" xfId="42" applyNumberFormat="1" applyFont="1" applyBorder="1" applyAlignment="1">
      <alignment vertical="center"/>
    </xf>
    <xf numFmtId="212" fontId="0" fillId="0" borderId="18" xfId="42" applyNumberFormat="1" applyFont="1" applyBorder="1" applyAlignment="1">
      <alignment vertical="center"/>
    </xf>
    <xf numFmtId="212" fontId="1" fillId="0" borderId="18" xfId="42" applyNumberFormat="1" applyFont="1" applyBorder="1" applyAlignment="1">
      <alignment vertical="center"/>
    </xf>
    <xf numFmtId="212" fontId="21" fillId="0" borderId="18" xfId="42" applyNumberFormat="1" applyFont="1" applyBorder="1" applyAlignment="1">
      <alignment vertical="center"/>
    </xf>
    <xf numFmtId="212" fontId="21" fillId="0" borderId="18" xfId="42" applyNumberFormat="1" applyFont="1" applyBorder="1" applyAlignment="1">
      <alignment vertical="center"/>
    </xf>
    <xf numFmtId="212" fontId="21" fillId="0" borderId="20" xfId="42" applyNumberFormat="1" applyFont="1" applyBorder="1" applyAlignment="1">
      <alignment vertical="center"/>
    </xf>
    <xf numFmtId="212" fontId="21" fillId="0" borderId="18" xfId="42" applyNumberFormat="1" applyFont="1" applyFill="1" applyBorder="1" applyAlignment="1">
      <alignment vertical="center"/>
    </xf>
    <xf numFmtId="212" fontId="0" fillId="0" borderId="18" xfId="0" applyNumberFormat="1" applyFont="1" applyBorder="1" applyAlignment="1">
      <alignment/>
    </xf>
    <xf numFmtId="212" fontId="0" fillId="0" borderId="20" xfId="42" applyNumberFormat="1" applyFont="1" applyBorder="1" applyAlignment="1">
      <alignment vertical="center"/>
    </xf>
    <xf numFmtId="212" fontId="0" fillId="0" borderId="18" xfId="42" applyNumberFormat="1" applyFont="1" applyBorder="1" applyAlignment="1">
      <alignment vertical="center"/>
    </xf>
    <xf numFmtId="212" fontId="0" fillId="0" borderId="18" xfId="42" applyNumberFormat="1" applyFont="1" applyFill="1" applyBorder="1" applyAlignment="1">
      <alignment vertical="center"/>
    </xf>
    <xf numFmtId="212" fontId="21" fillId="0" borderId="20" xfId="42" applyNumberFormat="1" applyFont="1" applyFill="1" applyBorder="1" applyAlignment="1">
      <alignment vertical="center"/>
    </xf>
    <xf numFmtId="212" fontId="21" fillId="40" borderId="18" xfId="42" applyNumberFormat="1" applyFont="1" applyFill="1" applyBorder="1" applyAlignment="1">
      <alignment vertical="center"/>
    </xf>
    <xf numFmtId="212" fontId="21" fillId="40" borderId="20" xfId="42" applyNumberFormat="1" applyFont="1" applyFill="1" applyBorder="1" applyAlignment="1">
      <alignment vertical="center"/>
    </xf>
    <xf numFmtId="212" fontId="21" fillId="0" borderId="23" xfId="0" applyNumberFormat="1" applyFont="1" applyBorder="1" applyAlignment="1">
      <alignment/>
    </xf>
    <xf numFmtId="212" fontId="1" fillId="0" borderId="18" xfId="0" applyNumberFormat="1" applyFont="1" applyBorder="1" applyAlignment="1">
      <alignment/>
    </xf>
    <xf numFmtId="212" fontId="1" fillId="0" borderId="47" xfId="0" applyNumberFormat="1" applyFont="1" applyBorder="1" applyAlignment="1">
      <alignment/>
    </xf>
    <xf numFmtId="212" fontId="1" fillId="0" borderId="35" xfId="0" applyNumberFormat="1" applyFont="1" applyBorder="1" applyAlignment="1">
      <alignment/>
    </xf>
    <xf numFmtId="212" fontId="21" fillId="0" borderId="20" xfId="0" applyNumberFormat="1" applyFont="1" applyBorder="1" applyAlignment="1">
      <alignment/>
    </xf>
    <xf numFmtId="212" fontId="1" fillId="0" borderId="20" xfId="42" applyNumberFormat="1" applyFont="1" applyFill="1" applyBorder="1" applyAlignment="1">
      <alignment vertical="center"/>
    </xf>
    <xf numFmtId="212" fontId="0" fillId="0" borderId="18" xfId="0" applyNumberFormat="1" applyBorder="1" applyAlignment="1">
      <alignment/>
    </xf>
    <xf numFmtId="212" fontId="0" fillId="0" borderId="47" xfId="0" applyNumberFormat="1" applyBorder="1" applyAlignment="1">
      <alignment/>
    </xf>
    <xf numFmtId="212" fontId="0" fillId="0" borderId="48" xfId="0" applyNumberFormat="1" applyBorder="1" applyAlignment="1">
      <alignment/>
    </xf>
    <xf numFmtId="212" fontId="0" fillId="0" borderId="22" xfId="42" applyNumberFormat="1" applyFont="1" applyBorder="1" applyAlignment="1">
      <alignment vertical="center"/>
    </xf>
    <xf numFmtId="212" fontId="1" fillId="0" borderId="37" xfId="42" applyNumberFormat="1" applyFont="1" applyBorder="1" applyAlignment="1">
      <alignment vertical="center"/>
    </xf>
    <xf numFmtId="212" fontId="1" fillId="0" borderId="22" xfId="42" applyNumberFormat="1" applyFont="1" applyBorder="1" applyAlignment="1">
      <alignment vertical="center"/>
    </xf>
    <xf numFmtId="212" fontId="1" fillId="0" borderId="38" xfId="42" applyNumberFormat="1" applyFont="1" applyBorder="1" applyAlignment="1">
      <alignment vertical="center"/>
    </xf>
    <xf numFmtId="212" fontId="21" fillId="34" borderId="26" xfId="42" applyNumberFormat="1" applyFont="1" applyFill="1" applyBorder="1" applyAlignment="1">
      <alignment vertical="center"/>
    </xf>
    <xf numFmtId="212" fontId="21" fillId="34" borderId="27" xfId="42" applyNumberFormat="1" applyFont="1" applyFill="1" applyBorder="1" applyAlignment="1">
      <alignment vertical="center"/>
    </xf>
    <xf numFmtId="212" fontId="1" fillId="0" borderId="16" xfId="42" applyNumberFormat="1" applyFont="1" applyBorder="1" applyAlignment="1">
      <alignment vertical="center"/>
    </xf>
    <xf numFmtId="212" fontId="1" fillId="0" borderId="49" xfId="42" applyNumberFormat="1" applyFont="1" applyBorder="1" applyAlignment="1">
      <alignment vertical="center"/>
    </xf>
    <xf numFmtId="212" fontId="1" fillId="0" borderId="19" xfId="42" applyNumberFormat="1" applyFont="1" applyBorder="1" applyAlignment="1">
      <alignment vertical="center"/>
    </xf>
    <xf numFmtId="212" fontId="1" fillId="0" borderId="45" xfId="42" applyNumberFormat="1" applyFont="1" applyBorder="1" applyAlignment="1">
      <alignment vertical="center"/>
    </xf>
    <xf numFmtId="212" fontId="21" fillId="0" borderId="45" xfId="42" applyNumberFormat="1" applyFont="1" applyBorder="1" applyAlignment="1">
      <alignment vertical="center"/>
    </xf>
    <xf numFmtId="212" fontId="1" fillId="0" borderId="50" xfId="42" applyNumberFormat="1" applyFont="1" applyBorder="1" applyAlignment="1">
      <alignment vertical="center"/>
    </xf>
    <xf numFmtId="212" fontId="1" fillId="0" borderId="23" xfId="42" applyNumberFormat="1" applyFont="1" applyBorder="1" applyAlignment="1">
      <alignment vertical="center"/>
    </xf>
    <xf numFmtId="212" fontId="1" fillId="34" borderId="26" xfId="42" applyNumberFormat="1" applyFont="1" applyFill="1" applyBorder="1" applyAlignment="1">
      <alignment vertical="center"/>
    </xf>
    <xf numFmtId="212" fontId="1" fillId="34" borderId="51" xfId="42" applyNumberFormat="1" applyFont="1" applyFill="1" applyBorder="1" applyAlignment="1">
      <alignment vertical="center"/>
    </xf>
    <xf numFmtId="212" fontId="1" fillId="34" borderId="27" xfId="42" applyNumberFormat="1" applyFont="1" applyFill="1" applyBorder="1" applyAlignment="1">
      <alignment vertical="center"/>
    </xf>
    <xf numFmtId="212" fontId="24" fillId="0" borderId="52" xfId="42" applyNumberFormat="1" applyFont="1" applyBorder="1" applyAlignment="1">
      <alignment/>
    </xf>
    <xf numFmtId="212" fontId="1" fillId="0" borderId="53" xfId="42" applyNumberFormat="1" applyFont="1" applyBorder="1" applyAlignment="1">
      <alignment vertical="center"/>
    </xf>
    <xf numFmtId="212" fontId="1" fillId="0" borderId="27" xfId="42" applyNumberFormat="1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34" borderId="40" xfId="0" applyFont="1" applyFill="1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43" fontId="17" fillId="0" borderId="25" xfId="42" applyFont="1" applyBorder="1" applyAlignment="1" quotePrefix="1">
      <alignment horizontal="center" vertical="center"/>
    </xf>
    <xf numFmtId="40" fontId="19" fillId="40" borderId="40" xfId="0" applyNumberFormat="1" applyFont="1" applyFill="1" applyBorder="1" applyAlignment="1">
      <alignment vertical="center"/>
    </xf>
    <xf numFmtId="40" fontId="19" fillId="0" borderId="32" xfId="0" applyNumberFormat="1" applyFont="1" applyBorder="1" applyAlignment="1">
      <alignment vertical="center"/>
    </xf>
    <xf numFmtId="40" fontId="1" fillId="0" borderId="39" xfId="0" applyNumberFormat="1" applyFont="1" applyBorder="1" applyAlignment="1">
      <alignment vertical="center"/>
    </xf>
    <xf numFmtId="212" fontId="1" fillId="0" borderId="39" xfId="0" applyNumberFormat="1" applyFont="1" applyBorder="1" applyAlignment="1">
      <alignment vertical="center"/>
    </xf>
    <xf numFmtId="212" fontId="1" fillId="0" borderId="15" xfId="42" applyNumberFormat="1" applyFont="1" applyBorder="1" applyAlignment="1">
      <alignment vertical="center"/>
    </xf>
    <xf numFmtId="212" fontId="1" fillId="0" borderId="10" xfId="42" applyNumberFormat="1" applyFont="1" applyBorder="1" applyAlignment="1">
      <alignment vertical="center"/>
    </xf>
    <xf numFmtId="212" fontId="21" fillId="0" borderId="10" xfId="42" applyNumberFormat="1" applyFont="1" applyBorder="1" applyAlignment="1">
      <alignment vertical="center"/>
    </xf>
    <xf numFmtId="212" fontId="1" fillId="0" borderId="21" xfId="42" applyNumberFormat="1" applyFont="1" applyBorder="1" applyAlignment="1">
      <alignment vertical="center"/>
    </xf>
    <xf numFmtId="212" fontId="1" fillId="34" borderId="25" xfId="42" applyNumberFormat="1" applyFont="1" applyFill="1" applyBorder="1" applyAlignment="1">
      <alignment vertical="center"/>
    </xf>
    <xf numFmtId="212" fontId="16" fillId="0" borderId="40" xfId="42" applyNumberFormat="1" applyFont="1" applyBorder="1" applyAlignment="1">
      <alignment vertical="center"/>
    </xf>
    <xf numFmtId="212" fontId="1" fillId="0" borderId="56" xfId="42" applyNumberFormat="1" applyFont="1" applyBorder="1" applyAlignment="1">
      <alignment vertical="center"/>
    </xf>
    <xf numFmtId="212" fontId="21" fillId="40" borderId="25" xfId="42" applyNumberFormat="1" applyFont="1" applyFill="1" applyBorder="1" applyAlignment="1">
      <alignment vertical="center"/>
    </xf>
    <xf numFmtId="212" fontId="21" fillId="0" borderId="57" xfId="42" applyNumberFormat="1" applyFont="1" applyBorder="1" applyAlignment="1">
      <alignment vertical="center"/>
    </xf>
    <xf numFmtId="212" fontId="0" fillId="0" borderId="10" xfId="42" applyNumberFormat="1" applyFont="1" applyBorder="1" applyAlignment="1">
      <alignment vertical="center"/>
    </xf>
    <xf numFmtId="212" fontId="21" fillId="0" borderId="10" xfId="42" applyNumberFormat="1" applyFont="1" applyFill="1" applyBorder="1" applyAlignment="1">
      <alignment vertical="center"/>
    </xf>
    <xf numFmtId="212" fontId="21" fillId="40" borderId="10" xfId="42" applyNumberFormat="1" applyFont="1" applyFill="1" applyBorder="1" applyAlignment="1">
      <alignment vertical="center"/>
    </xf>
    <xf numFmtId="212" fontId="1" fillId="0" borderId="17" xfId="42" applyNumberFormat="1" applyFont="1" applyBorder="1" applyAlignment="1">
      <alignment vertical="center"/>
    </xf>
    <xf numFmtId="212" fontId="21" fillId="34" borderId="25" xfId="42" applyNumberFormat="1" applyFont="1" applyFill="1" applyBorder="1" applyAlignment="1">
      <alignment vertical="center"/>
    </xf>
    <xf numFmtId="212" fontId="0" fillId="0" borderId="52" xfId="42" applyNumberFormat="1" applyFont="1" applyBorder="1" applyAlignment="1">
      <alignment vertical="center"/>
    </xf>
    <xf numFmtId="212" fontId="0" fillId="0" borderId="27" xfId="42" applyNumberFormat="1" applyFont="1" applyBorder="1" applyAlignment="1">
      <alignment vertical="center"/>
    </xf>
    <xf numFmtId="212" fontId="1" fillId="0" borderId="58" xfId="42" applyNumberFormat="1" applyFont="1" applyBorder="1" applyAlignment="1">
      <alignment vertical="center"/>
    </xf>
    <xf numFmtId="212" fontId="21" fillId="0" borderId="35" xfId="42" applyNumberFormat="1" applyFont="1" applyFill="1" applyBorder="1" applyAlignment="1">
      <alignment vertical="center"/>
    </xf>
    <xf numFmtId="213" fontId="4" fillId="0" borderId="0" xfId="0" applyNumberFormat="1" applyFont="1" applyBorder="1" applyAlignment="1">
      <alignment horizontal="center" vertical="center"/>
    </xf>
    <xf numFmtId="38" fontId="23" fillId="0" borderId="0" xfId="42" applyNumberFormat="1" applyFont="1" applyFill="1" applyBorder="1" applyAlignment="1">
      <alignment vertical="center"/>
    </xf>
    <xf numFmtId="43" fontId="14" fillId="0" borderId="0" xfId="42" applyFont="1" applyFill="1" applyBorder="1" applyAlignment="1">
      <alignment horizontal="center" vertical="center" wrapText="1"/>
    </xf>
    <xf numFmtId="199" fontId="1" fillId="0" borderId="42" xfId="42" applyNumberFormat="1" applyFont="1" applyFill="1" applyBorder="1" applyAlignment="1">
      <alignment vertical="center"/>
    </xf>
    <xf numFmtId="212" fontId="21" fillId="0" borderId="40" xfId="42" applyNumberFormat="1" applyFont="1" applyBorder="1" applyAlignment="1" quotePrefix="1">
      <alignment vertical="center"/>
    </xf>
    <xf numFmtId="0" fontId="25" fillId="0" borderId="0" xfId="58" applyFont="1" applyFill="1" applyBorder="1" applyAlignment="1">
      <alignment horizontal="center"/>
      <protection/>
    </xf>
    <xf numFmtId="4" fontId="0" fillId="0" borderId="0" xfId="0" applyNumberFormat="1" applyBorder="1" applyAlignment="1">
      <alignment/>
    </xf>
    <xf numFmtId="37" fontId="22" fillId="0" borderId="39" xfId="0" applyNumberFormat="1" applyFont="1" applyFill="1" applyBorder="1" applyAlignment="1">
      <alignment vertical="center"/>
    </xf>
    <xf numFmtId="37" fontId="23" fillId="0" borderId="39" xfId="0" applyNumberFormat="1" applyFont="1" applyFill="1" applyBorder="1" applyAlignment="1">
      <alignment vertical="center"/>
    </xf>
    <xf numFmtId="37" fontId="22" fillId="0" borderId="42" xfId="0" applyNumberFormat="1" applyFont="1" applyFill="1" applyBorder="1" applyAlignment="1">
      <alignment vertical="center"/>
    </xf>
    <xf numFmtId="37" fontId="23" fillId="35" borderId="25" xfId="0" applyNumberFormat="1" applyFont="1" applyFill="1" applyBorder="1" applyAlignment="1">
      <alignment vertical="center"/>
    </xf>
    <xf numFmtId="0" fontId="17" fillId="0" borderId="59" xfId="0" applyFont="1" applyFill="1" applyBorder="1" applyAlignment="1">
      <alignment vertical="center"/>
    </xf>
    <xf numFmtId="0" fontId="19" fillId="0" borderId="60" xfId="0" applyFont="1" applyFill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6" fillId="0" borderId="60" xfId="0" applyFont="1" applyFill="1" applyBorder="1" applyAlignment="1">
      <alignment vertical="center"/>
    </xf>
    <xf numFmtId="0" fontId="17" fillId="0" borderId="60" xfId="0" applyFont="1" applyFill="1" applyBorder="1" applyAlignment="1">
      <alignment vertical="center"/>
    </xf>
    <xf numFmtId="0" fontId="19" fillId="0" borderId="60" xfId="0" applyFont="1" applyFill="1" applyBorder="1" applyAlignment="1" applyProtection="1">
      <alignment vertical="center"/>
      <protection locked="0"/>
    </xf>
    <xf numFmtId="0" fontId="16" fillId="33" borderId="60" xfId="0" applyFont="1" applyFill="1" applyBorder="1" applyAlignment="1">
      <alignment vertical="center"/>
    </xf>
    <xf numFmtId="0" fontId="16" fillId="33" borderId="61" xfId="0" applyFont="1" applyFill="1" applyBorder="1" applyAlignment="1">
      <alignment vertical="center"/>
    </xf>
    <xf numFmtId="0" fontId="17" fillId="0" borderId="61" xfId="0" applyFont="1" applyFill="1" applyBorder="1" applyAlignment="1">
      <alignment vertical="center"/>
    </xf>
    <xf numFmtId="0" fontId="17" fillId="35" borderId="40" xfId="0" applyFont="1" applyFill="1" applyBorder="1" applyAlignment="1">
      <alignment vertical="center"/>
    </xf>
    <xf numFmtId="37" fontId="24" fillId="0" borderId="18" xfId="42" applyNumberFormat="1" applyFont="1" applyBorder="1" applyAlignment="1">
      <alignment/>
    </xf>
    <xf numFmtId="37" fontId="24" fillId="0" borderId="20" xfId="42" applyNumberFormat="1" applyFont="1" applyBorder="1" applyAlignment="1">
      <alignment/>
    </xf>
    <xf numFmtId="37" fontId="22" fillId="0" borderId="18" xfId="42" applyNumberFormat="1" applyFont="1" applyBorder="1" applyAlignment="1">
      <alignment/>
    </xf>
    <xf numFmtId="37" fontId="22" fillId="0" borderId="20" xfId="42" applyNumberFormat="1" applyFont="1" applyBorder="1" applyAlignment="1">
      <alignment/>
    </xf>
    <xf numFmtId="0" fontId="14" fillId="35" borderId="51" xfId="0" applyFont="1" applyFill="1" applyBorder="1" applyAlignment="1" quotePrefix="1">
      <alignment horizontal="center" vertical="center"/>
    </xf>
    <xf numFmtId="37" fontId="23" fillId="0" borderId="46" xfId="0" applyNumberFormat="1" applyFont="1" applyFill="1" applyBorder="1" applyAlignment="1">
      <alignment vertical="center"/>
    </xf>
    <xf numFmtId="37" fontId="23" fillId="0" borderId="62" xfId="42" applyNumberFormat="1" applyFont="1" applyFill="1" applyBorder="1" applyAlignment="1">
      <alignment vertical="center"/>
    </xf>
    <xf numFmtId="37" fontId="23" fillId="35" borderId="40" xfId="0" applyNumberFormat="1" applyFont="1" applyFill="1" applyBorder="1" applyAlignment="1">
      <alignment vertical="center"/>
    </xf>
    <xf numFmtId="4" fontId="25" fillId="0" borderId="63" xfId="58" applyNumberFormat="1" applyFont="1" applyFill="1" applyBorder="1" applyAlignment="1">
      <alignment horizontal="right" wrapText="1"/>
      <protection/>
    </xf>
    <xf numFmtId="0" fontId="0" fillId="0" borderId="42" xfId="0" applyBorder="1" applyAlignment="1">
      <alignment/>
    </xf>
    <xf numFmtId="37" fontId="23" fillId="0" borderId="42" xfId="0" applyNumberFormat="1" applyFont="1" applyFill="1" applyBorder="1" applyAlignment="1">
      <alignment vertical="center"/>
    </xf>
    <xf numFmtId="37" fontId="24" fillId="33" borderId="42" xfId="0" applyNumberFormat="1" applyFont="1" applyFill="1" applyBorder="1" applyAlignment="1">
      <alignment vertical="center"/>
    </xf>
    <xf numFmtId="37" fontId="24" fillId="0" borderId="42" xfId="42" applyNumberFormat="1" applyFont="1" applyFill="1" applyBorder="1" applyAlignment="1">
      <alignment vertical="center"/>
    </xf>
    <xf numFmtId="37" fontId="24" fillId="0" borderId="42" xfId="0" applyNumberFormat="1" applyFont="1" applyFill="1" applyBorder="1" applyAlignment="1">
      <alignment vertical="center"/>
    </xf>
    <xf numFmtId="37" fontId="26" fillId="0" borderId="42" xfId="57" applyNumberFormat="1" applyFont="1" applyFill="1" applyBorder="1" applyAlignment="1">
      <alignment vertical="center"/>
      <protection/>
    </xf>
    <xf numFmtId="37" fontId="23" fillId="0" borderId="42" xfId="42" applyNumberFormat="1" applyFont="1" applyFill="1" applyBorder="1" applyAlignment="1">
      <alignment vertical="center"/>
    </xf>
    <xf numFmtId="37" fontId="24" fillId="0" borderId="39" xfId="42" applyNumberFormat="1" applyFont="1" applyBorder="1" applyAlignment="1">
      <alignment/>
    </xf>
    <xf numFmtId="37" fontId="22" fillId="0" borderId="39" xfId="42" applyNumberFormat="1" applyFont="1" applyBorder="1" applyAlignment="1">
      <alignment/>
    </xf>
    <xf numFmtId="37" fontId="23" fillId="35" borderId="37" xfId="0" applyNumberFormat="1" applyFont="1" applyFill="1" applyBorder="1" applyAlignment="1">
      <alignment vertical="center"/>
    </xf>
    <xf numFmtId="37" fontId="23" fillId="35" borderId="38" xfId="0" applyNumberFormat="1" applyFont="1" applyFill="1" applyBorder="1" applyAlignment="1">
      <alignment vertical="center"/>
    </xf>
    <xf numFmtId="0" fontId="11" fillId="38" borderId="41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186" fontId="11" fillId="0" borderId="57" xfId="42" applyNumberFormat="1" applyFont="1" applyFill="1" applyBorder="1" applyAlignment="1">
      <alignment horizontal="center"/>
    </xf>
    <xf numFmtId="37" fontId="11" fillId="0" borderId="33" xfId="42" applyNumberFormat="1" applyFont="1" applyFill="1" applyBorder="1" applyAlignment="1">
      <alignment horizontal="center"/>
    </xf>
    <xf numFmtId="37" fontId="11" fillId="0" borderId="35" xfId="42" applyNumberFormat="1" applyFont="1" applyFill="1" applyBorder="1" applyAlignment="1">
      <alignment horizontal="center"/>
    </xf>
    <xf numFmtId="0" fontId="18" fillId="37" borderId="64" xfId="0" applyFont="1" applyFill="1" applyBorder="1" applyAlignment="1">
      <alignment horizontal="centerContinuous"/>
    </xf>
    <xf numFmtId="0" fontId="18" fillId="37" borderId="55" xfId="0" applyFont="1" applyFill="1" applyBorder="1" applyAlignment="1">
      <alignment horizontal="center"/>
    </xf>
    <xf numFmtId="0" fontId="18" fillId="37" borderId="53" xfId="0" applyFont="1" applyFill="1" applyBorder="1" applyAlignment="1">
      <alignment horizontal="center"/>
    </xf>
    <xf numFmtId="0" fontId="18" fillId="37" borderId="65" xfId="0" applyFont="1" applyFill="1" applyBorder="1" applyAlignment="1">
      <alignment horizontal="center"/>
    </xf>
    <xf numFmtId="0" fontId="18" fillId="37" borderId="37" xfId="0" applyFont="1" applyFill="1" applyBorder="1" applyAlignment="1">
      <alignment horizontal="center"/>
    </xf>
    <xf numFmtId="0" fontId="18" fillId="37" borderId="66" xfId="0" applyFont="1" applyFill="1" applyBorder="1" applyAlignment="1">
      <alignment horizontal="center"/>
    </xf>
    <xf numFmtId="212" fontId="1" fillId="0" borderId="18" xfId="0" applyNumberFormat="1" applyFont="1" applyBorder="1" applyAlignment="1">
      <alignment vertical="center"/>
    </xf>
    <xf numFmtId="212" fontId="1" fillId="0" borderId="20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 wrapText="1"/>
    </xf>
    <xf numFmtId="3" fontId="11" fillId="0" borderId="42" xfId="0" applyNumberFormat="1" applyFont="1" applyBorder="1" applyAlignment="1">
      <alignment vertical="center" wrapText="1"/>
    </xf>
    <xf numFmtId="212" fontId="1" fillId="0" borderId="42" xfId="42" applyNumberFormat="1" applyFont="1" applyFill="1" applyBorder="1" applyAlignment="1">
      <alignment vertical="center"/>
    </xf>
    <xf numFmtId="212" fontId="0" fillId="0" borderId="42" xfId="42" applyNumberFormat="1" applyFont="1" applyBorder="1" applyAlignment="1">
      <alignment vertical="center"/>
    </xf>
    <xf numFmtId="212" fontId="1" fillId="0" borderId="42" xfId="42" applyNumberFormat="1" applyFont="1" applyBorder="1" applyAlignment="1">
      <alignment vertical="center"/>
    </xf>
    <xf numFmtId="212" fontId="8" fillId="0" borderId="42" xfId="42" applyNumberFormat="1" applyFont="1" applyBorder="1" applyAlignment="1">
      <alignment vertical="center"/>
    </xf>
    <xf numFmtId="3" fontId="11" fillId="0" borderId="42" xfId="0" applyNumberFormat="1" applyFont="1" applyBorder="1" applyAlignment="1">
      <alignment/>
    </xf>
    <xf numFmtId="0" fontId="11" fillId="0" borderId="42" xfId="0" applyFont="1" applyBorder="1" applyAlignment="1">
      <alignment vertical="center" wrapText="1"/>
    </xf>
    <xf numFmtId="4" fontId="11" fillId="0" borderId="42" xfId="0" applyNumberFormat="1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2" xfId="0" applyFont="1" applyBorder="1" applyAlignment="1">
      <alignment vertical="center"/>
    </xf>
    <xf numFmtId="3" fontId="11" fillId="0" borderId="42" xfId="0" applyNumberFormat="1" applyFont="1" applyBorder="1" applyAlignment="1">
      <alignment vertical="center"/>
    </xf>
    <xf numFmtId="212" fontId="0" fillId="0" borderId="45" xfId="0" applyNumberFormat="1" applyBorder="1" applyAlignment="1">
      <alignment/>
    </xf>
    <xf numFmtId="212" fontId="0" fillId="0" borderId="45" xfId="42" applyNumberFormat="1" applyFont="1" applyBorder="1" applyAlignment="1">
      <alignment vertical="center"/>
    </xf>
    <xf numFmtId="212" fontId="21" fillId="0" borderId="45" xfId="42" applyNumberFormat="1" applyFont="1" applyFill="1" applyBorder="1" applyAlignment="1">
      <alignment vertical="center"/>
    </xf>
    <xf numFmtId="212" fontId="21" fillId="40" borderId="45" xfId="42" applyNumberFormat="1" applyFont="1" applyFill="1" applyBorder="1" applyAlignment="1">
      <alignment vertical="center"/>
    </xf>
    <xf numFmtId="212" fontId="21" fillId="0" borderId="50" xfId="0" applyNumberFormat="1" applyFont="1" applyBorder="1" applyAlignment="1">
      <alignment/>
    </xf>
    <xf numFmtId="212" fontId="1" fillId="0" borderId="67" xfId="0" applyNumberFormat="1" applyFont="1" applyBorder="1" applyAlignment="1">
      <alignment/>
    </xf>
    <xf numFmtId="212" fontId="21" fillId="0" borderId="45" xfId="0" applyNumberFormat="1" applyFont="1" applyBorder="1" applyAlignment="1">
      <alignment/>
    </xf>
    <xf numFmtId="212" fontId="1" fillId="0" borderId="45" xfId="42" applyNumberFormat="1" applyFont="1" applyFill="1" applyBorder="1" applyAlignment="1">
      <alignment vertical="center"/>
    </xf>
    <xf numFmtId="212" fontId="0" fillId="0" borderId="68" xfId="0" applyNumberFormat="1" applyBorder="1" applyAlignment="1">
      <alignment/>
    </xf>
    <xf numFmtId="212" fontId="21" fillId="34" borderId="51" xfId="42" applyNumberFormat="1" applyFont="1" applyFill="1" applyBorder="1" applyAlignment="1">
      <alignment vertical="center"/>
    </xf>
    <xf numFmtId="212" fontId="1" fillId="0" borderId="45" xfId="0" applyNumberFormat="1" applyFont="1" applyBorder="1" applyAlignment="1">
      <alignment/>
    </xf>
    <xf numFmtId="212" fontId="1" fillId="0" borderId="20" xfId="0" applyNumberFormat="1" applyFont="1" applyBorder="1" applyAlignment="1">
      <alignment/>
    </xf>
    <xf numFmtId="209" fontId="4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39" fontId="3" fillId="0" borderId="0" xfId="0" applyNumberFormat="1" applyFont="1" applyBorder="1" applyAlignment="1">
      <alignment horizontal="right" vertical="center"/>
    </xf>
    <xf numFmtId="3" fontId="21" fillId="0" borderId="0" xfId="42" applyNumberFormat="1" applyFont="1" applyFill="1" applyBorder="1" applyAlignment="1">
      <alignment vertical="center"/>
    </xf>
    <xf numFmtId="3" fontId="1" fillId="0" borderId="0" xfId="42" applyNumberFormat="1" applyFont="1" applyFill="1" applyBorder="1" applyAlignment="1">
      <alignment vertical="center"/>
    </xf>
    <xf numFmtId="3" fontId="0" fillId="0" borderId="0" xfId="42" applyNumberFormat="1" applyFont="1" applyBorder="1" applyAlignment="1">
      <alignment vertical="center"/>
    </xf>
    <xf numFmtId="3" fontId="1" fillId="0" borderId="0" xfId="42" applyNumberFormat="1" applyFont="1" applyBorder="1" applyAlignment="1">
      <alignment vertical="center"/>
    </xf>
    <xf numFmtId="37" fontId="11" fillId="35" borderId="20" xfId="42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212" fontId="21" fillId="0" borderId="18" xfId="42" applyNumberFormat="1" applyFont="1" applyFill="1" applyBorder="1" applyAlignment="1">
      <alignment vertical="center"/>
    </xf>
    <xf numFmtId="212" fontId="21" fillId="0" borderId="45" xfId="42" applyNumberFormat="1" applyFont="1" applyBorder="1" applyAlignment="1">
      <alignment vertical="center"/>
    </xf>
    <xf numFmtId="212" fontId="21" fillId="0" borderId="20" xfId="42" applyNumberFormat="1" applyFont="1" applyBorder="1" applyAlignment="1">
      <alignment vertical="center"/>
    </xf>
    <xf numFmtId="212" fontId="21" fillId="0" borderId="42" xfId="42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212" fontId="0" fillId="0" borderId="20" xfId="0" applyNumberFormat="1" applyFill="1" applyBorder="1" applyAlignment="1">
      <alignment/>
    </xf>
    <xf numFmtId="4" fontId="0" fillId="0" borderId="0" xfId="42" applyNumberFormat="1" applyFont="1" applyFill="1" applyBorder="1" applyAlignment="1">
      <alignment vertical="center"/>
    </xf>
    <xf numFmtId="43" fontId="17" fillId="0" borderId="0" xfId="42" applyFont="1" applyFill="1" applyBorder="1" applyAlignment="1">
      <alignment horizontal="center" vertical="center" wrapText="1"/>
    </xf>
    <xf numFmtId="43" fontId="17" fillId="0" borderId="0" xfId="42" applyFont="1" applyFill="1" applyBorder="1" applyAlignment="1" quotePrefix="1">
      <alignment horizontal="center" vertical="center"/>
    </xf>
    <xf numFmtId="3" fontId="21" fillId="0" borderId="0" xfId="42" applyNumberFormat="1" applyFont="1" applyFill="1" applyBorder="1" applyAlignment="1" quotePrefix="1">
      <alignment vertical="center"/>
    </xf>
    <xf numFmtId="3" fontId="0" fillId="0" borderId="0" xfId="42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211" fontId="0" fillId="0" borderId="0" xfId="42" applyNumberFormat="1" applyFont="1" applyFill="1" applyBorder="1" applyAlignment="1">
      <alignment vertical="center"/>
    </xf>
    <xf numFmtId="43" fontId="14" fillId="0" borderId="0" xfId="42" applyFont="1" applyFill="1" applyBorder="1" applyAlignment="1" quotePrefix="1">
      <alignment horizontal="center" vertical="center"/>
    </xf>
    <xf numFmtId="211" fontId="0" fillId="0" borderId="0" xfId="0" applyNumberFormat="1" applyFont="1" applyFill="1" applyAlignment="1">
      <alignment/>
    </xf>
    <xf numFmtId="211" fontId="21" fillId="0" borderId="0" xfId="0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/>
    </xf>
    <xf numFmtId="211" fontId="0" fillId="0" borderId="0" xfId="0" applyNumberFormat="1" applyFont="1" applyFill="1" applyAlignment="1">
      <alignment/>
    </xf>
    <xf numFmtId="211" fontId="0" fillId="0" borderId="0" xfId="0" applyNumberFormat="1" applyFont="1" applyFill="1" applyBorder="1" applyAlignment="1">
      <alignment/>
    </xf>
    <xf numFmtId="211" fontId="21" fillId="0" borderId="0" xfId="0" applyNumberFormat="1" applyFont="1" applyFill="1" applyAlignment="1">
      <alignment/>
    </xf>
    <xf numFmtId="211" fontId="21" fillId="0" borderId="42" xfId="4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7" fontId="23" fillId="0" borderId="0" xfId="42" applyNumberFormat="1" applyFont="1" applyFill="1" applyBorder="1" applyAlignment="1">
      <alignment vertical="center"/>
    </xf>
    <xf numFmtId="37" fontId="22" fillId="0" borderId="0" xfId="42" applyNumberFormat="1" applyFont="1" applyFill="1" applyBorder="1" applyAlignment="1">
      <alignment vertical="center"/>
    </xf>
    <xf numFmtId="37" fontId="24" fillId="0" borderId="0" xfId="42" applyNumberFormat="1" applyFont="1" applyFill="1" applyBorder="1" applyAlignment="1">
      <alignment/>
    </xf>
    <xf numFmtId="212" fontId="11" fillId="0" borderId="42" xfId="42" applyNumberFormat="1" applyFont="1" applyBorder="1" applyAlignment="1">
      <alignment vertical="center"/>
    </xf>
    <xf numFmtId="37" fontId="11" fillId="35" borderId="18" xfId="42" applyNumberFormat="1" applyFont="1" applyFill="1" applyBorder="1" applyAlignment="1">
      <alignment horizontal="right"/>
    </xf>
    <xf numFmtId="3" fontId="11" fillId="0" borderId="0" xfId="42" applyNumberFormat="1" applyFont="1" applyFill="1" applyBorder="1" applyAlignment="1">
      <alignment vertical="center"/>
    </xf>
    <xf numFmtId="212" fontId="21" fillId="0" borderId="24" xfId="42" applyNumberFormat="1" applyFont="1" applyBorder="1" applyAlignment="1" quotePrefix="1">
      <alignment vertical="center"/>
    </xf>
    <xf numFmtId="212" fontId="21" fillId="40" borderId="24" xfId="42" applyNumberFormat="1" applyFont="1" applyFill="1" applyBorder="1" applyAlignment="1">
      <alignment vertical="center"/>
    </xf>
    <xf numFmtId="4" fontId="11" fillId="0" borderId="42" xfId="0" applyNumberFormat="1" applyFont="1" applyBorder="1" applyAlignment="1">
      <alignment/>
    </xf>
    <xf numFmtId="37" fontId="11" fillId="0" borderId="18" xfId="42" applyNumberFormat="1" applyFont="1" applyBorder="1" applyAlignment="1">
      <alignment horizontal="right" vertical="center"/>
    </xf>
    <xf numFmtId="37" fontId="11" fillId="0" borderId="20" xfId="42" applyNumberFormat="1" applyFont="1" applyBorder="1" applyAlignment="1">
      <alignment horizontal="right" vertical="center"/>
    </xf>
    <xf numFmtId="43" fontId="28" fillId="33" borderId="69" xfId="42" applyFont="1" applyFill="1" applyBorder="1" applyAlignment="1" applyProtection="1">
      <alignment/>
      <protection/>
    </xf>
    <xf numFmtId="38" fontId="13" fillId="0" borderId="42" xfId="42" applyNumberFormat="1" applyFont="1" applyFill="1" applyBorder="1" applyAlignment="1" quotePrefix="1">
      <alignment horizontal="right" vertical="center"/>
    </xf>
    <xf numFmtId="38" fontId="13" fillId="0" borderId="42" xfId="42" applyNumberFormat="1" applyFont="1" applyFill="1" applyBorder="1" applyAlignment="1">
      <alignment vertical="center"/>
    </xf>
    <xf numFmtId="38" fontId="8" fillId="0" borderId="42" xfId="42" applyNumberFormat="1" applyFont="1" applyFill="1" applyBorder="1" applyAlignment="1">
      <alignment vertical="center"/>
    </xf>
    <xf numFmtId="38" fontId="11" fillId="0" borderId="42" xfId="42" applyNumberFormat="1" applyFont="1" applyFill="1" applyBorder="1" applyAlignment="1">
      <alignment vertical="center"/>
    </xf>
    <xf numFmtId="3" fontId="13" fillId="0" borderId="42" xfId="0" applyNumberFormat="1" applyFont="1" applyFill="1" applyBorder="1" applyAlignment="1">
      <alignment/>
    </xf>
    <xf numFmtId="37" fontId="11" fillId="0" borderId="42" xfId="42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7" fontId="13" fillId="0" borderId="42" xfId="42" applyNumberFormat="1" applyFont="1" applyFill="1" applyBorder="1" applyAlignment="1">
      <alignment vertical="center"/>
    </xf>
    <xf numFmtId="37" fontId="8" fillId="0" borderId="42" xfId="42" applyNumberFormat="1" applyFont="1" applyFill="1" applyBorder="1" applyAlignment="1">
      <alignment vertical="center"/>
    </xf>
    <xf numFmtId="37" fontId="11" fillId="0" borderId="42" xfId="42" applyNumberFormat="1" applyFont="1" applyFill="1" applyBorder="1" applyAlignment="1">
      <alignment horizontal="right" vertical="center"/>
    </xf>
    <xf numFmtId="0" fontId="0" fillId="38" borderId="0" xfId="0" applyFill="1" applyAlignment="1">
      <alignment/>
    </xf>
    <xf numFmtId="37" fontId="8" fillId="0" borderId="20" xfId="42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1" fillId="0" borderId="52" xfId="0" applyFont="1" applyBorder="1" applyAlignment="1">
      <alignment horizontal="center" vertical="center"/>
    </xf>
    <xf numFmtId="39" fontId="5" fillId="0" borderId="13" xfId="0" applyNumberFormat="1" applyFont="1" applyBorder="1" applyAlignment="1">
      <alignment horizontal="right" vertical="center"/>
    </xf>
    <xf numFmtId="43" fontId="14" fillId="41" borderId="26" xfId="42" applyFont="1" applyFill="1" applyBorder="1" applyAlignment="1">
      <alignment horizontal="center" vertical="center" wrapText="1"/>
    </xf>
    <xf numFmtId="43" fontId="14" fillId="41" borderId="27" xfId="42" applyFont="1" applyFill="1" applyBorder="1" applyAlignment="1">
      <alignment horizontal="center" vertical="center" wrapText="1"/>
    </xf>
    <xf numFmtId="43" fontId="17" fillId="41" borderId="25" xfId="42" applyFont="1" applyFill="1" applyBorder="1" applyAlignment="1">
      <alignment horizontal="center" vertical="center" wrapText="1"/>
    </xf>
    <xf numFmtId="43" fontId="17" fillId="41" borderId="26" xfId="42" applyFont="1" applyFill="1" applyBorder="1" applyAlignment="1">
      <alignment horizontal="center" vertical="center" wrapText="1"/>
    </xf>
    <xf numFmtId="43" fontId="17" fillId="41" borderId="27" xfId="42" applyFont="1" applyFill="1" applyBorder="1" applyAlignment="1">
      <alignment horizontal="center" vertical="center" wrapText="1"/>
    </xf>
    <xf numFmtId="39" fontId="3" fillId="0" borderId="13" xfId="0" applyNumberFormat="1" applyFont="1" applyBorder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17" fillId="35" borderId="64" xfId="0" applyFont="1" applyFill="1" applyBorder="1" applyAlignment="1">
      <alignment horizontal="center" vertical="center"/>
    </xf>
    <xf numFmtId="0" fontId="17" fillId="35" borderId="31" xfId="0" applyFont="1" applyFill="1" applyBorder="1" applyAlignment="1">
      <alignment horizontal="center" vertical="center"/>
    </xf>
    <xf numFmtId="0" fontId="14" fillId="35" borderId="70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right" vertical="center"/>
    </xf>
    <xf numFmtId="0" fontId="14" fillId="0" borderId="53" xfId="0" applyFont="1" applyBorder="1" applyAlignment="1">
      <alignment horizontal="right" vertical="center"/>
    </xf>
    <xf numFmtId="0" fontId="14" fillId="0" borderId="58" xfId="0" applyFont="1" applyBorder="1" applyAlignment="1">
      <alignment horizontal="right" vertical="center"/>
    </xf>
    <xf numFmtId="40" fontId="1" fillId="0" borderId="1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4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/>
    </xf>
    <xf numFmtId="0" fontId="17" fillId="35" borderId="46" xfId="0" applyFont="1" applyFill="1" applyBorder="1" applyAlignment="1">
      <alignment horizontal="center" vertical="center"/>
    </xf>
    <xf numFmtId="0" fontId="17" fillId="35" borderId="62" xfId="0" applyFont="1" applyFill="1" applyBorder="1" applyAlignment="1">
      <alignment horizontal="center" vertical="center"/>
    </xf>
    <xf numFmtId="40" fontId="1" fillId="0" borderId="1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18" fillId="37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0" fontId="18" fillId="37" borderId="49" xfId="0" applyFont="1" applyFill="1" applyBorder="1" applyAlignment="1">
      <alignment horizontal="center"/>
    </xf>
    <xf numFmtId="0" fontId="18" fillId="37" borderId="74" xfId="0" applyFont="1" applyFill="1" applyBorder="1" applyAlignment="1">
      <alignment horizontal="center"/>
    </xf>
    <xf numFmtId="0" fontId="18" fillId="37" borderId="75" xfId="0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4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exo 3" xfId="57"/>
    <cellStyle name="Normal_Anexo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9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"/>
      <sheetName val="Anexo 2"/>
      <sheetName val="Anexo 3"/>
      <sheetName val="Anexo 5"/>
      <sheetName val="Anexo 4"/>
      <sheetName val="Anexo 6 "/>
      <sheetName val="Anexo 7"/>
      <sheetName val="Anexo 8"/>
      <sheetName val="Anexo 9"/>
      <sheetName val="Anexo 10 "/>
      <sheetName val="Anexo 11"/>
    </sheetNames>
    <sheetDataSet>
      <sheetData sheetId="9">
        <row r="19">
          <cell r="D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115" zoomScaleNormal="115" zoomScalePageLayoutView="0" workbookViewId="0" topLeftCell="A1">
      <selection activeCell="H16" sqref="H16"/>
    </sheetView>
  </sheetViews>
  <sheetFormatPr defaultColWidth="9.140625" defaultRowHeight="12.75"/>
  <cols>
    <col min="1" max="1" width="42.140625" style="0" customWidth="1"/>
    <col min="2" max="4" width="12.7109375" style="0" customWidth="1"/>
    <col min="5" max="5" width="13.421875" style="0" customWidth="1"/>
    <col min="6" max="6" width="13.7109375" style="0" customWidth="1"/>
    <col min="7" max="7" width="16.7109375" style="0" customWidth="1"/>
    <col min="8" max="8" width="19.7109375" style="0" customWidth="1"/>
    <col min="9" max="14" width="9.7109375" style="0" customWidth="1"/>
  </cols>
  <sheetData>
    <row r="1" ht="15.75">
      <c r="B1" s="554" t="s">
        <v>271</v>
      </c>
    </row>
    <row r="2" spans="1:7" ht="14.25" customHeight="1" thickBot="1">
      <c r="A2" s="490" t="s">
        <v>103</v>
      </c>
      <c r="B2" s="491"/>
      <c r="C2" s="491"/>
      <c r="D2" s="491"/>
      <c r="E2" s="491"/>
      <c r="F2" s="491"/>
      <c r="G2" s="224"/>
    </row>
    <row r="3" spans="1:8" ht="11.25" customHeight="1" thickBot="1">
      <c r="A3" s="239" t="s">
        <v>238</v>
      </c>
      <c r="B3" s="494" t="s">
        <v>34</v>
      </c>
      <c r="C3" s="494"/>
      <c r="D3" s="494"/>
      <c r="E3" s="494"/>
      <c r="F3" s="495"/>
      <c r="G3" s="348"/>
      <c r="H3" s="453"/>
    </row>
    <row r="4" spans="1:14" ht="11.25" customHeight="1" thickBot="1">
      <c r="A4" s="240" t="s">
        <v>12</v>
      </c>
      <c r="B4" s="237" t="s">
        <v>173</v>
      </c>
      <c r="C4" s="237" t="s">
        <v>181</v>
      </c>
      <c r="D4" s="237" t="s">
        <v>182</v>
      </c>
      <c r="E4" s="237" t="s">
        <v>207</v>
      </c>
      <c r="F4" s="238" t="s">
        <v>248</v>
      </c>
      <c r="G4" s="454"/>
      <c r="H4" s="11"/>
      <c r="I4" s="219" t="s">
        <v>203</v>
      </c>
      <c r="J4" s="219" t="s">
        <v>197</v>
      </c>
      <c r="K4" s="219" t="s">
        <v>198</v>
      </c>
      <c r="L4" s="219" t="s">
        <v>199</v>
      </c>
      <c r="M4" s="219" t="s">
        <v>200</v>
      </c>
      <c r="N4" s="222" t="s">
        <v>201</v>
      </c>
    </row>
    <row r="5" spans="1:14" ht="11.25" customHeight="1" thickBot="1">
      <c r="A5" s="241" t="s">
        <v>89</v>
      </c>
      <c r="B5" s="264">
        <f>+B6+B34+B33</f>
        <v>752866293.22</v>
      </c>
      <c r="C5" s="264">
        <f>+C6+C34+C33</f>
        <v>741530720.52</v>
      </c>
      <c r="D5" s="264">
        <f>+D6+D34+D33</f>
        <v>848866334.77</v>
      </c>
      <c r="E5" s="264">
        <f>+E6+E34+E33</f>
        <v>1003914345.24</v>
      </c>
      <c r="F5" s="265">
        <f>+F6+F34+F33</f>
        <v>1198505697.7399998</v>
      </c>
      <c r="G5" s="455"/>
      <c r="H5" s="263"/>
      <c r="I5" s="221" t="e">
        <f>F5/G5</f>
        <v>#DIV/0!</v>
      </c>
      <c r="J5" s="220" t="e">
        <f>C5/G5</f>
        <v>#DIV/0!</v>
      </c>
      <c r="K5" s="220">
        <f>D5/C5</f>
        <v>1.1447487086910313</v>
      </c>
      <c r="L5" s="220">
        <f>E5/D5</f>
        <v>1.182653032779313</v>
      </c>
      <c r="M5" s="220">
        <f>F5/E5</f>
        <v>1.1938326246881947</v>
      </c>
      <c r="N5" s="223" t="e">
        <f aca="true" t="shared" si="0" ref="N5:N58">AVERAGE(J5:M5)</f>
        <v>#DIV/0!</v>
      </c>
    </row>
    <row r="6" spans="1:14" ht="11.25" customHeight="1">
      <c r="A6" s="242" t="s">
        <v>0</v>
      </c>
      <c r="B6" s="266">
        <f>+B7+B15+B16+B19+B20+B21+B22+B30-B42</f>
        <v>638153414.21</v>
      </c>
      <c r="C6" s="266">
        <f>+C7+C15+C16+C19+C20+C21+C22+C30-C42</f>
        <v>682630704.2299999</v>
      </c>
      <c r="D6" s="266">
        <f>+D7+D15+D16+D19+D20+D21+D22+D30-D42</f>
        <v>762667359.78</v>
      </c>
      <c r="E6" s="266">
        <f>+E7+E15+E16+E19+E20+E21+E22+E30-E42</f>
        <v>888920115.99</v>
      </c>
      <c r="F6" s="267">
        <f>+F7+F15+F16+F19+F20+F21+F22+F30-F42</f>
        <v>1068558830.4099998</v>
      </c>
      <c r="G6" s="455"/>
      <c r="H6" s="262"/>
      <c r="I6" s="221">
        <f aca="true" t="shared" si="1" ref="I6:I58">F6/B6</f>
        <v>1.6744544597208162</v>
      </c>
      <c r="J6" s="220">
        <f aca="true" t="shared" si="2" ref="J6:J58">C6/B6</f>
        <v>1.0696968613339795</v>
      </c>
      <c r="K6" s="220">
        <f aca="true" t="shared" si="3" ref="K6:K58">D6/C6</f>
        <v>1.1172473711686914</v>
      </c>
      <c r="L6" s="220">
        <f aca="true" t="shared" si="4" ref="L6:L58">E6/D6</f>
        <v>1.1655410508801884</v>
      </c>
      <c r="M6" s="220">
        <f aca="true" t="shared" si="5" ref="M6:M58">F6/E6</f>
        <v>1.2020864543265897</v>
      </c>
      <c r="N6" s="223">
        <f t="shared" si="0"/>
        <v>1.138642934427362</v>
      </c>
    </row>
    <row r="7" spans="1:14" ht="11.25" customHeight="1">
      <c r="A7" s="243" t="s">
        <v>17</v>
      </c>
      <c r="B7" s="268">
        <f>+B8+B13+B14</f>
        <v>170543242.65000004</v>
      </c>
      <c r="C7" s="268">
        <f>+C8+C13+C14</f>
        <v>183257896.76999995</v>
      </c>
      <c r="D7" s="269">
        <f>SUM(D8,D13,D14)</f>
        <v>223624162.12000006</v>
      </c>
      <c r="E7" s="268">
        <f>SUM(E8,E13,E14)</f>
        <v>284091134</v>
      </c>
      <c r="F7" s="270">
        <f>SUM(F8,F13,F14)</f>
        <v>328924458.06</v>
      </c>
      <c r="G7" s="443"/>
      <c r="H7" s="455"/>
      <c r="I7" s="221">
        <f t="shared" si="1"/>
        <v>1.9286865486370528</v>
      </c>
      <c r="J7" s="220">
        <f t="shared" si="2"/>
        <v>1.0745538428989165</v>
      </c>
      <c r="K7" s="220">
        <f t="shared" si="3"/>
        <v>1.2202702642640404</v>
      </c>
      <c r="L7" s="220">
        <f t="shared" si="4"/>
        <v>1.270395521247621</v>
      </c>
      <c r="M7" s="220">
        <f t="shared" si="5"/>
        <v>1.157813175753665</v>
      </c>
      <c r="N7" s="223">
        <f t="shared" si="0"/>
        <v>1.1807582010410607</v>
      </c>
    </row>
    <row r="8" spans="1:14" ht="11.25" customHeight="1">
      <c r="A8" s="244" t="s">
        <v>1</v>
      </c>
      <c r="B8" s="271">
        <f>SUM(B9:B12)</f>
        <v>157458048.60000002</v>
      </c>
      <c r="C8" s="271">
        <f>SUM(C9:C12)</f>
        <v>168916855.48999998</v>
      </c>
      <c r="D8" s="272">
        <f>SUM(D9:D12)</f>
        <v>207098540.98000005</v>
      </c>
      <c r="E8" s="271">
        <f>SUM(E9:E12)</f>
        <v>262746644.58</v>
      </c>
      <c r="F8" s="273">
        <f>SUM(F9:F12)</f>
        <v>310630223.05</v>
      </c>
      <c r="G8" s="455"/>
      <c r="H8" s="455"/>
      <c r="I8" s="221">
        <f t="shared" si="1"/>
        <v>1.9727808505941307</v>
      </c>
      <c r="J8" s="220">
        <f t="shared" si="2"/>
        <v>1.0727737133279827</v>
      </c>
      <c r="K8" s="220">
        <f t="shared" si="3"/>
        <v>1.226038339271953</v>
      </c>
      <c r="L8" s="220">
        <f t="shared" si="4"/>
        <v>1.2687035038328638</v>
      </c>
      <c r="M8" s="220">
        <f t="shared" si="5"/>
        <v>1.1822423976014682</v>
      </c>
      <c r="N8" s="223">
        <f t="shared" si="0"/>
        <v>1.1874394885085668</v>
      </c>
    </row>
    <row r="9" spans="1:14" ht="11.25" customHeight="1">
      <c r="A9" s="245" t="s">
        <v>94</v>
      </c>
      <c r="B9" s="274">
        <v>64931318.36</v>
      </c>
      <c r="C9" s="275">
        <v>70146223.79</v>
      </c>
      <c r="D9" s="275">
        <v>85851585.04</v>
      </c>
      <c r="E9" s="419">
        <v>109379973.86</v>
      </c>
      <c r="F9" s="445">
        <v>111678225.43</v>
      </c>
      <c r="G9" s="455"/>
      <c r="H9" s="263"/>
      <c r="I9" s="221">
        <f t="shared" si="1"/>
        <v>1.7199439076659464</v>
      </c>
      <c r="J9" s="220">
        <f t="shared" si="2"/>
        <v>1.0803141775296614</v>
      </c>
      <c r="K9" s="220">
        <f t="shared" si="3"/>
        <v>1.2238946075988049</v>
      </c>
      <c r="L9" s="220">
        <f t="shared" si="4"/>
        <v>1.2740588750811954</v>
      </c>
      <c r="M9" s="220">
        <f t="shared" si="5"/>
        <v>1.0210116302728471</v>
      </c>
      <c r="N9" s="223">
        <f t="shared" si="0"/>
        <v>1.149819822620627</v>
      </c>
    </row>
    <row r="10" spans="1:14" ht="11.25" customHeight="1">
      <c r="A10" s="245" t="s">
        <v>148</v>
      </c>
      <c r="B10" s="274">
        <v>60164607.22</v>
      </c>
      <c r="C10" s="275">
        <v>67497595.72</v>
      </c>
      <c r="D10" s="275">
        <v>80237828.25</v>
      </c>
      <c r="E10" s="419">
        <v>99992804.39</v>
      </c>
      <c r="F10" s="445">
        <v>126750852.94</v>
      </c>
      <c r="G10" s="455"/>
      <c r="H10" s="263"/>
      <c r="I10" s="221">
        <f t="shared" si="1"/>
        <v>2.106734487213029</v>
      </c>
      <c r="J10" s="220">
        <f t="shared" si="2"/>
        <v>1.1218820971137722</v>
      </c>
      <c r="K10" s="220">
        <f t="shared" si="3"/>
        <v>1.1887509087412573</v>
      </c>
      <c r="L10" s="220">
        <f t="shared" si="4"/>
        <v>1.2462052696447452</v>
      </c>
      <c r="M10" s="220">
        <f t="shared" si="5"/>
        <v>1.2675997409337185</v>
      </c>
      <c r="N10" s="223">
        <f t="shared" si="0"/>
        <v>1.2061095041083734</v>
      </c>
    </row>
    <row r="11" spans="1:14" ht="11.25" customHeight="1">
      <c r="A11" s="245" t="s">
        <v>127</v>
      </c>
      <c r="B11" s="276">
        <v>16181057.91</v>
      </c>
      <c r="C11" s="275">
        <v>14157017.13</v>
      </c>
      <c r="D11" s="275">
        <v>17322234.67</v>
      </c>
      <c r="E11" s="419">
        <v>21489827.37</v>
      </c>
      <c r="F11" s="445">
        <v>36791766.75</v>
      </c>
      <c r="G11" s="453"/>
      <c r="H11" s="263"/>
      <c r="I11" s="221">
        <f t="shared" si="1"/>
        <v>2.273755335073762</v>
      </c>
      <c r="J11" s="220">
        <f t="shared" si="2"/>
        <v>0.874912951226191</v>
      </c>
      <c r="K11" s="220">
        <f t="shared" si="3"/>
        <v>1.223579410191757</v>
      </c>
      <c r="L11" s="220">
        <f t="shared" si="4"/>
        <v>1.2405920933064</v>
      </c>
      <c r="M11" s="220">
        <f t="shared" si="5"/>
        <v>1.712055016382386</v>
      </c>
      <c r="N11" s="223">
        <f t="shared" si="0"/>
        <v>1.2627848677766833</v>
      </c>
    </row>
    <row r="12" spans="1:14" ht="11.25" customHeight="1">
      <c r="A12" s="245" t="s">
        <v>147</v>
      </c>
      <c r="B12" s="276">
        <v>16181065.11</v>
      </c>
      <c r="C12" s="275">
        <v>17116018.85</v>
      </c>
      <c r="D12" s="275">
        <v>23686893.02</v>
      </c>
      <c r="E12" s="419">
        <v>31884038.96</v>
      </c>
      <c r="F12" s="445">
        <v>35409377.93</v>
      </c>
      <c r="G12" s="453"/>
      <c r="H12" s="263"/>
      <c r="I12" s="221">
        <f t="shared" si="1"/>
        <v>2.188321824878931</v>
      </c>
      <c r="J12" s="220">
        <f t="shared" si="2"/>
        <v>1.0577807291203714</v>
      </c>
      <c r="K12" s="220">
        <f t="shared" si="3"/>
        <v>1.3839020176119985</v>
      </c>
      <c r="L12" s="220">
        <f t="shared" si="4"/>
        <v>1.3460625221331795</v>
      </c>
      <c r="M12" s="220">
        <f t="shared" si="5"/>
        <v>1.11056751544002</v>
      </c>
      <c r="N12" s="223">
        <f t="shared" si="0"/>
        <v>1.2245781960763924</v>
      </c>
    </row>
    <row r="13" spans="1:14" ht="11.25" customHeight="1">
      <c r="A13" s="244" t="s">
        <v>2</v>
      </c>
      <c r="B13" s="271">
        <v>12886433.83</v>
      </c>
      <c r="C13" s="271">
        <v>14170313.86</v>
      </c>
      <c r="D13" s="271">
        <v>16364072.9</v>
      </c>
      <c r="E13" s="419">
        <v>21177350.29</v>
      </c>
      <c r="F13" s="445">
        <v>18132588.19</v>
      </c>
      <c r="G13" s="453"/>
      <c r="H13" s="263"/>
      <c r="I13" s="221">
        <f t="shared" si="1"/>
        <v>1.4071067627559455</v>
      </c>
      <c r="J13" s="220">
        <f t="shared" si="2"/>
        <v>1.0996303590999</v>
      </c>
      <c r="K13" s="220">
        <f t="shared" si="3"/>
        <v>1.154813722665138</v>
      </c>
      <c r="L13" s="220">
        <f t="shared" si="4"/>
        <v>1.294136882633907</v>
      </c>
      <c r="M13" s="220">
        <f t="shared" si="5"/>
        <v>0.8562255401027322</v>
      </c>
      <c r="N13" s="223">
        <f t="shared" si="0"/>
        <v>1.1012016261254194</v>
      </c>
    </row>
    <row r="14" spans="1:14" ht="11.25" customHeight="1">
      <c r="A14" s="244" t="s">
        <v>104</v>
      </c>
      <c r="B14" s="277">
        <v>198760.22</v>
      </c>
      <c r="C14" s="271">
        <v>170727.42</v>
      </c>
      <c r="D14" s="271">
        <v>161548.24</v>
      </c>
      <c r="E14" s="429">
        <v>167139.13</v>
      </c>
      <c r="F14" s="430">
        <v>161646.82</v>
      </c>
      <c r="G14" s="261"/>
      <c r="H14" s="263"/>
      <c r="I14" s="221">
        <f t="shared" si="1"/>
        <v>0.8132755135811381</v>
      </c>
      <c r="J14" s="220">
        <f t="shared" si="2"/>
        <v>0.8589617177924235</v>
      </c>
      <c r="K14" s="220">
        <f t="shared" si="3"/>
        <v>0.9462348813096336</v>
      </c>
      <c r="L14" s="220">
        <f t="shared" si="4"/>
        <v>1.0346081764802886</v>
      </c>
      <c r="M14" s="220">
        <f t="shared" si="5"/>
        <v>0.9671392928753428</v>
      </c>
      <c r="N14" s="223">
        <f t="shared" si="0"/>
        <v>0.9517360171144222</v>
      </c>
    </row>
    <row r="15" spans="1:14" ht="11.25" customHeight="1">
      <c r="A15" s="243" t="s">
        <v>86</v>
      </c>
      <c r="B15" s="278">
        <v>28913140.46</v>
      </c>
      <c r="C15" s="279">
        <v>30481399.51</v>
      </c>
      <c r="D15" s="279">
        <v>32330020.12</v>
      </c>
      <c r="E15" s="308">
        <v>35513469.87</v>
      </c>
      <c r="F15" s="442">
        <v>45477891.61</v>
      </c>
      <c r="G15" s="259"/>
      <c r="H15" s="444"/>
      <c r="I15" s="221">
        <f t="shared" si="1"/>
        <v>1.5729142834870038</v>
      </c>
      <c r="J15" s="220">
        <f t="shared" si="2"/>
        <v>1.0542403566354064</v>
      </c>
      <c r="K15" s="220">
        <f t="shared" si="3"/>
        <v>1.0606474978090663</v>
      </c>
      <c r="L15" s="220">
        <f t="shared" si="4"/>
        <v>1.0984672987577466</v>
      </c>
      <c r="M15" s="220">
        <f t="shared" si="5"/>
        <v>1.2805814744792776</v>
      </c>
      <c r="N15" s="223">
        <f t="shared" si="0"/>
        <v>1.1234841569203744</v>
      </c>
    </row>
    <row r="16" spans="1:14" ht="11.25" customHeight="1">
      <c r="A16" s="243" t="s">
        <v>3</v>
      </c>
      <c r="B16" s="279">
        <f>+B17+B18</f>
        <v>21755248.689999998</v>
      </c>
      <c r="C16" s="279">
        <f>+C17+C18</f>
        <v>19215498.42</v>
      </c>
      <c r="D16" s="281">
        <f>+D17+D18</f>
        <v>22670362.959999997</v>
      </c>
      <c r="E16" s="308">
        <f>+E17+E18</f>
        <v>36144396.29</v>
      </c>
      <c r="F16" s="280">
        <f>+F17+F18</f>
        <v>44283676.62</v>
      </c>
      <c r="G16" s="456"/>
      <c r="H16" s="444"/>
      <c r="I16" s="221">
        <f t="shared" si="1"/>
        <v>2.0355398943499736</v>
      </c>
      <c r="J16" s="220">
        <f t="shared" si="2"/>
        <v>0.8832580447049813</v>
      </c>
      <c r="K16" s="220">
        <f t="shared" si="3"/>
        <v>1.1797957286605734</v>
      </c>
      <c r="L16" s="220">
        <f t="shared" si="4"/>
        <v>1.5943457259053961</v>
      </c>
      <c r="M16" s="220">
        <f t="shared" si="5"/>
        <v>1.2251878898376254</v>
      </c>
      <c r="N16" s="223">
        <f t="shared" si="0"/>
        <v>1.220646847277144</v>
      </c>
    </row>
    <row r="17" spans="1:14" ht="11.25" customHeight="1">
      <c r="A17" s="246" t="s">
        <v>172</v>
      </c>
      <c r="B17" s="277">
        <v>21642674.83</v>
      </c>
      <c r="C17" s="271">
        <v>19054412.42</v>
      </c>
      <c r="D17" s="271">
        <v>22529325.56</v>
      </c>
      <c r="E17" s="307">
        <v>35843196.29</v>
      </c>
      <c r="F17" s="273">
        <v>43957987.62</v>
      </c>
      <c r="G17" s="261"/>
      <c r="H17" s="444"/>
      <c r="I17" s="221">
        <f t="shared" si="1"/>
        <v>2.0310792434522753</v>
      </c>
      <c r="J17" s="220">
        <f t="shared" si="2"/>
        <v>0.8804093102941104</v>
      </c>
      <c r="K17" s="220">
        <f t="shared" si="3"/>
        <v>1.1823678979653363</v>
      </c>
      <c r="L17" s="220">
        <f t="shared" si="4"/>
        <v>1.5909573588673376</v>
      </c>
      <c r="M17" s="220">
        <f t="shared" si="5"/>
        <v>1.2263969782255153</v>
      </c>
      <c r="N17" s="223">
        <f t="shared" si="0"/>
        <v>1.220032886338075</v>
      </c>
    </row>
    <row r="18" spans="1:14" ht="11.25" customHeight="1">
      <c r="A18" s="244" t="s">
        <v>4</v>
      </c>
      <c r="B18" s="277">
        <v>112573.86</v>
      </c>
      <c r="C18" s="271">
        <v>161086</v>
      </c>
      <c r="D18" s="271">
        <v>141037.4</v>
      </c>
      <c r="E18" s="307">
        <v>301200</v>
      </c>
      <c r="F18" s="273">
        <v>325689</v>
      </c>
      <c r="G18" s="261"/>
      <c r="H18" s="444"/>
      <c r="I18" s="221">
        <f t="shared" si="1"/>
        <v>2.893113907615853</v>
      </c>
      <c r="J18" s="220">
        <f t="shared" si="2"/>
        <v>1.4309360983091457</v>
      </c>
      <c r="K18" s="220">
        <f t="shared" si="3"/>
        <v>0.8755410153582558</v>
      </c>
      <c r="L18" s="220">
        <f t="shared" si="4"/>
        <v>2.1356037476584224</v>
      </c>
      <c r="M18" s="220">
        <f t="shared" si="5"/>
        <v>1.081304780876494</v>
      </c>
      <c r="N18" s="223">
        <f t="shared" si="0"/>
        <v>1.3808464105505793</v>
      </c>
    </row>
    <row r="19" spans="1:14" ht="11.25" customHeight="1">
      <c r="A19" s="243" t="s">
        <v>154</v>
      </c>
      <c r="B19" s="279">
        <v>0</v>
      </c>
      <c r="C19" s="281">
        <v>0</v>
      </c>
      <c r="D19" s="279">
        <v>0</v>
      </c>
      <c r="E19" s="308">
        <v>0</v>
      </c>
      <c r="F19" s="280">
        <v>0</v>
      </c>
      <c r="G19" s="259"/>
      <c r="H19" s="444"/>
      <c r="I19" s="221" t="e">
        <f t="shared" si="1"/>
        <v>#DIV/0!</v>
      </c>
      <c r="J19" s="220" t="e">
        <f t="shared" si="2"/>
        <v>#DIV/0!</v>
      </c>
      <c r="K19" s="220" t="e">
        <f t="shared" si="3"/>
        <v>#DIV/0!</v>
      </c>
      <c r="L19" s="220" t="e">
        <f t="shared" si="4"/>
        <v>#DIV/0!</v>
      </c>
      <c r="M19" s="220" t="e">
        <f t="shared" si="5"/>
        <v>#DIV/0!</v>
      </c>
      <c r="N19" s="223" t="e">
        <f t="shared" si="0"/>
        <v>#DIV/0!</v>
      </c>
    </row>
    <row r="20" spans="1:14" ht="11.25" customHeight="1">
      <c r="A20" s="243" t="s">
        <v>155</v>
      </c>
      <c r="B20" s="279">
        <v>0</v>
      </c>
      <c r="C20" s="281">
        <v>0</v>
      </c>
      <c r="D20" s="279">
        <v>0</v>
      </c>
      <c r="E20" s="308">
        <v>0</v>
      </c>
      <c r="F20" s="280">
        <v>0</v>
      </c>
      <c r="G20" s="259"/>
      <c r="H20" s="444"/>
      <c r="I20" s="221" t="e">
        <f t="shared" si="1"/>
        <v>#DIV/0!</v>
      </c>
      <c r="J20" s="220" t="e">
        <f t="shared" si="2"/>
        <v>#DIV/0!</v>
      </c>
      <c r="K20" s="220" t="e">
        <f t="shared" si="3"/>
        <v>#DIV/0!</v>
      </c>
      <c r="L20" s="220" t="e">
        <f t="shared" si="4"/>
        <v>#DIV/0!</v>
      </c>
      <c r="M20" s="220" t="e">
        <f t="shared" si="5"/>
        <v>#DIV/0!</v>
      </c>
      <c r="N20" s="223" t="e">
        <f t="shared" si="0"/>
        <v>#DIV/0!</v>
      </c>
    </row>
    <row r="21" spans="1:14" ht="11.25" customHeight="1">
      <c r="A21" s="243" t="s">
        <v>95</v>
      </c>
      <c r="B21" s="278">
        <v>12731881.12</v>
      </c>
      <c r="C21" s="281">
        <v>13354364.96</v>
      </c>
      <c r="D21" s="279">
        <v>14104617.17</v>
      </c>
      <c r="E21" s="308">
        <v>16978731.19</v>
      </c>
      <c r="F21" s="280">
        <v>19246857.25</v>
      </c>
      <c r="G21" s="259"/>
      <c r="H21" s="444"/>
      <c r="I21" s="221">
        <f t="shared" si="1"/>
        <v>1.5117056991496636</v>
      </c>
      <c r="J21" s="220">
        <f t="shared" si="2"/>
        <v>1.0488917414585475</v>
      </c>
      <c r="K21" s="220">
        <f t="shared" si="3"/>
        <v>1.0561802985201625</v>
      </c>
      <c r="L21" s="220">
        <f t="shared" si="4"/>
        <v>1.2037711470902688</v>
      </c>
      <c r="M21" s="220">
        <f t="shared" si="5"/>
        <v>1.1335863106976958</v>
      </c>
      <c r="N21" s="223">
        <f t="shared" si="0"/>
        <v>1.1106073744416687</v>
      </c>
    </row>
    <row r="22" spans="1:14" ht="11.25" customHeight="1">
      <c r="A22" s="243" t="s">
        <v>14</v>
      </c>
      <c r="B22" s="279">
        <f>SUM(B23+B26+B29)</f>
        <v>386425180.34</v>
      </c>
      <c r="C22" s="279">
        <f>SUM(C23+C26+C29)</f>
        <v>418271539.63000005</v>
      </c>
      <c r="D22" s="279">
        <f>SUM(D23+D26+D29)</f>
        <v>445886857.08</v>
      </c>
      <c r="E22" s="308">
        <f>SUM(E23+E26+E29)</f>
        <v>498383734.95</v>
      </c>
      <c r="F22" s="280">
        <f>SUM(F23+F26+F29)</f>
        <v>500884378.53999996</v>
      </c>
      <c r="G22" s="259"/>
      <c r="H22" s="444"/>
      <c r="I22" s="221">
        <f t="shared" si="1"/>
        <v>1.2962001547085829</v>
      </c>
      <c r="J22" s="220">
        <f t="shared" si="2"/>
        <v>1.0824127435535638</v>
      </c>
      <c r="K22" s="220">
        <f t="shared" si="3"/>
        <v>1.0660224634801312</v>
      </c>
      <c r="L22" s="220">
        <f t="shared" si="4"/>
        <v>1.1177358718617292</v>
      </c>
      <c r="M22" s="220">
        <f t="shared" si="5"/>
        <v>1.0050175064205313</v>
      </c>
      <c r="N22" s="223">
        <f t="shared" si="0"/>
        <v>1.067797146328989</v>
      </c>
    </row>
    <row r="23" spans="1:14" ht="11.25" customHeight="1">
      <c r="A23" s="244" t="s">
        <v>96</v>
      </c>
      <c r="B23" s="271">
        <f>SUM(B24+B25)</f>
        <v>197375099.23999998</v>
      </c>
      <c r="C23" s="271">
        <f>+C24+C25</f>
        <v>221863053.42000002</v>
      </c>
      <c r="D23" s="271">
        <f>+D24+D25</f>
        <v>240710642.5</v>
      </c>
      <c r="E23" s="307">
        <f>+E24+E25</f>
        <v>267125385.46999997</v>
      </c>
      <c r="F23" s="273">
        <f>+F24+F25</f>
        <v>257593021.57</v>
      </c>
      <c r="G23" s="261"/>
      <c r="H23" s="457"/>
      <c r="I23" s="221">
        <f t="shared" si="1"/>
        <v>1.305093816605394</v>
      </c>
      <c r="J23" s="220">
        <f t="shared" si="2"/>
        <v>1.1240681031917998</v>
      </c>
      <c r="K23" s="220">
        <f t="shared" si="3"/>
        <v>1.084951454464662</v>
      </c>
      <c r="L23" s="220">
        <f t="shared" si="4"/>
        <v>1.109736498127622</v>
      </c>
      <c r="M23" s="220">
        <f t="shared" si="5"/>
        <v>0.9643150205165711</v>
      </c>
      <c r="N23" s="223">
        <f t="shared" si="0"/>
        <v>1.0707677690751638</v>
      </c>
    </row>
    <row r="24" spans="1:14" ht="11.25" customHeight="1">
      <c r="A24" s="245" t="s">
        <v>97</v>
      </c>
      <c r="B24" s="282">
        <v>42898083.54</v>
      </c>
      <c r="C24" s="275">
        <v>39869219.42</v>
      </c>
      <c r="D24" s="275">
        <v>43485468.5</v>
      </c>
      <c r="E24" s="420">
        <v>50755257.8</v>
      </c>
      <c r="F24" s="283">
        <v>53551171.57</v>
      </c>
      <c r="G24" s="458"/>
      <c r="H24" s="444"/>
      <c r="I24" s="221">
        <f t="shared" si="1"/>
        <v>1.2483348240968994</v>
      </c>
      <c r="J24" s="220">
        <f t="shared" si="2"/>
        <v>0.9293939525952073</v>
      </c>
      <c r="K24" s="220">
        <f t="shared" si="3"/>
        <v>1.090702781057859</v>
      </c>
      <c r="L24" s="220">
        <f t="shared" si="4"/>
        <v>1.167177439976299</v>
      </c>
      <c r="M24" s="220">
        <f t="shared" si="5"/>
        <v>1.0550861899079942</v>
      </c>
      <c r="N24" s="223">
        <f t="shared" si="0"/>
        <v>1.0605900908843398</v>
      </c>
    </row>
    <row r="25" spans="1:14" ht="11.25" customHeight="1">
      <c r="A25" s="245" t="s">
        <v>140</v>
      </c>
      <c r="B25" s="284">
        <v>154477015.7</v>
      </c>
      <c r="C25" s="285">
        <v>181993834</v>
      </c>
      <c r="D25" s="275">
        <v>197225174</v>
      </c>
      <c r="E25" s="420">
        <v>216370127.67</v>
      </c>
      <c r="F25" s="283">
        <v>204041850</v>
      </c>
      <c r="G25" s="260"/>
      <c r="H25" s="444"/>
      <c r="I25" s="221">
        <f t="shared" si="1"/>
        <v>1.3208557213213954</v>
      </c>
      <c r="J25" s="220">
        <f t="shared" si="2"/>
        <v>1.1781288832860333</v>
      </c>
      <c r="K25" s="220">
        <f t="shared" si="3"/>
        <v>1.0836915167136927</v>
      </c>
      <c r="L25" s="220">
        <f t="shared" si="4"/>
        <v>1.0970715516772722</v>
      </c>
      <c r="M25" s="220">
        <f t="shared" si="5"/>
        <v>0.9430222748271303</v>
      </c>
      <c r="N25" s="223">
        <f t="shared" si="0"/>
        <v>1.075478556626032</v>
      </c>
    </row>
    <row r="26" spans="1:14" ht="11.25" customHeight="1">
      <c r="A26" s="244" t="s">
        <v>98</v>
      </c>
      <c r="B26" s="271">
        <f>+B27+B28</f>
        <v>134473005.1</v>
      </c>
      <c r="C26" s="271">
        <f>+C27+C28</f>
        <v>139980394.4</v>
      </c>
      <c r="D26" s="271">
        <f>+D27+D28</f>
        <v>143494232.57999998</v>
      </c>
      <c r="E26" s="307">
        <f>+E27+E28</f>
        <v>156866887.19</v>
      </c>
      <c r="F26" s="273">
        <f>+F27+F28</f>
        <v>168774276.32999998</v>
      </c>
      <c r="G26" s="458"/>
      <c r="H26" s="444"/>
      <c r="I26" s="221">
        <f t="shared" si="1"/>
        <v>1.2550792347095394</v>
      </c>
      <c r="J26" s="220">
        <f t="shared" si="2"/>
        <v>1.0409553523095916</v>
      </c>
      <c r="K26" s="220">
        <f t="shared" si="3"/>
        <v>1.0251023594772781</v>
      </c>
      <c r="L26" s="220">
        <f t="shared" si="4"/>
        <v>1.0931929762580845</v>
      </c>
      <c r="M26" s="220">
        <f t="shared" si="5"/>
        <v>1.0759076013638083</v>
      </c>
      <c r="N26" s="223">
        <f t="shared" si="0"/>
        <v>1.0587895723521907</v>
      </c>
    </row>
    <row r="27" spans="1:14" ht="11.25" customHeight="1">
      <c r="A27" s="245" t="s">
        <v>99</v>
      </c>
      <c r="B27" s="282">
        <v>87795940.31</v>
      </c>
      <c r="C27" s="275">
        <v>88778607.4</v>
      </c>
      <c r="D27" s="275">
        <v>94493532.58</v>
      </c>
      <c r="E27" s="420">
        <v>102608861.95</v>
      </c>
      <c r="F27" s="283">
        <v>115672117.33</v>
      </c>
      <c r="G27" s="459"/>
      <c r="H27" s="446"/>
      <c r="I27" s="221">
        <f t="shared" si="1"/>
        <v>1.3175110024628882</v>
      </c>
      <c r="J27" s="220">
        <f t="shared" si="2"/>
        <v>1.0111926256103676</v>
      </c>
      <c r="K27" s="220">
        <f t="shared" si="3"/>
        <v>1.0643727734346056</v>
      </c>
      <c r="L27" s="220">
        <f t="shared" si="4"/>
        <v>1.085882378914445</v>
      </c>
      <c r="M27" s="220">
        <f t="shared" si="5"/>
        <v>1.127311180844843</v>
      </c>
      <c r="N27" s="223">
        <f t="shared" si="0"/>
        <v>1.0721897397010653</v>
      </c>
    </row>
    <row r="28" spans="1:14" ht="11.25" customHeight="1">
      <c r="A28" s="245" t="s">
        <v>141</v>
      </c>
      <c r="B28" s="282">
        <v>46677064.79</v>
      </c>
      <c r="C28" s="285">
        <v>51201787</v>
      </c>
      <c r="D28" s="275">
        <v>49000700</v>
      </c>
      <c r="E28" s="420">
        <v>54258025.24</v>
      </c>
      <c r="F28" s="283">
        <v>53102159</v>
      </c>
      <c r="G28" s="458"/>
      <c r="H28" s="444"/>
      <c r="I28" s="221">
        <f t="shared" si="1"/>
        <v>1.1376499194820087</v>
      </c>
      <c r="J28" s="220">
        <f t="shared" si="2"/>
        <v>1.0969367339261094</v>
      </c>
      <c r="K28" s="220">
        <f t="shared" si="3"/>
        <v>0.9570115199299587</v>
      </c>
      <c r="L28" s="220">
        <f t="shared" si="4"/>
        <v>1.1072908191107473</v>
      </c>
      <c r="M28" s="220">
        <f t="shared" si="5"/>
        <v>0.978696861249792</v>
      </c>
      <c r="N28" s="223">
        <f t="shared" si="0"/>
        <v>1.0349839835541517</v>
      </c>
    </row>
    <row r="29" spans="1:14" ht="11.25" customHeight="1">
      <c r="A29" s="244" t="s">
        <v>100</v>
      </c>
      <c r="B29" s="271">
        <v>54577076</v>
      </c>
      <c r="C29" s="272">
        <v>56428091.81</v>
      </c>
      <c r="D29" s="271">
        <v>61681982</v>
      </c>
      <c r="E29" s="307">
        <v>74391462.29</v>
      </c>
      <c r="F29" s="273">
        <v>74517080.64</v>
      </c>
      <c r="G29" s="260"/>
      <c r="H29" s="444"/>
      <c r="I29" s="221">
        <f t="shared" si="1"/>
        <v>1.365354945728496</v>
      </c>
      <c r="J29" s="220">
        <f t="shared" si="2"/>
        <v>1.0339156280559991</v>
      </c>
      <c r="K29" s="220">
        <f t="shared" si="3"/>
        <v>1.0931077061349241</v>
      </c>
      <c r="L29" s="220">
        <f t="shared" si="4"/>
        <v>1.2060485068394853</v>
      </c>
      <c r="M29" s="220">
        <f t="shared" si="5"/>
        <v>1.001688612458111</v>
      </c>
      <c r="N29" s="223">
        <f t="shared" si="0"/>
        <v>1.0836901133721297</v>
      </c>
    </row>
    <row r="30" spans="1:14" ht="11.25" customHeight="1">
      <c r="A30" s="247" t="s">
        <v>85</v>
      </c>
      <c r="B30" s="281">
        <f>+B31+B32</f>
        <v>47090288.44</v>
      </c>
      <c r="C30" s="281">
        <f>+C31+C32</f>
        <v>52733732.53</v>
      </c>
      <c r="D30" s="281">
        <f>+D31+D32</f>
        <v>70084888.07</v>
      </c>
      <c r="E30" s="421">
        <f>+E31+E32</f>
        <v>93678899.99</v>
      </c>
      <c r="F30" s="286">
        <f>+F31+F32</f>
        <v>179204579.64</v>
      </c>
      <c r="G30" s="458"/>
      <c r="H30" s="444"/>
      <c r="I30" s="221">
        <f t="shared" si="1"/>
        <v>3.805552813046222</v>
      </c>
      <c r="J30" s="220">
        <f t="shared" si="2"/>
        <v>1.1198430563276458</v>
      </c>
      <c r="K30" s="220">
        <f t="shared" si="3"/>
        <v>1.3290333285270295</v>
      </c>
      <c r="L30" s="220">
        <f t="shared" si="4"/>
        <v>1.336649063296421</v>
      </c>
      <c r="M30" s="220">
        <f t="shared" si="5"/>
        <v>1.9129663100135639</v>
      </c>
      <c r="N30" s="223">
        <f t="shared" si="0"/>
        <v>1.4246229395411651</v>
      </c>
    </row>
    <row r="31" spans="1:14" ht="11.25" customHeight="1">
      <c r="A31" s="246" t="s">
        <v>138</v>
      </c>
      <c r="B31" s="271">
        <v>19239518.44</v>
      </c>
      <c r="C31" s="272">
        <v>26118344.53</v>
      </c>
      <c r="D31" s="271">
        <v>34353239.07</v>
      </c>
      <c r="E31" s="307">
        <v>50113255.37</v>
      </c>
      <c r="F31" s="273">
        <v>59942904.23</v>
      </c>
      <c r="G31" s="443"/>
      <c r="H31" s="444"/>
      <c r="I31" s="221">
        <f t="shared" si="1"/>
        <v>3.115613543911549</v>
      </c>
      <c r="J31" s="220">
        <f t="shared" si="2"/>
        <v>1.3575362923688645</v>
      </c>
      <c r="K31" s="220">
        <f t="shared" si="3"/>
        <v>1.3152915963161926</v>
      </c>
      <c r="L31" s="220">
        <f t="shared" si="4"/>
        <v>1.4587636195785365</v>
      </c>
      <c r="M31" s="220">
        <f t="shared" si="5"/>
        <v>1.1961486793748477</v>
      </c>
      <c r="N31" s="223">
        <f t="shared" si="0"/>
        <v>1.3319350469096103</v>
      </c>
    </row>
    <row r="32" spans="1:14" ht="11.25" customHeight="1">
      <c r="A32" s="246" t="s">
        <v>139</v>
      </c>
      <c r="B32" s="271">
        <v>27850770</v>
      </c>
      <c r="C32" s="272">
        <v>26615388</v>
      </c>
      <c r="D32" s="271">
        <v>35731649</v>
      </c>
      <c r="E32" s="307">
        <v>43565644.62</v>
      </c>
      <c r="F32" s="273">
        <v>119261675.41</v>
      </c>
      <c r="G32" s="260"/>
      <c r="H32" s="260"/>
      <c r="I32" s="221">
        <f t="shared" si="1"/>
        <v>4.28216797632525</v>
      </c>
      <c r="J32" s="220">
        <f t="shared" si="2"/>
        <v>0.9556428062850686</v>
      </c>
      <c r="K32" s="220">
        <f t="shared" si="3"/>
        <v>1.3425184333213553</v>
      </c>
      <c r="L32" s="220">
        <f t="shared" si="4"/>
        <v>1.2192452864406005</v>
      </c>
      <c r="M32" s="220">
        <f t="shared" si="5"/>
        <v>2.7375166016767642</v>
      </c>
      <c r="N32" s="223">
        <f t="shared" si="0"/>
        <v>1.5637307819309472</v>
      </c>
    </row>
    <row r="33" spans="1:14" ht="11.25" customHeight="1">
      <c r="A33" s="247" t="s">
        <v>209</v>
      </c>
      <c r="B33" s="440">
        <v>53449465.97</v>
      </c>
      <c r="C33" s="440">
        <v>57103173.2</v>
      </c>
      <c r="D33" s="278">
        <v>62037244.99</v>
      </c>
      <c r="E33" s="441">
        <v>71619846.8</v>
      </c>
      <c r="F33" s="442">
        <v>96526370.01</v>
      </c>
      <c r="G33" s="349"/>
      <c r="H33" s="444"/>
      <c r="I33" s="221">
        <f t="shared" si="1"/>
        <v>1.8059370333873517</v>
      </c>
      <c r="J33" s="220"/>
      <c r="K33" s="220"/>
      <c r="L33" s="220"/>
      <c r="M33" s="220">
        <f t="shared" si="5"/>
        <v>1.3477600738179742</v>
      </c>
      <c r="N33" s="223"/>
    </row>
    <row r="34" spans="1:14" ht="11.25" customHeight="1">
      <c r="A34" s="248" t="s">
        <v>5</v>
      </c>
      <c r="B34" s="287">
        <f>+B35+B38+B39+B40+B41</f>
        <v>61263413.04</v>
      </c>
      <c r="C34" s="287">
        <f>+C35+C38+C39+C40+C41</f>
        <v>1796843.0899999999</v>
      </c>
      <c r="D34" s="287">
        <f>+D35+D38+D39+D40+D41</f>
        <v>24161730</v>
      </c>
      <c r="E34" s="422">
        <f>+E35+E38+E39+E40+E41</f>
        <v>43374382.45</v>
      </c>
      <c r="F34" s="288">
        <f>+F35+F38+F39+F40+F41</f>
        <v>33420497.32</v>
      </c>
      <c r="G34" s="460"/>
      <c r="H34" s="444"/>
      <c r="I34" s="221">
        <f t="shared" si="1"/>
        <v>0.545521309728192</v>
      </c>
      <c r="J34" s="220">
        <f t="shared" si="2"/>
        <v>0.029329790830080072</v>
      </c>
      <c r="K34" s="220">
        <f t="shared" si="3"/>
        <v>13.44676679586975</v>
      </c>
      <c r="L34" s="220">
        <f t="shared" si="4"/>
        <v>1.795168742056136</v>
      </c>
      <c r="M34" s="220">
        <f t="shared" si="5"/>
        <v>0.7705123492772633</v>
      </c>
      <c r="N34" s="223">
        <f t="shared" si="0"/>
        <v>4.010444419508308</v>
      </c>
    </row>
    <row r="35" spans="1:14" ht="11.25" customHeight="1">
      <c r="A35" s="243" t="s">
        <v>18</v>
      </c>
      <c r="B35" s="281">
        <f>B36+B37</f>
        <v>56006771.04</v>
      </c>
      <c r="C35" s="281">
        <f>C36+C37</f>
        <v>0</v>
      </c>
      <c r="D35" s="281">
        <f>D36+D37</f>
        <v>11887751.08</v>
      </c>
      <c r="E35" s="421">
        <f>E36+E37</f>
        <v>24763646.49</v>
      </c>
      <c r="F35" s="286">
        <f>F36+F37</f>
        <v>0</v>
      </c>
      <c r="G35" s="259"/>
      <c r="H35" s="446"/>
      <c r="I35" s="221">
        <f t="shared" si="1"/>
        <v>0</v>
      </c>
      <c r="J35" s="220">
        <f t="shared" si="2"/>
        <v>0</v>
      </c>
      <c r="K35" s="220" t="e">
        <f t="shared" si="3"/>
        <v>#DIV/0!</v>
      </c>
      <c r="L35" s="220">
        <f t="shared" si="4"/>
        <v>2.0831228988014776</v>
      </c>
      <c r="M35" s="220">
        <f t="shared" si="5"/>
        <v>0</v>
      </c>
      <c r="N35" s="223" t="e">
        <f t="shared" si="0"/>
        <v>#DIV/0!</v>
      </c>
    </row>
    <row r="36" spans="1:14" ht="11.25" customHeight="1">
      <c r="A36" s="244" t="s">
        <v>19</v>
      </c>
      <c r="B36" s="272">
        <v>56006771.04</v>
      </c>
      <c r="C36" s="271">
        <v>0</v>
      </c>
      <c r="D36" s="271">
        <v>11887751.08</v>
      </c>
      <c r="E36" s="307">
        <v>24763646.49</v>
      </c>
      <c r="F36" s="273">
        <v>0</v>
      </c>
      <c r="G36" s="261"/>
      <c r="H36" s="444"/>
      <c r="I36" s="221">
        <f t="shared" si="1"/>
        <v>0</v>
      </c>
      <c r="J36" s="220">
        <f t="shared" si="2"/>
        <v>0</v>
      </c>
      <c r="K36" s="220" t="e">
        <f t="shared" si="3"/>
        <v>#DIV/0!</v>
      </c>
      <c r="L36" s="220">
        <f t="shared" si="4"/>
        <v>2.0831228988014776</v>
      </c>
      <c r="M36" s="220">
        <f t="shared" si="5"/>
        <v>0</v>
      </c>
      <c r="N36" s="223" t="e">
        <f t="shared" si="0"/>
        <v>#DIV/0!</v>
      </c>
    </row>
    <row r="37" spans="1:14" ht="11.25" customHeight="1">
      <c r="A37" s="244" t="s">
        <v>152</v>
      </c>
      <c r="B37" s="271">
        <v>0</v>
      </c>
      <c r="C37" s="271">
        <v>0</v>
      </c>
      <c r="D37" s="271">
        <v>0</v>
      </c>
      <c r="E37" s="307">
        <v>0</v>
      </c>
      <c r="F37" s="273">
        <v>0</v>
      </c>
      <c r="G37" s="261"/>
      <c r="H37" s="444"/>
      <c r="I37" s="221" t="e">
        <f t="shared" si="1"/>
        <v>#DIV/0!</v>
      </c>
      <c r="J37" s="220" t="e">
        <f t="shared" si="2"/>
        <v>#DIV/0!</v>
      </c>
      <c r="K37" s="220" t="e">
        <f t="shared" si="3"/>
        <v>#DIV/0!</v>
      </c>
      <c r="L37" s="220" t="e">
        <f t="shared" si="4"/>
        <v>#DIV/0!</v>
      </c>
      <c r="M37" s="220" t="e">
        <f t="shared" si="5"/>
        <v>#DIV/0!</v>
      </c>
      <c r="N37" s="223" t="e">
        <f t="shared" si="0"/>
        <v>#DIV/0!</v>
      </c>
    </row>
    <row r="38" spans="1:14" ht="11.25" customHeight="1">
      <c r="A38" s="243" t="s">
        <v>15</v>
      </c>
      <c r="B38" s="278">
        <v>616532.8</v>
      </c>
      <c r="C38" s="279">
        <v>73464.13</v>
      </c>
      <c r="D38" s="279">
        <v>310945.87</v>
      </c>
      <c r="E38" s="308">
        <v>79600</v>
      </c>
      <c r="F38" s="280">
        <v>0</v>
      </c>
      <c r="G38" s="259"/>
      <c r="H38" s="444"/>
      <c r="I38" s="221">
        <f t="shared" si="1"/>
        <v>0</v>
      </c>
      <c r="J38" s="220">
        <f t="shared" si="2"/>
        <v>0.11915688832775807</v>
      </c>
      <c r="K38" s="220">
        <f t="shared" si="3"/>
        <v>4.2326216889793695</v>
      </c>
      <c r="L38" s="220">
        <f t="shared" si="4"/>
        <v>0.25599310902569633</v>
      </c>
      <c r="M38" s="220">
        <f t="shared" si="5"/>
        <v>0</v>
      </c>
      <c r="N38" s="223">
        <f t="shared" si="0"/>
        <v>1.151942921583206</v>
      </c>
    </row>
    <row r="39" spans="1:14" ht="11.25" customHeight="1">
      <c r="A39" s="243" t="s">
        <v>170</v>
      </c>
      <c r="B39" s="278">
        <v>0</v>
      </c>
      <c r="C39" s="279">
        <v>0</v>
      </c>
      <c r="D39" s="279">
        <v>0</v>
      </c>
      <c r="E39" s="308">
        <v>0</v>
      </c>
      <c r="F39" s="280">
        <v>0</v>
      </c>
      <c r="G39" s="259"/>
      <c r="H39" s="444"/>
      <c r="I39" s="221" t="e">
        <f t="shared" si="1"/>
        <v>#DIV/0!</v>
      </c>
      <c r="J39" s="220" t="e">
        <f t="shared" si="2"/>
        <v>#DIV/0!</v>
      </c>
      <c r="K39" s="220" t="e">
        <f t="shared" si="3"/>
        <v>#DIV/0!</v>
      </c>
      <c r="L39" s="220" t="e">
        <f t="shared" si="4"/>
        <v>#DIV/0!</v>
      </c>
      <c r="M39" s="220" t="e">
        <f t="shared" si="5"/>
        <v>#DIV/0!</v>
      </c>
      <c r="N39" s="223" t="e">
        <f t="shared" si="0"/>
        <v>#DIV/0!</v>
      </c>
    </row>
    <row r="40" spans="1:14" ht="11.25" customHeight="1">
      <c r="A40" s="243" t="s">
        <v>20</v>
      </c>
      <c r="B40" s="278">
        <v>4640109.2</v>
      </c>
      <c r="C40" s="279">
        <v>1723378.96</v>
      </c>
      <c r="D40" s="279">
        <v>11962959.05</v>
      </c>
      <c r="E40" s="308">
        <v>18531135.96</v>
      </c>
      <c r="F40" s="280">
        <v>33420497.32</v>
      </c>
      <c r="G40" s="259"/>
      <c r="H40" s="444"/>
      <c r="I40" s="221">
        <f t="shared" si="1"/>
        <v>7.202523880256956</v>
      </c>
      <c r="J40" s="220">
        <f t="shared" si="2"/>
        <v>0.371409138388381</v>
      </c>
      <c r="K40" s="220">
        <f t="shared" si="3"/>
        <v>6.941571951185943</v>
      </c>
      <c r="L40" s="220">
        <f t="shared" si="4"/>
        <v>1.5490428315058054</v>
      </c>
      <c r="M40" s="220">
        <f t="shared" si="5"/>
        <v>1.8034780702132411</v>
      </c>
      <c r="N40" s="223">
        <f t="shared" si="0"/>
        <v>2.6663754978233425</v>
      </c>
    </row>
    <row r="41" spans="1:14" ht="11.25" customHeight="1">
      <c r="A41" s="243" t="s">
        <v>6</v>
      </c>
      <c r="B41" s="278">
        <v>0</v>
      </c>
      <c r="C41" s="279">
        <v>0</v>
      </c>
      <c r="D41" s="279">
        <v>74</v>
      </c>
      <c r="E41" s="308">
        <v>0</v>
      </c>
      <c r="F41" s="280">
        <v>0</v>
      </c>
      <c r="G41" s="259"/>
      <c r="H41" s="444"/>
      <c r="I41" s="221" t="e">
        <f t="shared" si="1"/>
        <v>#DIV/0!</v>
      </c>
      <c r="J41" s="220" t="e">
        <f t="shared" si="2"/>
        <v>#DIV/0!</v>
      </c>
      <c r="K41" s="220" t="e">
        <f t="shared" si="3"/>
        <v>#DIV/0!</v>
      </c>
      <c r="L41" s="220">
        <f t="shared" si="4"/>
        <v>0</v>
      </c>
      <c r="M41" s="220" t="e">
        <f t="shared" si="5"/>
        <v>#DIV/0!</v>
      </c>
      <c r="N41" s="223" t="e">
        <f t="shared" si="0"/>
        <v>#DIV/0!</v>
      </c>
    </row>
    <row r="42" spans="1:14" ht="11.25" customHeight="1">
      <c r="A42" s="249" t="s">
        <v>179</v>
      </c>
      <c r="B42" s="277">
        <v>29305567.49</v>
      </c>
      <c r="C42" s="271">
        <v>34683727.59</v>
      </c>
      <c r="D42" s="271">
        <v>46033547.74</v>
      </c>
      <c r="E42" s="307">
        <v>75870250.3</v>
      </c>
      <c r="F42" s="273">
        <v>49463011.31</v>
      </c>
      <c r="G42" s="261"/>
      <c r="H42" s="444"/>
      <c r="I42" s="221">
        <f t="shared" si="1"/>
        <v>1.6878366654008106</v>
      </c>
      <c r="J42" s="220">
        <f t="shared" si="2"/>
        <v>1.1835200803340595</v>
      </c>
      <c r="K42" s="220">
        <f t="shared" si="3"/>
        <v>1.327237610794532</v>
      </c>
      <c r="L42" s="220">
        <f t="shared" si="4"/>
        <v>1.6481512728178007</v>
      </c>
      <c r="M42" s="220">
        <f t="shared" si="5"/>
        <v>0.651942113205339</v>
      </c>
      <c r="N42" s="223">
        <f t="shared" si="0"/>
        <v>1.202712769287933</v>
      </c>
    </row>
    <row r="43" spans="1:14" ht="11.25" customHeight="1">
      <c r="A43" s="243" t="s">
        <v>115</v>
      </c>
      <c r="B43" s="281">
        <f>B44+B50</f>
        <v>686631484.51</v>
      </c>
      <c r="C43" s="281">
        <f>C44+C50</f>
        <v>697348322.31</v>
      </c>
      <c r="D43" s="281">
        <f>D44+D50</f>
        <v>808067300.33</v>
      </c>
      <c r="E43" s="421">
        <f>E44+E50</f>
        <v>985761116.85</v>
      </c>
      <c r="F43" s="286">
        <f>F44+F50</f>
        <v>1085850528.46</v>
      </c>
      <c r="G43" s="461"/>
      <c r="H43" s="457"/>
      <c r="I43" s="221">
        <f t="shared" si="1"/>
        <v>1.58141674676467</v>
      </c>
      <c r="J43" s="220">
        <f t="shared" si="2"/>
        <v>1.0156078450257022</v>
      </c>
      <c r="K43" s="220">
        <f t="shared" si="3"/>
        <v>1.1587714123312696</v>
      </c>
      <c r="L43" s="220">
        <f t="shared" si="4"/>
        <v>1.2198997737532915</v>
      </c>
      <c r="M43" s="220">
        <f t="shared" si="5"/>
        <v>1.1015351588728066</v>
      </c>
      <c r="N43" s="223">
        <f t="shared" si="0"/>
        <v>1.1239535474957676</v>
      </c>
    </row>
    <row r="44" spans="1:14" ht="11.25" customHeight="1">
      <c r="A44" s="248" t="s">
        <v>11</v>
      </c>
      <c r="B44" s="287">
        <f>+B45+B46+B49</f>
        <v>589276716</v>
      </c>
      <c r="C44" s="287">
        <f>+C45+C46+C49</f>
        <v>643004188.8399999</v>
      </c>
      <c r="D44" s="287">
        <f>+D45+D46+D49</f>
        <v>722422145.62</v>
      </c>
      <c r="E44" s="422">
        <f>SUM(E45+E46+E49)</f>
        <v>845621688.36</v>
      </c>
      <c r="F44" s="288">
        <f>+F45+F46+F49</f>
        <v>1011962038.3399999</v>
      </c>
      <c r="G44" s="458"/>
      <c r="H44" s="457"/>
      <c r="I44" s="221">
        <f t="shared" si="1"/>
        <v>1.7172951363311628</v>
      </c>
      <c r="J44" s="220">
        <f t="shared" si="2"/>
        <v>1.0911752855342751</v>
      </c>
      <c r="K44" s="220">
        <f t="shared" si="3"/>
        <v>1.1235107922442507</v>
      </c>
      <c r="L44" s="220">
        <f t="shared" si="4"/>
        <v>1.170536774774903</v>
      </c>
      <c r="M44" s="220">
        <f t="shared" si="5"/>
        <v>1.1967077621939908</v>
      </c>
      <c r="N44" s="223">
        <f t="shared" si="0"/>
        <v>1.1454826536868548</v>
      </c>
    </row>
    <row r="45" spans="1:14" ht="11.25" customHeight="1">
      <c r="A45" s="243" t="s">
        <v>7</v>
      </c>
      <c r="B45" s="279">
        <v>250901718.8</v>
      </c>
      <c r="C45" s="279">
        <v>239461964.85</v>
      </c>
      <c r="D45" s="279">
        <v>264468448.73</v>
      </c>
      <c r="E45" s="423">
        <v>321314677.61</v>
      </c>
      <c r="F45" s="289">
        <v>390634335.38</v>
      </c>
      <c r="G45" s="260"/>
      <c r="H45" s="444"/>
      <c r="I45" s="221">
        <f t="shared" si="1"/>
        <v>1.5569217191827383</v>
      </c>
      <c r="J45" s="220">
        <f t="shared" si="2"/>
        <v>0.9544054380945914</v>
      </c>
      <c r="K45" s="220">
        <f t="shared" si="3"/>
        <v>1.1044277904245217</v>
      </c>
      <c r="L45" s="220">
        <f t="shared" si="4"/>
        <v>1.21494521994204</v>
      </c>
      <c r="M45" s="220">
        <f t="shared" si="5"/>
        <v>1.2157376011753116</v>
      </c>
      <c r="N45" s="223">
        <f t="shared" si="0"/>
        <v>1.122379012409116</v>
      </c>
    </row>
    <row r="46" spans="1:14" ht="11.25" customHeight="1">
      <c r="A46" s="243" t="s">
        <v>76</v>
      </c>
      <c r="B46" s="281">
        <f>B47+B48</f>
        <v>6095302.3</v>
      </c>
      <c r="C46" s="281">
        <f>C47+C48</f>
        <v>11503907.61</v>
      </c>
      <c r="D46" s="281">
        <f>D47+D48</f>
        <v>10145790.89</v>
      </c>
      <c r="E46" s="421">
        <f>E47+E48</f>
        <v>13738451.72</v>
      </c>
      <c r="F46" s="286">
        <f>F47+F48</f>
        <v>14732852.96</v>
      </c>
      <c r="G46" s="259"/>
      <c r="H46" s="444"/>
      <c r="I46" s="221">
        <f t="shared" si="1"/>
        <v>2.4170832281772148</v>
      </c>
      <c r="J46" s="220">
        <f t="shared" si="2"/>
        <v>1.8873399617931992</v>
      </c>
      <c r="K46" s="220">
        <f t="shared" si="3"/>
        <v>0.8819430087547444</v>
      </c>
      <c r="L46" s="220">
        <f t="shared" si="4"/>
        <v>1.354103575458177</v>
      </c>
      <c r="M46" s="220">
        <f t="shared" si="5"/>
        <v>1.072380881067725</v>
      </c>
      <c r="N46" s="223">
        <f t="shared" si="0"/>
        <v>1.2989418567684612</v>
      </c>
    </row>
    <row r="47" spans="1:14" ht="11.25" customHeight="1">
      <c r="A47" s="244" t="s">
        <v>21</v>
      </c>
      <c r="B47" s="290">
        <v>6095302.3</v>
      </c>
      <c r="C47" s="291">
        <v>11503907.61</v>
      </c>
      <c r="D47" s="291">
        <v>10145790.89</v>
      </c>
      <c r="E47" s="424">
        <v>13738451.72</v>
      </c>
      <c r="F47" s="292">
        <v>14732852.96</v>
      </c>
      <c r="G47" s="261"/>
      <c r="H47" s="444"/>
      <c r="I47" s="221">
        <f t="shared" si="1"/>
        <v>2.4170832281772148</v>
      </c>
      <c r="J47" s="220">
        <f t="shared" si="2"/>
        <v>1.8873399617931992</v>
      </c>
      <c r="K47" s="220">
        <f t="shared" si="3"/>
        <v>0.8819430087547444</v>
      </c>
      <c r="L47" s="220">
        <f t="shared" si="4"/>
        <v>1.354103575458177</v>
      </c>
      <c r="M47" s="220">
        <f t="shared" si="5"/>
        <v>1.072380881067725</v>
      </c>
      <c r="N47" s="223">
        <f t="shared" si="0"/>
        <v>1.2989418567684612</v>
      </c>
    </row>
    <row r="48" spans="1:14" ht="11.25" customHeight="1">
      <c r="A48" s="244" t="s">
        <v>22</v>
      </c>
      <c r="B48" s="271">
        <v>0</v>
      </c>
      <c r="C48" s="271">
        <v>0</v>
      </c>
      <c r="D48" s="271">
        <v>0</v>
      </c>
      <c r="E48" s="307">
        <v>0</v>
      </c>
      <c r="F48" s="273">
        <v>0</v>
      </c>
      <c r="G48" s="261"/>
      <c r="H48" s="444"/>
      <c r="I48" s="221" t="e">
        <f t="shared" si="1"/>
        <v>#DIV/0!</v>
      </c>
      <c r="J48" s="220" t="e">
        <f t="shared" si="2"/>
        <v>#DIV/0!</v>
      </c>
      <c r="K48" s="220" t="e">
        <f t="shared" si="3"/>
        <v>#DIV/0!</v>
      </c>
      <c r="L48" s="220" t="e">
        <f t="shared" si="4"/>
        <v>#DIV/0!</v>
      </c>
      <c r="M48" s="220" t="e">
        <f t="shared" si="5"/>
        <v>#DIV/0!</v>
      </c>
      <c r="N48" s="223" t="e">
        <f t="shared" si="0"/>
        <v>#DIV/0!</v>
      </c>
    </row>
    <row r="49" spans="1:14" ht="11.25" customHeight="1">
      <c r="A49" s="243" t="s">
        <v>8</v>
      </c>
      <c r="B49" s="279">
        <v>332279694.9</v>
      </c>
      <c r="C49" s="279">
        <v>392038316.38</v>
      </c>
      <c r="D49" s="279">
        <v>447807906</v>
      </c>
      <c r="E49" s="425">
        <v>510568559.03</v>
      </c>
      <c r="F49" s="293">
        <v>606594850</v>
      </c>
      <c r="G49" s="259"/>
      <c r="H49" s="444"/>
      <c r="I49" s="221">
        <f t="shared" si="1"/>
        <v>1.8255549746503636</v>
      </c>
      <c r="J49" s="220">
        <f t="shared" si="2"/>
        <v>1.1798443371569378</v>
      </c>
      <c r="K49" s="220">
        <f t="shared" si="3"/>
        <v>1.1422554563925402</v>
      </c>
      <c r="L49" s="220">
        <f t="shared" si="4"/>
        <v>1.140150837421794</v>
      </c>
      <c r="M49" s="220">
        <f t="shared" si="5"/>
        <v>1.1880771725396386</v>
      </c>
      <c r="N49" s="223">
        <f t="shared" si="0"/>
        <v>1.1625819508777278</v>
      </c>
    </row>
    <row r="50" spans="1:14" ht="11.25" customHeight="1">
      <c r="A50" s="248" t="s">
        <v>9</v>
      </c>
      <c r="B50" s="287">
        <f>+B51+B52+B53</f>
        <v>97354768.51</v>
      </c>
      <c r="C50" s="287">
        <f>+C51+C52+C53</f>
        <v>54344133.47</v>
      </c>
      <c r="D50" s="287">
        <f>+D51+D52+D53</f>
        <v>85645154.71000001</v>
      </c>
      <c r="E50" s="422">
        <f>+E51+E52+E53</f>
        <v>140139428.49</v>
      </c>
      <c r="F50" s="288">
        <f>+F51+F52+F53</f>
        <v>73888490.12</v>
      </c>
      <c r="G50" s="458"/>
      <c r="H50" s="444"/>
      <c r="I50" s="221">
        <f t="shared" si="1"/>
        <v>0.7589611813663795</v>
      </c>
      <c r="J50" s="220">
        <f t="shared" si="2"/>
        <v>0.5582072075331156</v>
      </c>
      <c r="K50" s="220">
        <f t="shared" si="3"/>
        <v>1.575977925147695</v>
      </c>
      <c r="L50" s="220">
        <f t="shared" si="4"/>
        <v>1.6362797050752154</v>
      </c>
      <c r="M50" s="220">
        <f t="shared" si="5"/>
        <v>0.5272498319434241</v>
      </c>
      <c r="N50" s="223">
        <f t="shared" si="0"/>
        <v>1.0744286674248624</v>
      </c>
    </row>
    <row r="51" spans="1:14" ht="11.25" customHeight="1">
      <c r="A51" s="243" t="s">
        <v>10</v>
      </c>
      <c r="B51" s="279">
        <v>20982444.48</v>
      </c>
      <c r="C51" s="279">
        <v>18919357.68</v>
      </c>
      <c r="D51" s="279">
        <v>51978998.03</v>
      </c>
      <c r="E51" s="425">
        <v>61143508.38</v>
      </c>
      <c r="F51" s="293">
        <v>37418245.87</v>
      </c>
      <c r="G51" s="259"/>
      <c r="H51" s="444"/>
      <c r="I51" s="221">
        <f t="shared" si="1"/>
        <v>1.783312040008791</v>
      </c>
      <c r="J51" s="220">
        <f t="shared" si="2"/>
        <v>0.9016755744562323</v>
      </c>
      <c r="K51" s="220">
        <f t="shared" si="3"/>
        <v>2.7473976077395035</v>
      </c>
      <c r="L51" s="220">
        <f t="shared" si="4"/>
        <v>1.1763117931729012</v>
      </c>
      <c r="M51" s="220">
        <f t="shared" si="5"/>
        <v>0.6119741385700314</v>
      </c>
      <c r="N51" s="223">
        <f t="shared" si="0"/>
        <v>1.359339778484667</v>
      </c>
    </row>
    <row r="52" spans="1:14" ht="11.25" customHeight="1">
      <c r="A52" s="243" t="s">
        <v>23</v>
      </c>
      <c r="B52" s="279">
        <v>57338891.36</v>
      </c>
      <c r="C52" s="279">
        <v>10869443.09</v>
      </c>
      <c r="D52" s="279">
        <v>10769703.99</v>
      </c>
      <c r="E52" s="425">
        <v>54698062.22</v>
      </c>
      <c r="F52" s="293">
        <v>10067839.43</v>
      </c>
      <c r="G52" s="259"/>
      <c r="H52" s="444"/>
      <c r="I52" s="221">
        <f t="shared" si="1"/>
        <v>0.17558482892160335</v>
      </c>
      <c r="J52" s="220">
        <f t="shared" si="2"/>
        <v>0.18956493284386375</v>
      </c>
      <c r="K52" s="220">
        <f t="shared" si="3"/>
        <v>0.9908238996999064</v>
      </c>
      <c r="L52" s="220">
        <f t="shared" si="4"/>
        <v>5.0788826016749224</v>
      </c>
      <c r="M52" s="220">
        <f t="shared" si="5"/>
        <v>0.1840620859566531</v>
      </c>
      <c r="N52" s="223">
        <f t="shared" si="0"/>
        <v>1.6108333800438366</v>
      </c>
    </row>
    <row r="53" spans="1:14" ht="11.25" customHeight="1">
      <c r="A53" s="243" t="s">
        <v>24</v>
      </c>
      <c r="B53" s="279">
        <f>B54+B57</f>
        <v>19033432.67</v>
      </c>
      <c r="C53" s="279">
        <f>C54+C57</f>
        <v>24555332.7</v>
      </c>
      <c r="D53" s="279">
        <f>D54+D57</f>
        <v>22896452.69</v>
      </c>
      <c r="E53" s="308">
        <f>E54+E57</f>
        <v>24297857.89</v>
      </c>
      <c r="F53" s="280">
        <f>F54+F57</f>
        <v>26402404.82</v>
      </c>
      <c r="G53" s="259"/>
      <c r="H53" s="444"/>
      <c r="I53" s="221">
        <f t="shared" si="1"/>
        <v>1.3871593883122713</v>
      </c>
      <c r="J53" s="220">
        <f t="shared" si="2"/>
        <v>1.2901158254392793</v>
      </c>
      <c r="K53" s="220">
        <f t="shared" si="3"/>
        <v>0.9324431873814523</v>
      </c>
      <c r="L53" s="220">
        <f t="shared" si="4"/>
        <v>1.0612062147343926</v>
      </c>
      <c r="M53" s="220">
        <f t="shared" si="5"/>
        <v>1.0866145048476124</v>
      </c>
      <c r="N53" s="223">
        <f t="shared" si="0"/>
        <v>1.0925949331006841</v>
      </c>
    </row>
    <row r="54" spans="1:14" ht="11.25" customHeight="1">
      <c r="A54" s="244" t="s">
        <v>16</v>
      </c>
      <c r="B54" s="272">
        <f>B55+B56</f>
        <v>19033432.67</v>
      </c>
      <c r="C54" s="272">
        <f>C55+C56</f>
        <v>24555332.7</v>
      </c>
      <c r="D54" s="272">
        <f>D55+D56</f>
        <v>22896452.69</v>
      </c>
      <c r="E54" s="426">
        <f>E55+E56</f>
        <v>24297857.89</v>
      </c>
      <c r="F54" s="294">
        <f>SUM(F55:F56)</f>
        <v>26402404.82</v>
      </c>
      <c r="G54" s="261"/>
      <c r="H54" s="444"/>
      <c r="I54" s="221">
        <f t="shared" si="1"/>
        <v>1.3871593883122713</v>
      </c>
      <c r="J54" s="220">
        <f t="shared" si="2"/>
        <v>1.2901158254392793</v>
      </c>
      <c r="K54" s="220">
        <f t="shared" si="3"/>
        <v>0.9324431873814523</v>
      </c>
      <c r="L54" s="220">
        <f t="shared" si="4"/>
        <v>1.0612062147343926</v>
      </c>
      <c r="M54" s="220">
        <f t="shared" si="5"/>
        <v>1.0866145048476124</v>
      </c>
      <c r="N54" s="223">
        <f t="shared" si="0"/>
        <v>1.0925949331006841</v>
      </c>
    </row>
    <row r="55" spans="1:14" ht="11.25" customHeight="1">
      <c r="A55" s="245" t="s">
        <v>25</v>
      </c>
      <c r="B55" s="295">
        <v>19033432.67</v>
      </c>
      <c r="C55" s="296">
        <v>24555332.7</v>
      </c>
      <c r="D55" s="296">
        <v>22896452.69</v>
      </c>
      <c r="E55" s="427">
        <v>24297857.89</v>
      </c>
      <c r="F55" s="297">
        <v>26402404.82</v>
      </c>
      <c r="G55" s="260"/>
      <c r="H55" s="444"/>
      <c r="I55" s="221">
        <f t="shared" si="1"/>
        <v>1.3871593883122713</v>
      </c>
      <c r="J55" s="220">
        <f t="shared" si="2"/>
        <v>1.2901158254392793</v>
      </c>
      <c r="K55" s="220">
        <f t="shared" si="3"/>
        <v>0.9324431873814523</v>
      </c>
      <c r="L55" s="220">
        <f t="shared" si="4"/>
        <v>1.0612062147343926</v>
      </c>
      <c r="M55" s="220">
        <f t="shared" si="5"/>
        <v>1.0866145048476124</v>
      </c>
      <c r="N55" s="223">
        <f t="shared" si="0"/>
        <v>1.0925949331006841</v>
      </c>
    </row>
    <row r="56" spans="1:14" ht="11.25" customHeight="1">
      <c r="A56" s="245" t="s">
        <v>26</v>
      </c>
      <c r="B56" s="275">
        <v>0</v>
      </c>
      <c r="C56" s="275">
        <v>0</v>
      </c>
      <c r="D56" s="298">
        <v>0</v>
      </c>
      <c r="E56" s="420">
        <v>0</v>
      </c>
      <c r="F56" s="283">
        <v>0</v>
      </c>
      <c r="G56" s="260"/>
      <c r="H56" s="444"/>
      <c r="I56" s="221" t="e">
        <f t="shared" si="1"/>
        <v>#DIV/0!</v>
      </c>
      <c r="J56" s="220" t="e">
        <f t="shared" si="2"/>
        <v>#DIV/0!</v>
      </c>
      <c r="K56" s="220" t="e">
        <f t="shared" si="3"/>
        <v>#DIV/0!</v>
      </c>
      <c r="L56" s="220" t="e">
        <f t="shared" si="4"/>
        <v>#DIV/0!</v>
      </c>
      <c r="M56" s="220" t="e">
        <f t="shared" si="5"/>
        <v>#DIV/0!</v>
      </c>
      <c r="N56" s="223" t="e">
        <f t="shared" si="0"/>
        <v>#DIV/0!</v>
      </c>
    </row>
    <row r="57" spans="1:14" ht="11.25" customHeight="1" thickBot="1">
      <c r="A57" s="244" t="s">
        <v>153</v>
      </c>
      <c r="B57" s="299">
        <v>0</v>
      </c>
      <c r="C57" s="299">
        <v>0</v>
      </c>
      <c r="D57" s="300">
        <v>0</v>
      </c>
      <c r="E57" s="309">
        <v>0</v>
      </c>
      <c r="F57" s="301">
        <v>0</v>
      </c>
      <c r="G57" s="261"/>
      <c r="H57" s="444"/>
      <c r="I57" s="221" t="e">
        <f t="shared" si="1"/>
        <v>#DIV/0!</v>
      </c>
      <c r="J57" s="220" t="e">
        <f t="shared" si="2"/>
        <v>#DIV/0!</v>
      </c>
      <c r="K57" s="220" t="e">
        <f t="shared" si="3"/>
        <v>#DIV/0!</v>
      </c>
      <c r="L57" s="220" t="e">
        <f t="shared" si="4"/>
        <v>#DIV/0!</v>
      </c>
      <c r="M57" s="220" t="e">
        <f t="shared" si="5"/>
        <v>#DIV/0!</v>
      </c>
      <c r="N57" s="223" t="e">
        <f t="shared" si="0"/>
        <v>#DIV/0!</v>
      </c>
    </row>
    <row r="58" spans="1:14" ht="11.25" customHeight="1" thickBot="1">
      <c r="A58" s="250" t="s">
        <v>101</v>
      </c>
      <c r="B58" s="302">
        <f>+B5-B43</f>
        <v>66234808.71000004</v>
      </c>
      <c r="C58" s="302">
        <f>+C5-C43</f>
        <v>44182398.21000004</v>
      </c>
      <c r="D58" s="302">
        <f>+D5-D43</f>
        <v>40799034.43999994</v>
      </c>
      <c r="E58" s="428">
        <f>+E5-E43</f>
        <v>18153228.389999986</v>
      </c>
      <c r="F58" s="303">
        <f>+F5-F43</f>
        <v>112655169.27999973</v>
      </c>
      <c r="G58" s="458"/>
      <c r="H58" s="444"/>
      <c r="I58" s="221">
        <f t="shared" si="1"/>
        <v>1.70084539344327</v>
      </c>
      <c r="J58" s="220">
        <f t="shared" si="2"/>
        <v>0.6670570817747291</v>
      </c>
      <c r="K58" s="220">
        <f t="shared" si="3"/>
        <v>0.9234228129962777</v>
      </c>
      <c r="L58" s="220">
        <f t="shared" si="4"/>
        <v>0.4449425982542937</v>
      </c>
      <c r="M58" s="220">
        <f t="shared" si="5"/>
        <v>6.20579253781976</v>
      </c>
      <c r="N58" s="223">
        <f t="shared" si="0"/>
        <v>2.060303757711265</v>
      </c>
    </row>
    <row r="59" spans="1:8" ht="11.25" customHeight="1" thickBot="1">
      <c r="A59" s="492" t="s">
        <v>31</v>
      </c>
      <c r="B59" s="492"/>
      <c r="C59" s="492"/>
      <c r="D59" s="492"/>
      <c r="E59" s="492"/>
      <c r="F59" s="492"/>
      <c r="G59" s="462"/>
      <c r="H59" s="11"/>
    </row>
    <row r="60" spans="1:8" ht="10.5" customHeight="1">
      <c r="A60" s="258" t="str">
        <f aca="true" t="shared" si="6" ref="A60:F60">+A5</f>
        <v>RECEITA ORÇAMENTÁRIA</v>
      </c>
      <c r="B60" s="304">
        <f>+B5</f>
        <v>752866293.22</v>
      </c>
      <c r="C60" s="304">
        <f t="shared" si="6"/>
        <v>741530720.52</v>
      </c>
      <c r="D60" s="304">
        <f>+D5</f>
        <v>848866334.77</v>
      </c>
      <c r="E60" s="305">
        <f>+E5</f>
        <v>1003914345.24</v>
      </c>
      <c r="F60" s="306">
        <f t="shared" si="6"/>
        <v>1198505697.7399998</v>
      </c>
      <c r="G60" s="463"/>
      <c r="H60" s="11"/>
    </row>
    <row r="61" spans="1:8" ht="10.5" customHeight="1">
      <c r="A61" s="317" t="str">
        <f>+A17</f>
        <v>1.3.1.0. - Valores Mobiliários</v>
      </c>
      <c r="B61" s="271">
        <f>-B17</f>
        <v>-21642674.83</v>
      </c>
      <c r="C61" s="271">
        <f>-C17</f>
        <v>-19054412.42</v>
      </c>
      <c r="D61" s="271">
        <f>-D17</f>
        <v>-22529325.56</v>
      </c>
      <c r="E61" s="307">
        <f>-E17</f>
        <v>-35843196.29</v>
      </c>
      <c r="F61" s="273">
        <f>-F17</f>
        <v>-43957987.62</v>
      </c>
      <c r="G61" s="463"/>
      <c r="H61" s="11"/>
    </row>
    <row r="62" spans="1:8" ht="10.5" customHeight="1">
      <c r="A62" s="318" t="str">
        <f>+A35</f>
        <v>2.1.0.0. - Operações de Crédito</v>
      </c>
      <c r="B62" s="279">
        <f>-B35</f>
        <v>-56006771.04</v>
      </c>
      <c r="C62" s="279">
        <f>-C35</f>
        <v>0</v>
      </c>
      <c r="D62" s="279">
        <f>-D35</f>
        <v>-11887751.08</v>
      </c>
      <c r="E62" s="308">
        <f>-E35</f>
        <v>-24763646.49</v>
      </c>
      <c r="F62" s="280">
        <f>-F35</f>
        <v>0</v>
      </c>
      <c r="G62" s="464"/>
      <c r="H62" s="11"/>
    </row>
    <row r="63" spans="1:8" ht="10.5" customHeight="1">
      <c r="A63" s="318" t="str">
        <f>+A38</f>
        <v>2.2.0.0. - Alienação de Bens</v>
      </c>
      <c r="B63" s="279">
        <f>-B38</f>
        <v>-616532.8</v>
      </c>
      <c r="C63" s="279">
        <f>-C38</f>
        <v>-73464.13</v>
      </c>
      <c r="D63" s="279">
        <f>-D38</f>
        <v>-310945.87</v>
      </c>
      <c r="E63" s="308">
        <f>-E38</f>
        <v>-79600</v>
      </c>
      <c r="F63" s="280">
        <f>-F38</f>
        <v>0</v>
      </c>
      <c r="G63" s="464"/>
      <c r="H63" s="11"/>
    </row>
    <row r="64" spans="1:8" ht="10.5" customHeight="1">
      <c r="A64" s="317" t="s">
        <v>105</v>
      </c>
      <c r="B64" s="271">
        <f>SUM(B60:B63)</f>
        <v>674600314.5500001</v>
      </c>
      <c r="C64" s="271">
        <f>SUM(C60:C63)</f>
        <v>722402843.97</v>
      </c>
      <c r="D64" s="271">
        <f>SUM(D60:D63)</f>
        <v>814138312.26</v>
      </c>
      <c r="E64" s="307">
        <f>SUM(E60:E63)</f>
        <v>943227902.46</v>
      </c>
      <c r="F64" s="273">
        <f>SUM(F60:F63)</f>
        <v>1154547710.12</v>
      </c>
      <c r="G64" s="463"/>
      <c r="H64" s="11"/>
    </row>
    <row r="65" spans="1:8" ht="10.5" customHeight="1">
      <c r="A65" s="319" t="str">
        <f aca="true" t="shared" si="7" ref="A65:F65">+A43</f>
        <v>DESPESAS ORÇAMENTÁRIAS</v>
      </c>
      <c r="B65" s="271">
        <f t="shared" si="7"/>
        <v>686631484.51</v>
      </c>
      <c r="C65" s="271">
        <f t="shared" si="7"/>
        <v>697348322.31</v>
      </c>
      <c r="D65" s="271">
        <f>+D43</f>
        <v>808067300.33</v>
      </c>
      <c r="E65" s="307">
        <f>+E43</f>
        <v>985761116.85</v>
      </c>
      <c r="F65" s="273">
        <f t="shared" si="7"/>
        <v>1085850528.46</v>
      </c>
      <c r="G65" s="463"/>
      <c r="H65" s="11"/>
    </row>
    <row r="66" spans="1:8" ht="10.5" customHeight="1">
      <c r="A66" s="318" t="str">
        <f>+A46</f>
        <v>3.2.0.0. - Juros e Encargos da Dívida</v>
      </c>
      <c r="B66" s="279">
        <f>-B46</f>
        <v>-6095302.3</v>
      </c>
      <c r="C66" s="279">
        <f>-C46</f>
        <v>-11503907.61</v>
      </c>
      <c r="D66" s="279">
        <f>-D46</f>
        <v>-10145790.89</v>
      </c>
      <c r="E66" s="308">
        <f>-E46</f>
        <v>-13738451.72</v>
      </c>
      <c r="F66" s="280">
        <f>-F46</f>
        <v>-14732852.96</v>
      </c>
      <c r="G66" s="464"/>
      <c r="H66" s="11"/>
    </row>
    <row r="67" spans="1:8" ht="10.5" customHeight="1">
      <c r="A67" s="317" t="str">
        <f>+A54</f>
        <v>4.3.1.0. - Amortizações </v>
      </c>
      <c r="B67" s="271">
        <f>-B54</f>
        <v>-19033432.67</v>
      </c>
      <c r="C67" s="271">
        <f>-C54</f>
        <v>-24555332.7</v>
      </c>
      <c r="D67" s="271">
        <f>-D54</f>
        <v>-22896452.69</v>
      </c>
      <c r="E67" s="307">
        <f>-E54</f>
        <v>-24297857.89</v>
      </c>
      <c r="F67" s="273">
        <f>-F54</f>
        <v>-26402404.82</v>
      </c>
      <c r="G67" s="463"/>
      <c r="H67" s="11"/>
    </row>
    <row r="68" spans="1:8" ht="10.5" customHeight="1" thickBot="1">
      <c r="A68" s="320" t="s">
        <v>106</v>
      </c>
      <c r="B68" s="300">
        <f>SUM(B65:B67)</f>
        <v>661502749.5400001</v>
      </c>
      <c r="C68" s="300">
        <f>SUM(C65:C67)</f>
        <v>661289081.9999999</v>
      </c>
      <c r="D68" s="300">
        <f>SUM(D65:D67)</f>
        <v>775025056.75</v>
      </c>
      <c r="E68" s="309">
        <f>SUM(E65:E67)</f>
        <v>947724807.24</v>
      </c>
      <c r="F68" s="310">
        <f>SUM(F65:F67)</f>
        <v>1044715270.68</v>
      </c>
      <c r="G68" s="463"/>
      <c r="H68" s="11"/>
    </row>
    <row r="69" spans="1:8" ht="10.5" customHeight="1" thickBot="1">
      <c r="A69" s="321" t="s">
        <v>30</v>
      </c>
      <c r="B69" s="311">
        <f>+B64-B68</f>
        <v>13097565.00999999</v>
      </c>
      <c r="C69" s="311">
        <f>+C64-C68</f>
        <v>61113761.97000015</v>
      </c>
      <c r="D69" s="311">
        <f>+D64-D68</f>
        <v>39113255.50999999</v>
      </c>
      <c r="E69" s="312">
        <f>+E64-E68</f>
        <v>-4496904.779999971</v>
      </c>
      <c r="F69" s="313">
        <f>+F64-F68</f>
        <v>109832439.43999994</v>
      </c>
      <c r="G69" s="347"/>
      <c r="H69" s="11"/>
    </row>
    <row r="70" spans="1:8" ht="4.5" customHeight="1" thickBot="1">
      <c r="A70" s="184"/>
      <c r="B70" s="314"/>
      <c r="C70" s="314"/>
      <c r="D70" s="314"/>
      <c r="E70" s="314"/>
      <c r="F70" s="314"/>
      <c r="G70" s="465"/>
      <c r="H70" s="11"/>
    </row>
    <row r="71" spans="1:8" ht="11.25" customHeight="1" thickBot="1">
      <c r="A71" s="322" t="s">
        <v>102</v>
      </c>
      <c r="B71" s="315">
        <f>AVERAGE(B69:B69)</f>
        <v>13097565.00999999</v>
      </c>
      <c r="C71" s="315">
        <f>AVERAGE(B69:C69)</f>
        <v>37105663.49000007</v>
      </c>
      <c r="D71" s="315">
        <f>AVERAGE(B69:D69)</f>
        <v>37774860.83000004</v>
      </c>
      <c r="E71" s="315">
        <f>AVERAGE(C69:E69)</f>
        <v>31910037.566666722</v>
      </c>
      <c r="F71" s="316">
        <f>AVERAGE(B69:F69)</f>
        <v>43732023.43000002</v>
      </c>
      <c r="G71" s="463"/>
      <c r="H71" s="11"/>
    </row>
    <row r="72" spans="3:7" ht="10.5" customHeight="1">
      <c r="C72" s="493" t="s">
        <v>246</v>
      </c>
      <c r="D72" s="493"/>
      <c r="E72" s="493"/>
      <c r="F72" s="493"/>
      <c r="G72" s="225"/>
    </row>
    <row r="75" spans="2:3" ht="12.75">
      <c r="B75" s="487"/>
      <c r="C75" s="487"/>
    </row>
    <row r="76" spans="2:3" ht="12.75">
      <c r="B76" s="488"/>
      <c r="C76" s="488"/>
    </row>
    <row r="77" spans="2:3" ht="12.75">
      <c r="B77" s="489"/>
      <c r="C77" s="489"/>
    </row>
    <row r="78" spans="2:3" ht="12.75">
      <c r="B78" s="99"/>
      <c r="C78" s="30"/>
    </row>
    <row r="79" spans="2:3" ht="12.75">
      <c r="B79" s="99"/>
      <c r="C79" s="30"/>
    </row>
    <row r="80" spans="2:3" ht="12.75">
      <c r="B80" s="99"/>
      <c r="C80" s="30"/>
    </row>
    <row r="81" spans="2:3" ht="12.75">
      <c r="B81" s="99"/>
      <c r="C81" s="30"/>
    </row>
    <row r="82" spans="2:3" ht="12.75">
      <c r="B82" s="99"/>
      <c r="C82" s="30"/>
    </row>
    <row r="83" spans="2:3" ht="12.75">
      <c r="B83" s="99"/>
      <c r="C83" s="30"/>
    </row>
  </sheetData>
  <sheetProtection selectLockedCells="1" selectUnlockedCells="1"/>
  <mergeCells count="7">
    <mergeCell ref="B75:C75"/>
    <mergeCell ref="B76:B77"/>
    <mergeCell ref="C76:C77"/>
    <mergeCell ref="A2:F2"/>
    <mergeCell ref="A59:F59"/>
    <mergeCell ref="C72:F72"/>
    <mergeCell ref="B3:F3"/>
  </mergeCells>
  <printOptions horizontalCentered="1" verticalCentered="1"/>
  <pageMargins left="0.5118110236220472" right="0.1968503937007874" top="0.984251968503937" bottom="0.5118110236220472" header="0.2755905511811024" footer="0.3937007874015748"/>
  <pageSetup horizontalDpi="300" verticalDpi="300" orientation="portrait" paperSize="9" scale="90" r:id="rId1"/>
  <headerFooter alignWithMargins="0">
    <oddHeader>&amp;C&amp;"Arial Black,Regular"&amp;14PLANILHA  I&amp;"Arial,Negrito"&amp;10
&amp;12
RECEITAS, DESPESAS E RESULTADO PRIMÁRIO DO MUNICÍPIO DE LONDRINA
Período de 2008-2012 (preços correntes)  &amp;R&amp;"Arial Black,Regular"&amp;14ANEXO 1 &amp;"Arial,Normal"&amp;10
&amp;12p. 1 de  1</oddHeader>
    <oddFooter>&amp;R&amp;8__________________________________________________________________________
CONSULTORIA/93-13-JAR - Avaliação Financeira e Orçamentária do Município de Londrina&amp;7
&amp;6Anexo 1 - Londrina - PR.xls</oddFooter>
  </headerFooter>
  <ignoredErrors>
    <ignoredError sqref="E44" formula="1"/>
    <ignoredError sqref="I54" evalError="1"/>
    <ignoredError sqref="F54 B8 C8:D8 E8:F8" formulaRange="1"/>
    <ignoredError sqref="B4:D4 E4:F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Q63"/>
  <sheetViews>
    <sheetView zoomScale="145" zoomScaleNormal="145" zoomScalePageLayoutView="0" workbookViewId="0" topLeftCell="A34">
      <selection activeCell="A59" sqref="A59"/>
    </sheetView>
  </sheetViews>
  <sheetFormatPr defaultColWidth="9.140625" defaultRowHeight="12.75"/>
  <cols>
    <col min="1" max="1" width="8.00390625" style="0" customWidth="1"/>
    <col min="2" max="3" width="8.140625" style="0" customWidth="1"/>
    <col min="4" max="4" width="8.28125" style="0" customWidth="1"/>
    <col min="5" max="5" width="8.57421875" style="0" customWidth="1"/>
    <col min="6" max="6" width="8.7109375" style="0" customWidth="1"/>
    <col min="8" max="8" width="8.57421875" style="0" customWidth="1"/>
    <col min="9" max="9" width="8.421875" style="0" customWidth="1"/>
    <col min="10" max="11" width="9.00390625" style="0" customWidth="1"/>
    <col min="13" max="13" width="7.8515625" style="0" customWidth="1"/>
    <col min="14" max="14" width="8.57421875" style="0" customWidth="1"/>
    <col min="15" max="15" width="7.7109375" style="0" customWidth="1"/>
    <col min="17" max="17" width="11.140625" style="0" customWidth="1"/>
  </cols>
  <sheetData>
    <row r="2" spans="1:11" ht="12.75">
      <c r="A2" s="545" t="s">
        <v>225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</row>
    <row r="3" spans="1:11" ht="12" customHeight="1">
      <c r="A3" s="549" t="s">
        <v>193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</row>
    <row r="4" spans="1:11" ht="12" customHeight="1">
      <c r="A4" s="549"/>
      <c r="B4" s="549"/>
      <c r="C4" s="549"/>
      <c r="D4" s="549"/>
      <c r="E4" s="549"/>
      <c r="F4" s="549"/>
      <c r="G4" s="549"/>
      <c r="H4" s="549"/>
      <c r="I4" s="549"/>
      <c r="J4" s="549"/>
      <c r="K4" s="549"/>
    </row>
    <row r="5" spans="1:11" ht="12" customHeight="1">
      <c r="A5" s="549"/>
      <c r="B5" s="549"/>
      <c r="C5" s="549"/>
      <c r="D5" s="549"/>
      <c r="E5" s="549"/>
      <c r="F5" s="549"/>
      <c r="G5" s="549"/>
      <c r="H5" s="549"/>
      <c r="I5" s="549"/>
      <c r="J5" s="549"/>
      <c r="K5" s="549"/>
    </row>
    <row r="6" spans="1:11" ht="10.5" customHeight="1" thickBot="1">
      <c r="A6" s="7"/>
      <c r="B6" s="7"/>
      <c r="C6" s="7"/>
      <c r="D6" s="7"/>
      <c r="E6" s="7"/>
      <c r="F6" s="7"/>
      <c r="G6" s="7"/>
      <c r="H6" s="7"/>
      <c r="I6" s="8"/>
      <c r="J6" s="8"/>
      <c r="K6" s="77" t="s">
        <v>37</v>
      </c>
    </row>
    <row r="7" spans="1:11" ht="12.75" customHeight="1">
      <c r="A7" s="97" t="s">
        <v>38</v>
      </c>
      <c r="B7" s="79" t="s">
        <v>39</v>
      </c>
      <c r="C7" s="80" t="s">
        <v>81</v>
      </c>
      <c r="D7" s="81" t="s">
        <v>81</v>
      </c>
      <c r="E7" s="80" t="s">
        <v>80</v>
      </c>
      <c r="F7" s="80" t="s">
        <v>40</v>
      </c>
      <c r="G7" s="550" t="s">
        <v>41</v>
      </c>
      <c r="H7" s="551"/>
      <c r="I7" s="552"/>
      <c r="J7" s="80" t="s">
        <v>42</v>
      </c>
      <c r="K7" s="82" t="s">
        <v>43</v>
      </c>
    </row>
    <row r="8" spans="1:17" ht="12.75" customHeight="1" thickBot="1">
      <c r="A8" s="83" t="s">
        <v>44</v>
      </c>
      <c r="B8" s="84" t="s">
        <v>45</v>
      </c>
      <c r="C8" s="85" t="s">
        <v>82</v>
      </c>
      <c r="D8" s="86" t="s">
        <v>83</v>
      </c>
      <c r="E8" s="85" t="s">
        <v>46</v>
      </c>
      <c r="F8" s="85" t="s">
        <v>93</v>
      </c>
      <c r="G8" s="87" t="s">
        <v>159</v>
      </c>
      <c r="H8" s="87" t="s">
        <v>47</v>
      </c>
      <c r="I8" s="87" t="s">
        <v>48</v>
      </c>
      <c r="J8" s="85" t="s">
        <v>49</v>
      </c>
      <c r="K8" s="88" t="s">
        <v>50</v>
      </c>
      <c r="Q8" s="89" t="s">
        <v>128</v>
      </c>
    </row>
    <row r="9" spans="1:17" ht="10.5" customHeight="1">
      <c r="A9" s="158" t="s">
        <v>52</v>
      </c>
      <c r="B9" s="41">
        <v>21450000</v>
      </c>
      <c r="C9" s="42" t="s">
        <v>51</v>
      </c>
      <c r="D9" s="42" t="s">
        <v>51</v>
      </c>
      <c r="E9" s="42" t="s">
        <v>51</v>
      </c>
      <c r="F9" s="42" t="s">
        <v>51</v>
      </c>
      <c r="G9" s="42" t="s">
        <v>51</v>
      </c>
      <c r="H9" s="42" t="s">
        <v>51</v>
      </c>
      <c r="I9" s="42" t="s">
        <v>51</v>
      </c>
      <c r="J9" s="42" t="s">
        <v>51</v>
      </c>
      <c r="K9" s="43" t="str">
        <f aca="true" t="shared" si="0" ref="K9:K17">E9</f>
        <v>-</v>
      </c>
      <c r="M9" s="546" t="s">
        <v>129</v>
      </c>
      <c r="N9" s="546"/>
      <c r="O9" s="90" t="s">
        <v>47</v>
      </c>
      <c r="P9" s="91" t="s">
        <v>130</v>
      </c>
      <c r="Q9" s="91" t="s">
        <v>247</v>
      </c>
    </row>
    <row r="10" spans="1:17" ht="10.5" customHeight="1">
      <c r="A10" s="389" t="s">
        <v>52</v>
      </c>
      <c r="B10" s="66">
        <v>0</v>
      </c>
      <c r="C10" s="67">
        <f>$B$9*0.05</f>
        <v>1072500</v>
      </c>
      <c r="D10" s="67">
        <f>$B$9*0.05</f>
        <v>1072500</v>
      </c>
      <c r="E10" s="67">
        <f>C10</f>
        <v>1072500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9">
        <f t="shared" si="0"/>
        <v>1072500</v>
      </c>
      <c r="M10" s="211" t="s">
        <v>132</v>
      </c>
      <c r="N10" s="93">
        <f>C10+C11</f>
        <v>3217500</v>
      </c>
      <c r="O10" s="93">
        <f>H10+H11</f>
        <v>10188.75</v>
      </c>
      <c r="P10" s="93">
        <f>F10+F11</f>
        <v>25471.875</v>
      </c>
      <c r="Q10" s="94">
        <f>O10+P10</f>
        <v>35660.625</v>
      </c>
    </row>
    <row r="11" spans="1:17" ht="10.5" customHeight="1">
      <c r="A11" s="158" t="s">
        <v>53</v>
      </c>
      <c r="B11" s="47">
        <f aca="true" t="shared" si="1" ref="B11:B58">(K10)</f>
        <v>1072500</v>
      </c>
      <c r="C11" s="40">
        <f>$B$9*0.1</f>
        <v>2145000</v>
      </c>
      <c r="D11" s="48" t="s">
        <v>51</v>
      </c>
      <c r="E11" s="40">
        <f aca="true" t="shared" si="2" ref="E11:E17">(E10+C11)</f>
        <v>3217500</v>
      </c>
      <c r="F11" s="40">
        <f>($B$9-E10)*0.00125</f>
        <v>25471.875</v>
      </c>
      <c r="G11" s="48"/>
      <c r="H11" s="40">
        <f>K10*0.0095</f>
        <v>10188.75</v>
      </c>
      <c r="I11" s="40">
        <f aca="true" t="shared" si="3" ref="I11:I58">G11+H11</f>
        <v>10188.75</v>
      </c>
      <c r="J11" s="40">
        <f>SUM(F11,I11)</f>
        <v>35660.625</v>
      </c>
      <c r="K11" s="49">
        <f t="shared" si="0"/>
        <v>3217500</v>
      </c>
      <c r="M11" s="211" t="s">
        <v>133</v>
      </c>
      <c r="N11" s="93">
        <f>C12+C13</f>
        <v>5362500</v>
      </c>
      <c r="O11" s="93">
        <f>H12+H13</f>
        <v>81510</v>
      </c>
      <c r="P11" s="93">
        <f>F12+F13</f>
        <v>42900</v>
      </c>
      <c r="Q11" s="94">
        <f>O11+P11</f>
        <v>124410</v>
      </c>
    </row>
    <row r="12" spans="1:17" ht="10.5" customHeight="1">
      <c r="A12" s="389" t="s">
        <v>54</v>
      </c>
      <c r="B12" s="70">
        <f t="shared" si="1"/>
        <v>3217500</v>
      </c>
      <c r="C12" s="67">
        <f>$B$9*0.1</f>
        <v>2145000</v>
      </c>
      <c r="D12" s="72">
        <f>SUM(C11+C12)</f>
        <v>4290000</v>
      </c>
      <c r="E12" s="67">
        <f t="shared" si="2"/>
        <v>5362500</v>
      </c>
      <c r="F12" s="67">
        <f aca="true" t="shared" si="4" ref="F12:F17">($B$9-E11)*0.00125</f>
        <v>22790.625</v>
      </c>
      <c r="G12" s="68">
        <v>0</v>
      </c>
      <c r="H12" s="67">
        <f>K11*0.0095</f>
        <v>30566.25</v>
      </c>
      <c r="I12" s="67">
        <f t="shared" si="3"/>
        <v>30566.25</v>
      </c>
      <c r="J12" s="67">
        <f aca="true" t="shared" si="5" ref="J12:J58">SUM(F12,I12)</f>
        <v>53356.875</v>
      </c>
      <c r="K12" s="69">
        <f t="shared" si="0"/>
        <v>5362500</v>
      </c>
      <c r="M12" s="211" t="s">
        <v>134</v>
      </c>
      <c r="N12" s="93">
        <f>C14+C15</f>
        <v>8580000</v>
      </c>
      <c r="O12" s="93">
        <f>H14+H15</f>
        <v>203775</v>
      </c>
      <c r="P12" s="93">
        <f>F14+F15</f>
        <v>26812.5</v>
      </c>
      <c r="Q12" s="94">
        <f>O12+P12</f>
        <v>230587.5</v>
      </c>
    </row>
    <row r="13" spans="1:17" ht="10.5" customHeight="1">
      <c r="A13" s="158" t="s">
        <v>55</v>
      </c>
      <c r="B13" s="47">
        <f t="shared" si="1"/>
        <v>5362500</v>
      </c>
      <c r="C13" s="40">
        <f>$B$9*0.15</f>
        <v>3217500</v>
      </c>
      <c r="D13" s="48" t="s">
        <v>51</v>
      </c>
      <c r="E13" s="40">
        <f t="shared" si="2"/>
        <v>8580000</v>
      </c>
      <c r="F13" s="40">
        <f t="shared" si="4"/>
        <v>20109.375</v>
      </c>
      <c r="G13" s="48">
        <v>0</v>
      </c>
      <c r="H13" s="40">
        <f aca="true" t="shared" si="6" ref="H13:H58">K12*0.0095</f>
        <v>50943.75</v>
      </c>
      <c r="I13" s="40">
        <f t="shared" si="3"/>
        <v>50943.75</v>
      </c>
      <c r="J13" s="40">
        <f t="shared" si="5"/>
        <v>71053.125</v>
      </c>
      <c r="K13" s="49">
        <f t="shared" si="0"/>
        <v>8580000</v>
      </c>
      <c r="M13" s="211" t="s">
        <v>135</v>
      </c>
      <c r="N13" s="93">
        <f>C16+C17</f>
        <v>4290000</v>
      </c>
      <c r="O13" s="93">
        <f>H16+H17</f>
        <v>346417.5</v>
      </c>
      <c r="P13" s="93">
        <f>F16+F17</f>
        <v>8043.75</v>
      </c>
      <c r="Q13" s="94">
        <f>O13+P13</f>
        <v>354461.25</v>
      </c>
    </row>
    <row r="14" spans="1:17" ht="10.5" customHeight="1">
      <c r="A14" s="390" t="s">
        <v>56</v>
      </c>
      <c r="B14" s="71">
        <f>(K13)</f>
        <v>8580000</v>
      </c>
      <c r="C14" s="72">
        <f>$B$9*0.2</f>
        <v>4290000</v>
      </c>
      <c r="D14" s="72">
        <f>SUM(C13+C14)</f>
        <v>7507500</v>
      </c>
      <c r="E14" s="72">
        <f>(E13+C14)</f>
        <v>12870000</v>
      </c>
      <c r="F14" s="72">
        <f t="shared" si="4"/>
        <v>16087.5</v>
      </c>
      <c r="G14" s="73">
        <v>0</v>
      </c>
      <c r="H14" s="67">
        <f t="shared" si="6"/>
        <v>81510</v>
      </c>
      <c r="I14" s="72">
        <f t="shared" si="3"/>
        <v>81510</v>
      </c>
      <c r="J14" s="72">
        <f t="shared" si="5"/>
        <v>97597.5</v>
      </c>
      <c r="K14" s="74">
        <f t="shared" si="0"/>
        <v>12870000</v>
      </c>
      <c r="M14" s="95" t="s">
        <v>137</v>
      </c>
      <c r="N14" s="96">
        <f>SUM(N9:N13)</f>
        <v>21450000</v>
      </c>
      <c r="O14" s="96">
        <f>SUM(O9:O13)</f>
        <v>641891.25</v>
      </c>
      <c r="P14" s="96">
        <f>SUM(P9:P13)</f>
        <v>103228.125</v>
      </c>
      <c r="Q14" s="96">
        <f>SUM(Q9:Q13)</f>
        <v>745119.375</v>
      </c>
    </row>
    <row r="15" spans="1:17" ht="10.5" customHeight="1">
      <c r="A15" s="161" t="s">
        <v>57</v>
      </c>
      <c r="B15" s="47">
        <f>(K14)</f>
        <v>12870000</v>
      </c>
      <c r="C15" s="40">
        <f>$B$9*0.2</f>
        <v>4290000</v>
      </c>
      <c r="D15" s="48" t="s">
        <v>51</v>
      </c>
      <c r="E15" s="40">
        <f>(E14+C15)</f>
        <v>17160000</v>
      </c>
      <c r="F15" s="40">
        <f>($B$9-E14)*0.00125</f>
        <v>10725</v>
      </c>
      <c r="G15" s="48">
        <v>0</v>
      </c>
      <c r="H15" s="40">
        <f t="shared" si="6"/>
        <v>122265</v>
      </c>
      <c r="I15" s="40">
        <f t="shared" si="3"/>
        <v>122265</v>
      </c>
      <c r="J15" s="40">
        <f t="shared" si="5"/>
        <v>132990</v>
      </c>
      <c r="K15" s="49">
        <f t="shared" si="0"/>
        <v>17160000</v>
      </c>
      <c r="M15" s="95"/>
      <c r="N15" s="96"/>
      <c r="O15" s="96"/>
      <c r="P15" s="96"/>
      <c r="Q15" s="96"/>
    </row>
    <row r="16" spans="1:11" ht="10.5" customHeight="1">
      <c r="A16" s="390" t="s">
        <v>58</v>
      </c>
      <c r="B16" s="71">
        <f t="shared" si="1"/>
        <v>17160000</v>
      </c>
      <c r="C16" s="72">
        <f>$B$9*0.1</f>
        <v>2145000</v>
      </c>
      <c r="D16" s="72">
        <f>SUM(C15+C16)</f>
        <v>6435000</v>
      </c>
      <c r="E16" s="72">
        <f t="shared" si="2"/>
        <v>19305000</v>
      </c>
      <c r="F16" s="72">
        <f t="shared" si="4"/>
        <v>5362.5</v>
      </c>
      <c r="G16" s="73">
        <v>0</v>
      </c>
      <c r="H16" s="67">
        <f t="shared" si="6"/>
        <v>163020</v>
      </c>
      <c r="I16" s="72">
        <f t="shared" si="3"/>
        <v>163020</v>
      </c>
      <c r="J16" s="72">
        <f t="shared" si="5"/>
        <v>168382.5</v>
      </c>
      <c r="K16" s="74">
        <f t="shared" si="0"/>
        <v>19305000</v>
      </c>
    </row>
    <row r="17" spans="1:11" ht="10.5" customHeight="1">
      <c r="A17" s="161" t="s">
        <v>59</v>
      </c>
      <c r="B17" s="47">
        <f t="shared" si="1"/>
        <v>19305000</v>
      </c>
      <c r="C17" s="40">
        <f>$B$9*0.1</f>
        <v>2145000</v>
      </c>
      <c r="D17" s="40">
        <f>SUM(C17)</f>
        <v>2145000</v>
      </c>
      <c r="E17" s="40">
        <f t="shared" si="2"/>
        <v>21450000</v>
      </c>
      <c r="F17" s="40">
        <f t="shared" si="4"/>
        <v>2681.25</v>
      </c>
      <c r="G17" s="48">
        <v>0</v>
      </c>
      <c r="H17" s="40">
        <f t="shared" si="6"/>
        <v>183397.5</v>
      </c>
      <c r="I17" s="40">
        <f t="shared" si="3"/>
        <v>183397.5</v>
      </c>
      <c r="J17" s="40">
        <f t="shared" si="5"/>
        <v>186078.75</v>
      </c>
      <c r="K17" s="49">
        <f t="shared" si="0"/>
        <v>21450000</v>
      </c>
    </row>
    <row r="18" spans="1:11" ht="10.5" customHeight="1">
      <c r="A18" s="390" t="s">
        <v>75</v>
      </c>
      <c r="B18" s="71">
        <f t="shared" si="1"/>
        <v>21450000</v>
      </c>
      <c r="C18" s="73">
        <v>0</v>
      </c>
      <c r="D18" s="73">
        <v>0</v>
      </c>
      <c r="E18" s="73">
        <v>0</v>
      </c>
      <c r="F18" s="73">
        <v>0</v>
      </c>
      <c r="G18" s="72">
        <f>($B$9)/41</f>
        <v>523170.73170731706</v>
      </c>
      <c r="H18" s="67">
        <f t="shared" si="6"/>
        <v>203775</v>
      </c>
      <c r="I18" s="72">
        <f t="shared" si="3"/>
        <v>726945.731707317</v>
      </c>
      <c r="J18" s="72">
        <f t="shared" si="5"/>
        <v>726945.731707317</v>
      </c>
      <c r="K18" s="74">
        <f aca="true" t="shared" si="7" ref="K18:K58">K17-G18</f>
        <v>20926829.268292684</v>
      </c>
    </row>
    <row r="19" spans="1:15" ht="10.5" customHeight="1">
      <c r="A19" s="161" t="s">
        <v>60</v>
      </c>
      <c r="B19" s="47">
        <f t="shared" si="1"/>
        <v>20926829.268292684</v>
      </c>
      <c r="C19" s="48">
        <v>0</v>
      </c>
      <c r="D19" s="48">
        <v>0</v>
      </c>
      <c r="E19" s="48">
        <v>0</v>
      </c>
      <c r="F19" s="48">
        <v>0</v>
      </c>
      <c r="G19" s="40">
        <f>($B$9)/41</f>
        <v>523170.73170731706</v>
      </c>
      <c r="H19" s="40">
        <f t="shared" si="6"/>
        <v>198804.8780487805</v>
      </c>
      <c r="I19" s="40">
        <f t="shared" si="3"/>
        <v>721975.6097560975</v>
      </c>
      <c r="J19" s="40">
        <f t="shared" si="5"/>
        <v>721975.6097560975</v>
      </c>
      <c r="K19" s="49">
        <f t="shared" si="7"/>
        <v>20403658.53658537</v>
      </c>
      <c r="O19" s="11"/>
    </row>
    <row r="20" spans="1:11" ht="10.5" customHeight="1">
      <c r="A20" s="390" t="s">
        <v>61</v>
      </c>
      <c r="B20" s="71">
        <f t="shared" si="1"/>
        <v>20403658.53658537</v>
      </c>
      <c r="C20" s="73">
        <v>0</v>
      </c>
      <c r="D20" s="73">
        <v>0</v>
      </c>
      <c r="E20" s="73">
        <v>0</v>
      </c>
      <c r="F20" s="73">
        <v>0</v>
      </c>
      <c r="G20" s="72">
        <f aca="true" t="shared" si="8" ref="G20:G58">($B$9)/41</f>
        <v>523170.73170731706</v>
      </c>
      <c r="H20" s="67">
        <f t="shared" si="6"/>
        <v>193834.75609756098</v>
      </c>
      <c r="I20" s="72">
        <f t="shared" si="3"/>
        <v>717005.487804878</v>
      </c>
      <c r="J20" s="72">
        <f t="shared" si="5"/>
        <v>717005.487804878</v>
      </c>
      <c r="K20" s="74">
        <f t="shared" si="7"/>
        <v>19880487.804878052</v>
      </c>
    </row>
    <row r="21" spans="1:11" ht="10.5" customHeight="1">
      <c r="A21" s="161" t="s">
        <v>62</v>
      </c>
      <c r="B21" s="47">
        <f t="shared" si="1"/>
        <v>19880487.804878052</v>
      </c>
      <c r="C21" s="48">
        <v>0</v>
      </c>
      <c r="D21" s="48">
        <v>0</v>
      </c>
      <c r="E21" s="48">
        <v>0</v>
      </c>
      <c r="F21" s="48">
        <v>0</v>
      </c>
      <c r="G21" s="40">
        <f t="shared" si="8"/>
        <v>523170.73170731706</v>
      </c>
      <c r="H21" s="40">
        <f t="shared" si="6"/>
        <v>188864.6341463415</v>
      </c>
      <c r="I21" s="40">
        <f t="shared" si="3"/>
        <v>712035.3658536585</v>
      </c>
      <c r="J21" s="40">
        <f t="shared" si="5"/>
        <v>712035.3658536585</v>
      </c>
      <c r="K21" s="49">
        <f t="shared" si="7"/>
        <v>19357317.073170736</v>
      </c>
    </row>
    <row r="22" spans="1:11" ht="10.5" customHeight="1">
      <c r="A22" s="390" t="s">
        <v>63</v>
      </c>
      <c r="B22" s="71">
        <f t="shared" si="1"/>
        <v>19357317.073170736</v>
      </c>
      <c r="C22" s="73">
        <v>0</v>
      </c>
      <c r="D22" s="73">
        <v>0</v>
      </c>
      <c r="E22" s="73">
        <v>0</v>
      </c>
      <c r="F22" s="73">
        <v>0</v>
      </c>
      <c r="G22" s="72">
        <f t="shared" si="8"/>
        <v>523170.73170731706</v>
      </c>
      <c r="H22" s="67">
        <f t="shared" si="6"/>
        <v>183894.512195122</v>
      </c>
      <c r="I22" s="72">
        <f t="shared" si="3"/>
        <v>707065.243902439</v>
      </c>
      <c r="J22" s="72">
        <f t="shared" si="5"/>
        <v>707065.243902439</v>
      </c>
      <c r="K22" s="74">
        <f t="shared" si="7"/>
        <v>18834146.34146342</v>
      </c>
    </row>
    <row r="23" spans="1:11" ht="10.5" customHeight="1">
      <c r="A23" s="161" t="s">
        <v>64</v>
      </c>
      <c r="B23" s="47">
        <f t="shared" si="1"/>
        <v>18834146.34146342</v>
      </c>
      <c r="C23" s="48">
        <v>0</v>
      </c>
      <c r="D23" s="48">
        <v>0</v>
      </c>
      <c r="E23" s="48">
        <v>0</v>
      </c>
      <c r="F23" s="48">
        <v>0</v>
      </c>
      <c r="G23" s="40">
        <f t="shared" si="8"/>
        <v>523170.73170731706</v>
      </c>
      <c r="H23" s="40">
        <f t="shared" si="6"/>
        <v>178924.39024390248</v>
      </c>
      <c r="I23" s="40">
        <f t="shared" si="3"/>
        <v>702095.1219512195</v>
      </c>
      <c r="J23" s="40">
        <f t="shared" si="5"/>
        <v>702095.1219512195</v>
      </c>
      <c r="K23" s="49">
        <f t="shared" si="7"/>
        <v>18310975.609756105</v>
      </c>
    </row>
    <row r="24" spans="1:11" ht="10.5" customHeight="1">
      <c r="A24" s="390" t="s">
        <v>65</v>
      </c>
      <c r="B24" s="71">
        <f t="shared" si="1"/>
        <v>18310975.609756105</v>
      </c>
      <c r="C24" s="73">
        <v>0</v>
      </c>
      <c r="D24" s="73">
        <v>0</v>
      </c>
      <c r="E24" s="73">
        <v>0</v>
      </c>
      <c r="F24" s="73">
        <v>0</v>
      </c>
      <c r="G24" s="72">
        <f t="shared" si="8"/>
        <v>523170.73170731706</v>
      </c>
      <c r="H24" s="67">
        <f t="shared" si="6"/>
        <v>173954.268292683</v>
      </c>
      <c r="I24" s="72">
        <f t="shared" si="3"/>
        <v>697125</v>
      </c>
      <c r="J24" s="72">
        <f t="shared" si="5"/>
        <v>697125</v>
      </c>
      <c r="K24" s="74">
        <f t="shared" si="7"/>
        <v>17787804.87804879</v>
      </c>
    </row>
    <row r="25" spans="1:11" ht="10.5" customHeight="1">
      <c r="A25" s="161" t="s">
        <v>66</v>
      </c>
      <c r="B25" s="47">
        <f t="shared" si="1"/>
        <v>17787804.87804879</v>
      </c>
      <c r="C25" s="48">
        <v>0</v>
      </c>
      <c r="D25" s="48">
        <v>0</v>
      </c>
      <c r="E25" s="48">
        <v>0</v>
      </c>
      <c r="F25" s="48">
        <v>0</v>
      </c>
      <c r="G25" s="40">
        <f t="shared" si="8"/>
        <v>523170.73170731706</v>
      </c>
      <c r="H25" s="40">
        <f t="shared" si="6"/>
        <v>168984.1463414635</v>
      </c>
      <c r="I25" s="40">
        <f t="shared" si="3"/>
        <v>692154.8780487806</v>
      </c>
      <c r="J25" s="40">
        <f t="shared" si="5"/>
        <v>692154.8780487806</v>
      </c>
      <c r="K25" s="49">
        <f t="shared" si="7"/>
        <v>17264634.146341473</v>
      </c>
    </row>
    <row r="26" spans="1:11" ht="10.5" customHeight="1">
      <c r="A26" s="390" t="s">
        <v>67</v>
      </c>
      <c r="B26" s="71">
        <f t="shared" si="1"/>
        <v>17264634.146341473</v>
      </c>
      <c r="C26" s="73">
        <v>0</v>
      </c>
      <c r="D26" s="73">
        <v>0</v>
      </c>
      <c r="E26" s="73">
        <v>0</v>
      </c>
      <c r="F26" s="73">
        <v>0</v>
      </c>
      <c r="G26" s="72">
        <f t="shared" si="8"/>
        <v>523170.73170731706</v>
      </c>
      <c r="H26" s="67">
        <f t="shared" si="6"/>
        <v>164014.02439024398</v>
      </c>
      <c r="I26" s="72">
        <f t="shared" si="3"/>
        <v>687184.756097561</v>
      </c>
      <c r="J26" s="72">
        <f t="shared" si="5"/>
        <v>687184.756097561</v>
      </c>
      <c r="K26" s="74">
        <f t="shared" si="7"/>
        <v>16741463.414634155</v>
      </c>
    </row>
    <row r="27" spans="1:11" ht="10.5" customHeight="1">
      <c r="A27" s="161" t="s">
        <v>68</v>
      </c>
      <c r="B27" s="47">
        <f t="shared" si="1"/>
        <v>16741463.414634155</v>
      </c>
      <c r="C27" s="48">
        <v>0</v>
      </c>
      <c r="D27" s="48">
        <v>0</v>
      </c>
      <c r="E27" s="48">
        <v>0</v>
      </c>
      <c r="F27" s="48">
        <v>0</v>
      </c>
      <c r="G27" s="40">
        <f t="shared" si="8"/>
        <v>523170.73170731706</v>
      </c>
      <c r="H27" s="40">
        <f t="shared" si="6"/>
        <v>159043.90243902447</v>
      </c>
      <c r="I27" s="40">
        <f t="shared" si="3"/>
        <v>682214.6341463416</v>
      </c>
      <c r="J27" s="40">
        <f t="shared" si="5"/>
        <v>682214.6341463416</v>
      </c>
      <c r="K27" s="49">
        <f t="shared" si="7"/>
        <v>16218292.682926837</v>
      </c>
    </row>
    <row r="28" spans="1:11" ht="10.5" customHeight="1">
      <c r="A28" s="390" t="s">
        <v>69</v>
      </c>
      <c r="B28" s="71">
        <f t="shared" si="1"/>
        <v>16218292.682926837</v>
      </c>
      <c r="C28" s="73">
        <v>0</v>
      </c>
      <c r="D28" s="73">
        <v>0</v>
      </c>
      <c r="E28" s="73">
        <v>0</v>
      </c>
      <c r="F28" s="73">
        <v>0</v>
      </c>
      <c r="G28" s="72">
        <f t="shared" si="8"/>
        <v>523170.73170731706</v>
      </c>
      <c r="H28" s="67">
        <f t="shared" si="6"/>
        <v>154073.78048780496</v>
      </c>
      <c r="I28" s="72">
        <f t="shared" si="3"/>
        <v>677244.512195122</v>
      </c>
      <c r="J28" s="72">
        <f t="shared" si="5"/>
        <v>677244.512195122</v>
      </c>
      <c r="K28" s="74">
        <f t="shared" si="7"/>
        <v>15695121.95121952</v>
      </c>
    </row>
    <row r="29" spans="1:11" ht="10.5" customHeight="1">
      <c r="A29" s="161" t="s">
        <v>70</v>
      </c>
      <c r="B29" s="47">
        <f t="shared" si="1"/>
        <v>15695121.95121952</v>
      </c>
      <c r="C29" s="48">
        <v>0</v>
      </c>
      <c r="D29" s="48">
        <v>0</v>
      </c>
      <c r="E29" s="48">
        <v>0</v>
      </c>
      <c r="F29" s="48">
        <v>0</v>
      </c>
      <c r="G29" s="40">
        <f t="shared" si="8"/>
        <v>523170.73170731706</v>
      </c>
      <c r="H29" s="40">
        <f t="shared" si="6"/>
        <v>149103.65853658543</v>
      </c>
      <c r="I29" s="40">
        <f t="shared" si="3"/>
        <v>672274.3902439025</v>
      </c>
      <c r="J29" s="40">
        <f t="shared" si="5"/>
        <v>672274.3902439025</v>
      </c>
      <c r="K29" s="49">
        <f t="shared" si="7"/>
        <v>15171951.219512202</v>
      </c>
    </row>
    <row r="30" spans="1:11" ht="10.5" customHeight="1">
      <c r="A30" s="390" t="s">
        <v>71</v>
      </c>
      <c r="B30" s="71">
        <f t="shared" si="1"/>
        <v>15171951.219512202</v>
      </c>
      <c r="C30" s="73">
        <v>0</v>
      </c>
      <c r="D30" s="73">
        <v>0</v>
      </c>
      <c r="E30" s="73">
        <v>0</v>
      </c>
      <c r="F30" s="73">
        <v>0</v>
      </c>
      <c r="G30" s="72">
        <f t="shared" si="8"/>
        <v>523170.73170731706</v>
      </c>
      <c r="H30" s="67">
        <f t="shared" si="6"/>
        <v>144133.53658536592</v>
      </c>
      <c r="I30" s="72">
        <f t="shared" si="3"/>
        <v>667304.268292683</v>
      </c>
      <c r="J30" s="72">
        <f t="shared" si="5"/>
        <v>667304.268292683</v>
      </c>
      <c r="K30" s="74">
        <f t="shared" si="7"/>
        <v>14648780.487804884</v>
      </c>
    </row>
    <row r="31" spans="1:11" ht="10.5" customHeight="1">
      <c r="A31" s="161" t="s">
        <v>72</v>
      </c>
      <c r="B31" s="47">
        <f t="shared" si="1"/>
        <v>14648780.487804884</v>
      </c>
      <c r="C31" s="48">
        <v>0</v>
      </c>
      <c r="D31" s="48">
        <v>0</v>
      </c>
      <c r="E31" s="48">
        <v>0</v>
      </c>
      <c r="F31" s="48">
        <v>0</v>
      </c>
      <c r="G31" s="40">
        <f t="shared" si="8"/>
        <v>523170.73170731706</v>
      </c>
      <c r="H31" s="40">
        <f t="shared" si="6"/>
        <v>139163.4146341464</v>
      </c>
      <c r="I31" s="40">
        <f t="shared" si="3"/>
        <v>662334.1463414634</v>
      </c>
      <c r="J31" s="40">
        <f t="shared" si="5"/>
        <v>662334.1463414634</v>
      </c>
      <c r="K31" s="49">
        <f t="shared" si="7"/>
        <v>14125609.756097566</v>
      </c>
    </row>
    <row r="32" spans="1:11" ht="10.5" customHeight="1">
      <c r="A32" s="390" t="s">
        <v>73</v>
      </c>
      <c r="B32" s="71">
        <f t="shared" si="1"/>
        <v>14125609.756097566</v>
      </c>
      <c r="C32" s="73">
        <v>0</v>
      </c>
      <c r="D32" s="73">
        <v>0</v>
      </c>
      <c r="E32" s="73">
        <v>0</v>
      </c>
      <c r="F32" s="73">
        <v>0</v>
      </c>
      <c r="G32" s="72">
        <f t="shared" si="8"/>
        <v>523170.73170731706</v>
      </c>
      <c r="H32" s="67">
        <f t="shared" si="6"/>
        <v>134193.29268292687</v>
      </c>
      <c r="I32" s="72">
        <f t="shared" si="3"/>
        <v>657364.0243902439</v>
      </c>
      <c r="J32" s="72">
        <f t="shared" si="5"/>
        <v>657364.0243902439</v>
      </c>
      <c r="K32" s="74">
        <f t="shared" si="7"/>
        <v>13602439.024390249</v>
      </c>
    </row>
    <row r="33" spans="1:11" ht="10.5" customHeight="1">
      <c r="A33" s="161" t="s">
        <v>79</v>
      </c>
      <c r="B33" s="47">
        <f t="shared" si="1"/>
        <v>13602439.024390249</v>
      </c>
      <c r="C33" s="48">
        <v>0</v>
      </c>
      <c r="D33" s="48">
        <v>0</v>
      </c>
      <c r="E33" s="48">
        <v>0</v>
      </c>
      <c r="F33" s="48">
        <v>0</v>
      </c>
      <c r="G33" s="40">
        <f t="shared" si="8"/>
        <v>523170.73170731706</v>
      </c>
      <c r="H33" s="40">
        <f t="shared" si="6"/>
        <v>129223.17073170736</v>
      </c>
      <c r="I33" s="40">
        <f t="shared" si="3"/>
        <v>652393.9024390244</v>
      </c>
      <c r="J33" s="40">
        <f t="shared" si="5"/>
        <v>652393.9024390244</v>
      </c>
      <c r="K33" s="49">
        <f t="shared" si="7"/>
        <v>13079268.29268293</v>
      </c>
    </row>
    <row r="34" spans="1:11" ht="10.5" customHeight="1">
      <c r="A34" s="390" t="s">
        <v>78</v>
      </c>
      <c r="B34" s="71">
        <f t="shared" si="1"/>
        <v>13079268.29268293</v>
      </c>
      <c r="C34" s="73">
        <v>0</v>
      </c>
      <c r="D34" s="73">
        <v>0</v>
      </c>
      <c r="E34" s="73">
        <v>0</v>
      </c>
      <c r="F34" s="73">
        <v>0</v>
      </c>
      <c r="G34" s="72">
        <f t="shared" si="8"/>
        <v>523170.73170731706</v>
      </c>
      <c r="H34" s="67">
        <f t="shared" si="6"/>
        <v>124253.04878048784</v>
      </c>
      <c r="I34" s="72">
        <f t="shared" si="3"/>
        <v>647423.7804878049</v>
      </c>
      <c r="J34" s="72">
        <f t="shared" si="5"/>
        <v>647423.7804878049</v>
      </c>
      <c r="K34" s="74">
        <f t="shared" si="7"/>
        <v>12556097.560975613</v>
      </c>
    </row>
    <row r="35" spans="1:11" ht="10.5" customHeight="1">
      <c r="A35" s="161" t="s">
        <v>84</v>
      </c>
      <c r="B35" s="47">
        <f t="shared" si="1"/>
        <v>12556097.560975613</v>
      </c>
      <c r="C35" s="48">
        <v>0</v>
      </c>
      <c r="D35" s="48">
        <v>0</v>
      </c>
      <c r="E35" s="48">
        <v>0</v>
      </c>
      <c r="F35" s="48">
        <v>0</v>
      </c>
      <c r="G35" s="40">
        <f t="shared" si="8"/>
        <v>523170.73170731706</v>
      </c>
      <c r="H35" s="40">
        <f t="shared" si="6"/>
        <v>119282.92682926833</v>
      </c>
      <c r="I35" s="40">
        <f t="shared" si="3"/>
        <v>642453.6585365854</v>
      </c>
      <c r="J35" s="40">
        <f t="shared" si="5"/>
        <v>642453.6585365854</v>
      </c>
      <c r="K35" s="49">
        <f t="shared" si="7"/>
        <v>12032926.829268295</v>
      </c>
    </row>
    <row r="36" spans="1:11" ht="10.5" customHeight="1">
      <c r="A36" s="390" t="s">
        <v>116</v>
      </c>
      <c r="B36" s="71">
        <f t="shared" si="1"/>
        <v>12032926.829268295</v>
      </c>
      <c r="C36" s="73">
        <v>0</v>
      </c>
      <c r="D36" s="73">
        <v>0</v>
      </c>
      <c r="E36" s="73">
        <v>0</v>
      </c>
      <c r="F36" s="73">
        <v>0</v>
      </c>
      <c r="G36" s="72">
        <f t="shared" si="8"/>
        <v>523170.73170731706</v>
      </c>
      <c r="H36" s="67">
        <f t="shared" si="6"/>
        <v>114312.8048780488</v>
      </c>
      <c r="I36" s="72">
        <f t="shared" si="3"/>
        <v>637483.5365853659</v>
      </c>
      <c r="J36" s="72">
        <f t="shared" si="5"/>
        <v>637483.5365853659</v>
      </c>
      <c r="K36" s="74">
        <f t="shared" si="7"/>
        <v>11509756.097560978</v>
      </c>
    </row>
    <row r="37" spans="1:11" ht="10.5" customHeight="1">
      <c r="A37" s="161" t="s">
        <v>117</v>
      </c>
      <c r="B37" s="47">
        <f t="shared" si="1"/>
        <v>11509756.097560978</v>
      </c>
      <c r="C37" s="48">
        <v>0</v>
      </c>
      <c r="D37" s="48">
        <v>0</v>
      </c>
      <c r="E37" s="48">
        <v>0</v>
      </c>
      <c r="F37" s="48">
        <v>0</v>
      </c>
      <c r="G37" s="40">
        <f t="shared" si="8"/>
        <v>523170.73170731706</v>
      </c>
      <c r="H37" s="40">
        <f t="shared" si="6"/>
        <v>109342.68292682928</v>
      </c>
      <c r="I37" s="40">
        <f t="shared" si="3"/>
        <v>632513.4146341464</v>
      </c>
      <c r="J37" s="40">
        <f t="shared" si="5"/>
        <v>632513.4146341464</v>
      </c>
      <c r="K37" s="49">
        <f t="shared" si="7"/>
        <v>10986585.36585366</v>
      </c>
    </row>
    <row r="38" spans="1:11" ht="10.5" customHeight="1">
      <c r="A38" s="390" t="s">
        <v>118</v>
      </c>
      <c r="B38" s="71">
        <f t="shared" si="1"/>
        <v>10986585.36585366</v>
      </c>
      <c r="C38" s="73">
        <v>0</v>
      </c>
      <c r="D38" s="73">
        <v>0</v>
      </c>
      <c r="E38" s="73">
        <v>0</v>
      </c>
      <c r="F38" s="73">
        <v>0</v>
      </c>
      <c r="G38" s="72">
        <f t="shared" si="8"/>
        <v>523170.73170731706</v>
      </c>
      <c r="H38" s="67">
        <f t="shared" si="6"/>
        <v>104372.56097560977</v>
      </c>
      <c r="I38" s="72">
        <f t="shared" si="3"/>
        <v>627543.2926829269</v>
      </c>
      <c r="J38" s="72">
        <f t="shared" si="5"/>
        <v>627543.2926829269</v>
      </c>
      <c r="K38" s="74">
        <f t="shared" si="7"/>
        <v>10463414.634146342</v>
      </c>
    </row>
    <row r="39" spans="1:11" ht="10.5" customHeight="1">
      <c r="A39" s="158" t="s">
        <v>119</v>
      </c>
      <c r="B39" s="47">
        <f t="shared" si="1"/>
        <v>10463414.634146342</v>
      </c>
      <c r="C39" s="48">
        <v>0</v>
      </c>
      <c r="D39" s="48">
        <v>0</v>
      </c>
      <c r="E39" s="48">
        <v>0</v>
      </c>
      <c r="F39" s="48">
        <v>0</v>
      </c>
      <c r="G39" s="40">
        <f t="shared" si="8"/>
        <v>523170.73170731706</v>
      </c>
      <c r="H39" s="40">
        <f t="shared" si="6"/>
        <v>99402.43902439025</v>
      </c>
      <c r="I39" s="40">
        <f t="shared" si="3"/>
        <v>622573.1707317072</v>
      </c>
      <c r="J39" s="40">
        <f t="shared" si="5"/>
        <v>622573.1707317072</v>
      </c>
      <c r="K39" s="49">
        <f t="shared" si="7"/>
        <v>9940243.902439024</v>
      </c>
    </row>
    <row r="40" spans="1:11" ht="10.5" customHeight="1">
      <c r="A40" s="390" t="s">
        <v>268</v>
      </c>
      <c r="B40" s="71">
        <f t="shared" si="1"/>
        <v>9940243.902439024</v>
      </c>
      <c r="C40" s="73">
        <v>0</v>
      </c>
      <c r="D40" s="73">
        <v>0</v>
      </c>
      <c r="E40" s="73">
        <v>0</v>
      </c>
      <c r="F40" s="73">
        <v>0</v>
      </c>
      <c r="G40" s="72">
        <f t="shared" si="8"/>
        <v>523170.73170731706</v>
      </c>
      <c r="H40" s="67">
        <f t="shared" si="6"/>
        <v>94432.31707317072</v>
      </c>
      <c r="I40" s="72">
        <f aca="true" t="shared" si="9" ref="I40:I49">G40+H40</f>
        <v>617603.0487804877</v>
      </c>
      <c r="J40" s="72">
        <f aca="true" t="shared" si="10" ref="J40:J49">SUM(F40,I40)</f>
        <v>617603.0487804877</v>
      </c>
      <c r="K40" s="74">
        <f t="shared" si="7"/>
        <v>9417073.170731707</v>
      </c>
    </row>
    <row r="41" spans="1:11" ht="10.5" customHeight="1">
      <c r="A41" s="158" t="s">
        <v>120</v>
      </c>
      <c r="B41" s="47">
        <f t="shared" si="1"/>
        <v>9417073.170731707</v>
      </c>
      <c r="C41" s="48">
        <v>0</v>
      </c>
      <c r="D41" s="48">
        <v>0</v>
      </c>
      <c r="E41" s="48">
        <v>0</v>
      </c>
      <c r="F41" s="48">
        <v>0</v>
      </c>
      <c r="G41" s="40">
        <f t="shared" si="8"/>
        <v>523170.73170731706</v>
      </c>
      <c r="H41" s="40">
        <f t="shared" si="6"/>
        <v>89462.19512195121</v>
      </c>
      <c r="I41" s="40">
        <f t="shared" si="9"/>
        <v>612632.9268292682</v>
      </c>
      <c r="J41" s="40">
        <f t="shared" si="10"/>
        <v>612632.9268292682</v>
      </c>
      <c r="K41" s="49">
        <f t="shared" si="7"/>
        <v>8893902.439024389</v>
      </c>
    </row>
    <row r="42" spans="1:11" ht="10.5" customHeight="1">
      <c r="A42" s="390" t="s">
        <v>121</v>
      </c>
      <c r="B42" s="71">
        <f t="shared" si="1"/>
        <v>8893902.439024389</v>
      </c>
      <c r="C42" s="73">
        <v>0</v>
      </c>
      <c r="D42" s="73">
        <v>0</v>
      </c>
      <c r="E42" s="73">
        <v>0</v>
      </c>
      <c r="F42" s="73">
        <v>0</v>
      </c>
      <c r="G42" s="72">
        <f t="shared" si="8"/>
        <v>523170.73170731706</v>
      </c>
      <c r="H42" s="67">
        <f t="shared" si="6"/>
        <v>84492.07317073169</v>
      </c>
      <c r="I42" s="72">
        <f t="shared" si="9"/>
        <v>607662.8048780487</v>
      </c>
      <c r="J42" s="72">
        <f t="shared" si="10"/>
        <v>607662.8048780487</v>
      </c>
      <c r="K42" s="74">
        <f aca="true" t="shared" si="11" ref="K42:K51">K41-G42</f>
        <v>8370731.707317072</v>
      </c>
    </row>
    <row r="43" spans="1:11" ht="10.5" customHeight="1">
      <c r="A43" s="158" t="s">
        <v>122</v>
      </c>
      <c r="B43" s="47">
        <f aca="true" t="shared" si="12" ref="B43:B51">(K42)</f>
        <v>8370731.707317072</v>
      </c>
      <c r="C43" s="48">
        <v>0</v>
      </c>
      <c r="D43" s="48">
        <v>0</v>
      </c>
      <c r="E43" s="48">
        <v>0</v>
      </c>
      <c r="F43" s="48">
        <v>0</v>
      </c>
      <c r="G43" s="40">
        <f t="shared" si="8"/>
        <v>523170.73170731706</v>
      </c>
      <c r="H43" s="40">
        <f t="shared" si="6"/>
        <v>79521.95121951218</v>
      </c>
      <c r="I43" s="40">
        <f t="shared" si="9"/>
        <v>602692.6829268292</v>
      </c>
      <c r="J43" s="40">
        <f t="shared" si="10"/>
        <v>602692.6829268292</v>
      </c>
      <c r="K43" s="49">
        <f t="shared" si="11"/>
        <v>7847560.975609755</v>
      </c>
    </row>
    <row r="44" spans="1:11" ht="10.5" customHeight="1">
      <c r="A44" s="390" t="s">
        <v>123</v>
      </c>
      <c r="B44" s="71">
        <f t="shared" si="12"/>
        <v>7847560.975609755</v>
      </c>
      <c r="C44" s="73">
        <v>0</v>
      </c>
      <c r="D44" s="73">
        <v>0</v>
      </c>
      <c r="E44" s="73">
        <v>0</v>
      </c>
      <c r="F44" s="73">
        <v>0</v>
      </c>
      <c r="G44" s="72">
        <f t="shared" si="8"/>
        <v>523170.73170731706</v>
      </c>
      <c r="H44" s="67">
        <f t="shared" si="6"/>
        <v>74551.82926829267</v>
      </c>
      <c r="I44" s="72">
        <f t="shared" si="9"/>
        <v>597722.5609756097</v>
      </c>
      <c r="J44" s="72">
        <f t="shared" si="10"/>
        <v>597722.5609756097</v>
      </c>
      <c r="K44" s="74">
        <f t="shared" si="11"/>
        <v>7324390.243902438</v>
      </c>
    </row>
    <row r="45" spans="1:11" ht="10.5" customHeight="1">
      <c r="A45" s="158" t="s">
        <v>124</v>
      </c>
      <c r="B45" s="47">
        <f t="shared" si="12"/>
        <v>7324390.243902438</v>
      </c>
      <c r="C45" s="48">
        <v>0</v>
      </c>
      <c r="D45" s="48">
        <v>0</v>
      </c>
      <c r="E45" s="48">
        <v>0</v>
      </c>
      <c r="F45" s="48">
        <v>0</v>
      </c>
      <c r="G45" s="40">
        <f t="shared" si="8"/>
        <v>523170.73170731706</v>
      </c>
      <c r="H45" s="40">
        <f t="shared" si="6"/>
        <v>69581.70731707316</v>
      </c>
      <c r="I45" s="40">
        <f t="shared" si="9"/>
        <v>592752.4390243902</v>
      </c>
      <c r="J45" s="40">
        <f t="shared" si="10"/>
        <v>592752.4390243902</v>
      </c>
      <c r="K45" s="49">
        <f t="shared" si="11"/>
        <v>6801219.5121951215</v>
      </c>
    </row>
    <row r="46" spans="1:11" ht="10.5" customHeight="1">
      <c r="A46" s="390" t="s">
        <v>126</v>
      </c>
      <c r="B46" s="71">
        <f t="shared" si="12"/>
        <v>6801219.5121951215</v>
      </c>
      <c r="C46" s="73">
        <v>0</v>
      </c>
      <c r="D46" s="73">
        <v>0</v>
      </c>
      <c r="E46" s="73">
        <v>0</v>
      </c>
      <c r="F46" s="73">
        <v>0</v>
      </c>
      <c r="G46" s="72">
        <f t="shared" si="8"/>
        <v>523170.73170731706</v>
      </c>
      <c r="H46" s="67">
        <f t="shared" si="6"/>
        <v>64611.58536585365</v>
      </c>
      <c r="I46" s="72">
        <f t="shared" si="9"/>
        <v>587782.3170731707</v>
      </c>
      <c r="J46" s="72">
        <f t="shared" si="10"/>
        <v>587782.3170731707</v>
      </c>
      <c r="K46" s="74">
        <f t="shared" si="11"/>
        <v>6278048.780487805</v>
      </c>
    </row>
    <row r="47" spans="1:11" ht="10.5" customHeight="1">
      <c r="A47" s="158" t="s">
        <v>151</v>
      </c>
      <c r="B47" s="47">
        <f t="shared" si="12"/>
        <v>6278048.780487805</v>
      </c>
      <c r="C47" s="48">
        <v>0</v>
      </c>
      <c r="D47" s="48">
        <v>0</v>
      </c>
      <c r="E47" s="48">
        <v>0</v>
      </c>
      <c r="F47" s="48">
        <v>0</v>
      </c>
      <c r="G47" s="40">
        <f t="shared" si="8"/>
        <v>523170.73170731706</v>
      </c>
      <c r="H47" s="40">
        <f t="shared" si="6"/>
        <v>59641.46341463414</v>
      </c>
      <c r="I47" s="40">
        <f t="shared" si="9"/>
        <v>582812.1951219512</v>
      </c>
      <c r="J47" s="40">
        <f t="shared" si="10"/>
        <v>582812.1951219512</v>
      </c>
      <c r="K47" s="49">
        <f t="shared" si="11"/>
        <v>5754878.048780488</v>
      </c>
    </row>
    <row r="48" spans="1:11" ht="10.5" customHeight="1">
      <c r="A48" s="390" t="s">
        <v>158</v>
      </c>
      <c r="B48" s="71">
        <f t="shared" si="12"/>
        <v>5754878.048780488</v>
      </c>
      <c r="C48" s="73">
        <v>0</v>
      </c>
      <c r="D48" s="73">
        <v>0</v>
      </c>
      <c r="E48" s="73">
        <v>0</v>
      </c>
      <c r="F48" s="73">
        <v>0</v>
      </c>
      <c r="G48" s="72">
        <f t="shared" si="8"/>
        <v>523170.73170731706</v>
      </c>
      <c r="H48" s="67">
        <f t="shared" si="6"/>
        <v>54671.34146341463</v>
      </c>
      <c r="I48" s="72">
        <f t="shared" si="9"/>
        <v>577842.0731707317</v>
      </c>
      <c r="J48" s="72">
        <f t="shared" si="10"/>
        <v>577842.0731707317</v>
      </c>
      <c r="K48" s="74">
        <f t="shared" si="11"/>
        <v>5231707.317073171</v>
      </c>
    </row>
    <row r="49" spans="1:11" ht="10.5" customHeight="1">
      <c r="A49" s="158" t="s">
        <v>171</v>
      </c>
      <c r="B49" s="51">
        <f t="shared" si="12"/>
        <v>5231707.317073171</v>
      </c>
      <c r="C49" s="52">
        <v>0</v>
      </c>
      <c r="D49" s="52">
        <v>0</v>
      </c>
      <c r="E49" s="52">
        <v>0</v>
      </c>
      <c r="F49" s="52">
        <v>0</v>
      </c>
      <c r="G49" s="40">
        <f t="shared" si="8"/>
        <v>523170.73170731706</v>
      </c>
      <c r="H49" s="40">
        <f t="shared" si="6"/>
        <v>49701.21951219512</v>
      </c>
      <c r="I49" s="53">
        <f t="shared" si="9"/>
        <v>572871.9512195121</v>
      </c>
      <c r="J49" s="53">
        <f t="shared" si="10"/>
        <v>572871.9512195121</v>
      </c>
      <c r="K49" s="54">
        <f t="shared" si="11"/>
        <v>4708536.585365854</v>
      </c>
    </row>
    <row r="50" spans="1:11" ht="10.5" customHeight="1">
      <c r="A50" s="390" t="s">
        <v>188</v>
      </c>
      <c r="B50" s="71">
        <f t="shared" si="12"/>
        <v>4708536.585365854</v>
      </c>
      <c r="C50" s="73">
        <v>0</v>
      </c>
      <c r="D50" s="73">
        <v>0</v>
      </c>
      <c r="E50" s="73">
        <v>0</v>
      </c>
      <c r="F50" s="73">
        <v>0</v>
      </c>
      <c r="G50" s="72">
        <f t="shared" si="8"/>
        <v>523170.73170731706</v>
      </c>
      <c r="H50" s="67">
        <f t="shared" si="6"/>
        <v>44731.09756097561</v>
      </c>
      <c r="I50" s="72">
        <f t="shared" si="3"/>
        <v>567901.8292682926</v>
      </c>
      <c r="J50" s="72">
        <f t="shared" si="5"/>
        <v>567901.8292682926</v>
      </c>
      <c r="K50" s="74">
        <f t="shared" si="11"/>
        <v>4185365.8536585374</v>
      </c>
    </row>
    <row r="51" spans="1:11" ht="10.5" customHeight="1">
      <c r="A51" s="158" t="s">
        <v>175</v>
      </c>
      <c r="B51" s="51">
        <f t="shared" si="12"/>
        <v>4185365.8536585374</v>
      </c>
      <c r="C51" s="48">
        <v>0</v>
      </c>
      <c r="D51" s="48">
        <v>0</v>
      </c>
      <c r="E51" s="48">
        <v>0</v>
      </c>
      <c r="F51" s="48">
        <v>0</v>
      </c>
      <c r="G51" s="40">
        <f t="shared" si="8"/>
        <v>523170.73170731706</v>
      </c>
      <c r="H51" s="40">
        <f t="shared" si="6"/>
        <v>39760.975609756104</v>
      </c>
      <c r="I51" s="40">
        <f t="shared" si="3"/>
        <v>562931.7073170731</v>
      </c>
      <c r="J51" s="40">
        <f t="shared" si="5"/>
        <v>562931.7073170731</v>
      </c>
      <c r="K51" s="54">
        <f t="shared" si="11"/>
        <v>3662195.1219512206</v>
      </c>
    </row>
    <row r="52" spans="1:11" ht="10.5" customHeight="1">
      <c r="A52" s="390" t="s">
        <v>185</v>
      </c>
      <c r="B52" s="71">
        <f t="shared" si="1"/>
        <v>3662195.1219512206</v>
      </c>
      <c r="C52" s="73">
        <v>0</v>
      </c>
      <c r="D52" s="73">
        <v>0</v>
      </c>
      <c r="E52" s="73">
        <v>0</v>
      </c>
      <c r="F52" s="73">
        <v>0</v>
      </c>
      <c r="G52" s="72">
        <f t="shared" si="8"/>
        <v>523170.73170731706</v>
      </c>
      <c r="H52" s="67">
        <f t="shared" si="6"/>
        <v>34790.853658536595</v>
      </c>
      <c r="I52" s="72">
        <f t="shared" si="3"/>
        <v>557961.5853658536</v>
      </c>
      <c r="J52" s="72">
        <f t="shared" si="5"/>
        <v>557961.5853658536</v>
      </c>
      <c r="K52" s="74">
        <f t="shared" si="7"/>
        <v>3139024.3902439037</v>
      </c>
    </row>
    <row r="53" spans="1:11" ht="10.5" customHeight="1">
      <c r="A53" s="158" t="s">
        <v>186</v>
      </c>
      <c r="B53" s="47">
        <f t="shared" si="1"/>
        <v>3139024.3902439037</v>
      </c>
      <c r="C53" s="48">
        <v>0</v>
      </c>
      <c r="D53" s="48">
        <v>0</v>
      </c>
      <c r="E53" s="48">
        <v>0</v>
      </c>
      <c r="F53" s="48">
        <v>0</v>
      </c>
      <c r="G53" s="40">
        <f t="shared" si="8"/>
        <v>523170.73170731706</v>
      </c>
      <c r="H53" s="40">
        <f t="shared" si="6"/>
        <v>29820.731707317085</v>
      </c>
      <c r="I53" s="40">
        <f t="shared" si="3"/>
        <v>552991.4634146341</v>
      </c>
      <c r="J53" s="40">
        <f t="shared" si="5"/>
        <v>552991.4634146341</v>
      </c>
      <c r="K53" s="49">
        <f t="shared" si="7"/>
        <v>2615853.658536587</v>
      </c>
    </row>
    <row r="54" spans="1:11" ht="10.5" customHeight="1">
      <c r="A54" s="390" t="s">
        <v>269</v>
      </c>
      <c r="B54" s="71">
        <f t="shared" si="1"/>
        <v>2615853.658536587</v>
      </c>
      <c r="C54" s="73">
        <v>0</v>
      </c>
      <c r="D54" s="73">
        <v>0</v>
      </c>
      <c r="E54" s="73">
        <v>0</v>
      </c>
      <c r="F54" s="73">
        <v>0</v>
      </c>
      <c r="G54" s="72">
        <f t="shared" si="8"/>
        <v>523170.73170731706</v>
      </c>
      <c r="H54" s="67">
        <f t="shared" si="6"/>
        <v>24850.609756097576</v>
      </c>
      <c r="I54" s="72">
        <f t="shared" si="3"/>
        <v>548021.3414634146</v>
      </c>
      <c r="J54" s="72">
        <f t="shared" si="5"/>
        <v>548021.3414634146</v>
      </c>
      <c r="K54" s="74">
        <f t="shared" si="7"/>
        <v>2092682.9268292699</v>
      </c>
    </row>
    <row r="55" spans="1:11" ht="10.5" customHeight="1">
      <c r="A55" s="158" t="s">
        <v>187</v>
      </c>
      <c r="B55" s="47">
        <f t="shared" si="1"/>
        <v>2092682.9268292699</v>
      </c>
      <c r="C55" s="48">
        <v>0</v>
      </c>
      <c r="D55" s="48">
        <v>0</v>
      </c>
      <c r="E55" s="48">
        <v>0</v>
      </c>
      <c r="F55" s="48">
        <v>0</v>
      </c>
      <c r="G55" s="40">
        <f t="shared" si="8"/>
        <v>523170.73170731706</v>
      </c>
      <c r="H55" s="40">
        <f t="shared" si="6"/>
        <v>19880.487804878063</v>
      </c>
      <c r="I55" s="40">
        <f t="shared" si="3"/>
        <v>543051.2195121951</v>
      </c>
      <c r="J55" s="40">
        <f t="shared" si="5"/>
        <v>543051.2195121951</v>
      </c>
      <c r="K55" s="49">
        <f t="shared" si="7"/>
        <v>1569512.1951219528</v>
      </c>
    </row>
    <row r="56" spans="1:11" ht="10.5" customHeight="1">
      <c r="A56" s="390" t="s">
        <v>270</v>
      </c>
      <c r="B56" s="71">
        <f t="shared" si="1"/>
        <v>1569512.1951219528</v>
      </c>
      <c r="C56" s="73">
        <v>0</v>
      </c>
      <c r="D56" s="73">
        <v>0</v>
      </c>
      <c r="E56" s="73">
        <v>0</v>
      </c>
      <c r="F56" s="73">
        <v>0</v>
      </c>
      <c r="G56" s="72">
        <f t="shared" si="8"/>
        <v>523170.73170731706</v>
      </c>
      <c r="H56" s="67">
        <f t="shared" si="6"/>
        <v>14910.365853658552</v>
      </c>
      <c r="I56" s="72">
        <f t="shared" si="3"/>
        <v>538081.0975609756</v>
      </c>
      <c r="J56" s="72">
        <f t="shared" si="5"/>
        <v>538081.0975609756</v>
      </c>
      <c r="K56" s="74">
        <f t="shared" si="7"/>
        <v>1046341.4634146357</v>
      </c>
    </row>
    <row r="57" spans="1:13" ht="10.5" customHeight="1">
      <c r="A57" s="158" t="s">
        <v>223</v>
      </c>
      <c r="B57" s="47">
        <f t="shared" si="1"/>
        <v>1046341.4634146357</v>
      </c>
      <c r="C57" s="48">
        <v>0</v>
      </c>
      <c r="D57" s="48">
        <v>0</v>
      </c>
      <c r="E57" s="48">
        <v>0</v>
      </c>
      <c r="F57" s="48">
        <v>0</v>
      </c>
      <c r="G57" s="40">
        <f t="shared" si="8"/>
        <v>523170.73170731706</v>
      </c>
      <c r="H57" s="40">
        <f t="shared" si="6"/>
        <v>9940.243902439039</v>
      </c>
      <c r="I57" s="40">
        <f t="shared" si="3"/>
        <v>533110.9756097561</v>
      </c>
      <c r="J57" s="40">
        <f t="shared" si="5"/>
        <v>533110.9756097561</v>
      </c>
      <c r="K57" s="49">
        <f t="shared" si="7"/>
        <v>523170.7317073187</v>
      </c>
      <c r="M57" t="s">
        <v>92</v>
      </c>
    </row>
    <row r="58" spans="1:11" ht="10.5" customHeight="1" thickBot="1">
      <c r="A58" s="390" t="s">
        <v>250</v>
      </c>
      <c r="B58" s="71">
        <f t="shared" si="1"/>
        <v>523170.7317073187</v>
      </c>
      <c r="C58" s="73">
        <v>0</v>
      </c>
      <c r="D58" s="73">
        <v>0</v>
      </c>
      <c r="E58" s="73">
        <v>0</v>
      </c>
      <c r="F58" s="73">
        <v>0</v>
      </c>
      <c r="G58" s="72">
        <f t="shared" si="8"/>
        <v>523170.73170731706</v>
      </c>
      <c r="H58" s="67">
        <f t="shared" si="6"/>
        <v>4970.121951219528</v>
      </c>
      <c r="I58" s="72">
        <f t="shared" si="3"/>
        <v>528140.8536585366</v>
      </c>
      <c r="J58" s="72">
        <f t="shared" si="5"/>
        <v>528140.8536585366</v>
      </c>
      <c r="K58" s="76">
        <f t="shared" si="7"/>
        <v>1.6298145055770874E-09</v>
      </c>
    </row>
    <row r="59" spans="1:11" ht="12.75" customHeight="1" thickBot="1">
      <c r="A59" s="55" t="s">
        <v>74</v>
      </c>
      <c r="B59" s="56" t="s">
        <v>51</v>
      </c>
      <c r="C59" s="57">
        <f>SUM(C9:C58)</f>
        <v>21450000</v>
      </c>
      <c r="D59" s="57">
        <f>SUM(B59:C59)</f>
        <v>21450000</v>
      </c>
      <c r="E59" s="58" t="s">
        <v>51</v>
      </c>
      <c r="F59" s="57">
        <f>SUM(F10:F58)</f>
        <v>103228.125</v>
      </c>
      <c r="G59" s="57">
        <f>SUM(G10:G58)</f>
        <v>21449999.999999996</v>
      </c>
      <c r="H59" s="57">
        <f>SUM(H10:H58)</f>
        <v>4921166.250000002</v>
      </c>
      <c r="I59" s="57">
        <f>SUM(I10:I58)</f>
        <v>26371166.249999996</v>
      </c>
      <c r="J59" s="57">
        <f>SUM(J10:J58)</f>
        <v>26474394.374999996</v>
      </c>
      <c r="K59" s="59"/>
    </row>
    <row r="60" spans="8:11" ht="9.75" customHeight="1">
      <c r="H60" s="547" t="s">
        <v>245</v>
      </c>
      <c r="I60" s="547"/>
      <c r="J60" s="547"/>
      <c r="K60" s="547"/>
    </row>
    <row r="61" spans="8:11" ht="9.75" customHeight="1">
      <c r="H61" s="163"/>
      <c r="I61" s="163"/>
      <c r="J61" s="163"/>
      <c r="K61" s="163"/>
    </row>
    <row r="62" spans="8:11" ht="9.75" customHeight="1">
      <c r="H62" s="163"/>
      <c r="I62" s="163"/>
      <c r="J62" s="163"/>
      <c r="K62" s="163"/>
    </row>
    <row r="63" ht="12.75">
      <c r="L63" s="10"/>
    </row>
  </sheetData>
  <sheetProtection/>
  <mergeCells count="5">
    <mergeCell ref="A2:K2"/>
    <mergeCell ref="M9:N9"/>
    <mergeCell ref="H60:K60"/>
    <mergeCell ref="A3:K5"/>
    <mergeCell ref="G7:I7"/>
  </mergeCells>
  <printOptions horizontalCentered="1" verticalCentered="1"/>
  <pageMargins left="0.6692913385826772" right="0.31496062992125984" top="1.4173228346456694" bottom="0.9055118110236221" header="0.31496062992125984" footer="0.5118110236220472"/>
  <pageSetup horizontalDpi="300" verticalDpi="300" orientation="portrait" paperSize="9" r:id="rId1"/>
  <headerFooter alignWithMargins="0">
    <oddHeader>&amp;C&amp;"Arial Black,Normal"&amp;14PLANILHA X&amp;"Arial,Negrito"&amp;10
&amp;12
PLANO DE DESEMBOLSO E DE AMORTIZAÇÃO DE UM FINANCIAMENTO
DO BID PARA O PROGRAMA DE DESENVOLVIMENTO URBANO SUSTENTÁVEL DE LONDRINA&amp;R&amp;"Arial Black,Normal"&amp;14ANEXO 10 &amp;"Arial,Normal"&amp;10
&amp;12p. 1 de 1</oddHeader>
    <oddFooter>&amp;R&amp;8__________________________________________________________________________
CONSULTORIA/93-13-JAR - Avaliação Financeira e Orçamentária do Município de Londrina
&amp;6Anexo 10 -Londrina - PR.xls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Q60"/>
  <sheetViews>
    <sheetView zoomScale="130" zoomScaleNormal="130" zoomScalePageLayoutView="0" workbookViewId="0" topLeftCell="A13">
      <selection activeCell="A59" sqref="A59"/>
    </sheetView>
  </sheetViews>
  <sheetFormatPr defaultColWidth="9.140625" defaultRowHeight="12.75"/>
  <cols>
    <col min="1" max="1" width="7.28125" style="0" customWidth="1"/>
    <col min="2" max="2" width="8.7109375" style="0" customWidth="1"/>
    <col min="3" max="3" width="8.57421875" style="0" customWidth="1"/>
    <col min="4" max="4" width="8.421875" style="0" customWidth="1"/>
    <col min="5" max="5" width="8.7109375" style="0" customWidth="1"/>
    <col min="6" max="6" width="8.421875" style="0" customWidth="1"/>
    <col min="7" max="7" width="9.421875" style="0" customWidth="1"/>
    <col min="8" max="8" width="8.140625" style="0" customWidth="1"/>
    <col min="10" max="10" width="8.8515625" style="0" customWidth="1"/>
    <col min="11" max="11" width="9.00390625" style="0" customWidth="1"/>
  </cols>
  <sheetData>
    <row r="2" spans="1:11" ht="12" customHeight="1">
      <c r="A2" s="545" t="s">
        <v>226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</row>
    <row r="3" spans="1:11" ht="12" customHeight="1">
      <c r="A3" s="549" t="s">
        <v>192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</row>
    <row r="4" spans="1:11" ht="12" customHeight="1">
      <c r="A4" s="549"/>
      <c r="B4" s="549"/>
      <c r="C4" s="549"/>
      <c r="D4" s="549"/>
      <c r="E4" s="549"/>
      <c r="F4" s="549"/>
      <c r="G4" s="549"/>
      <c r="H4" s="549"/>
      <c r="I4" s="549"/>
      <c r="J4" s="549"/>
      <c r="K4" s="549"/>
    </row>
    <row r="5" spans="1:11" ht="12" customHeight="1">
      <c r="A5" s="549"/>
      <c r="B5" s="549"/>
      <c r="C5" s="549"/>
      <c r="D5" s="549"/>
      <c r="E5" s="549"/>
      <c r="F5" s="549"/>
      <c r="G5" s="549"/>
      <c r="H5" s="549"/>
      <c r="I5" s="549"/>
      <c r="J5" s="549"/>
      <c r="K5" s="549"/>
    </row>
    <row r="6" spans="1:11" ht="10.5" customHeight="1" thickBot="1">
      <c r="A6" s="12"/>
      <c r="B6" s="12"/>
      <c r="C6" s="12"/>
      <c r="D6" s="12"/>
      <c r="E6" s="12"/>
      <c r="F6" s="12"/>
      <c r="G6" s="12"/>
      <c r="H6" s="12"/>
      <c r="I6" s="13"/>
      <c r="J6" s="13"/>
      <c r="K6" s="78" t="s">
        <v>37</v>
      </c>
    </row>
    <row r="7" spans="1:14" ht="12.75" customHeight="1">
      <c r="A7" s="394" t="s">
        <v>38</v>
      </c>
      <c r="B7" s="79" t="s">
        <v>39</v>
      </c>
      <c r="C7" s="80" t="s">
        <v>81</v>
      </c>
      <c r="D7" s="81" t="s">
        <v>81</v>
      </c>
      <c r="E7" s="80" t="s">
        <v>80</v>
      </c>
      <c r="F7" s="80" t="s">
        <v>40</v>
      </c>
      <c r="G7" s="548" t="s">
        <v>41</v>
      </c>
      <c r="H7" s="548"/>
      <c r="I7" s="548"/>
      <c r="J7" s="80" t="s">
        <v>42</v>
      </c>
      <c r="K7" s="82" t="s">
        <v>43</v>
      </c>
      <c r="N7" s="485"/>
    </row>
    <row r="8" spans="1:17" ht="12.75" customHeight="1" thickBot="1">
      <c r="A8" s="83" t="s">
        <v>44</v>
      </c>
      <c r="B8" s="395" t="s">
        <v>45</v>
      </c>
      <c r="C8" s="396" t="s">
        <v>82</v>
      </c>
      <c r="D8" s="397" t="s">
        <v>83</v>
      </c>
      <c r="E8" s="396" t="s">
        <v>46</v>
      </c>
      <c r="F8" s="396" t="s">
        <v>93</v>
      </c>
      <c r="G8" s="398" t="s">
        <v>150</v>
      </c>
      <c r="H8" s="398" t="s">
        <v>47</v>
      </c>
      <c r="I8" s="398" t="s">
        <v>48</v>
      </c>
      <c r="J8" s="396" t="s">
        <v>49</v>
      </c>
      <c r="K8" s="399" t="s">
        <v>50</v>
      </c>
      <c r="Q8" s="89" t="s">
        <v>128</v>
      </c>
    </row>
    <row r="9" spans="1:17" ht="10.5" customHeight="1">
      <c r="A9" s="158" t="s">
        <v>52</v>
      </c>
      <c r="B9" s="391">
        <v>21450000</v>
      </c>
      <c r="C9" s="392" t="s">
        <v>51</v>
      </c>
      <c r="D9" s="392" t="s">
        <v>51</v>
      </c>
      <c r="E9" s="392" t="s">
        <v>51</v>
      </c>
      <c r="F9" s="392" t="s">
        <v>51</v>
      </c>
      <c r="G9" s="392" t="s">
        <v>51</v>
      </c>
      <c r="H9" s="392" t="s">
        <v>51</v>
      </c>
      <c r="I9" s="392" t="s">
        <v>51</v>
      </c>
      <c r="J9" s="392" t="s">
        <v>51</v>
      </c>
      <c r="K9" s="393" t="str">
        <f aca="true" t="shared" si="0" ref="K9:K17">E9</f>
        <v>-</v>
      </c>
      <c r="M9" s="546" t="s">
        <v>129</v>
      </c>
      <c r="N9" s="546"/>
      <c r="O9" s="90" t="s">
        <v>47</v>
      </c>
      <c r="P9" s="91" t="s">
        <v>130</v>
      </c>
      <c r="Q9" s="91" t="s">
        <v>131</v>
      </c>
    </row>
    <row r="10" spans="1:17" ht="10.5" customHeight="1">
      <c r="A10" s="387" t="s">
        <v>52</v>
      </c>
      <c r="B10" s="61" t="str">
        <f aca="true" t="shared" si="1" ref="B10:B58">(K9)</f>
        <v>-</v>
      </c>
      <c r="C10" s="62">
        <f>$B$9*0.05</f>
        <v>1072500</v>
      </c>
      <c r="D10" s="62">
        <f>$B$9*0.05</f>
        <v>1072500</v>
      </c>
      <c r="E10" s="62">
        <f>C10</f>
        <v>1072500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4">
        <f t="shared" si="0"/>
        <v>1072500</v>
      </c>
      <c r="M10" s="92" t="s">
        <v>132</v>
      </c>
      <c r="N10" s="93">
        <f>C10+C11</f>
        <v>3217500</v>
      </c>
      <c r="O10" s="93">
        <f>H10+H11</f>
        <v>10188.75</v>
      </c>
      <c r="P10" s="93">
        <f>F10+F11</f>
        <v>25471.875</v>
      </c>
      <c r="Q10" s="94">
        <f>O10+P10</f>
        <v>35660.625</v>
      </c>
    </row>
    <row r="11" spans="1:17" ht="10.5" customHeight="1">
      <c r="A11" s="158" t="s">
        <v>53</v>
      </c>
      <c r="B11" s="47">
        <f>(K10)</f>
        <v>1072500</v>
      </c>
      <c r="C11" s="40">
        <f>$B$9*0.1</f>
        <v>2145000</v>
      </c>
      <c r="D11" s="48" t="s">
        <v>51</v>
      </c>
      <c r="E11" s="40">
        <f>(E10+C11)</f>
        <v>3217500</v>
      </c>
      <c r="F11" s="40">
        <f>($B$9-E10)*0.00125</f>
        <v>25471.875</v>
      </c>
      <c r="G11" s="48">
        <v>0</v>
      </c>
      <c r="H11" s="40">
        <f>K10*0.0095</f>
        <v>10188.75</v>
      </c>
      <c r="I11" s="40">
        <f aca="true" t="shared" si="2" ref="I11:I58">G11+H11</f>
        <v>10188.75</v>
      </c>
      <c r="J11" s="40">
        <f>SUM(F11,I11)</f>
        <v>35660.625</v>
      </c>
      <c r="K11" s="49">
        <f t="shared" si="0"/>
        <v>3217500</v>
      </c>
      <c r="M11" s="92" t="s">
        <v>133</v>
      </c>
      <c r="N11" s="93">
        <f>C12+C13</f>
        <v>4290000</v>
      </c>
      <c r="O11" s="93">
        <f>H12+H13</f>
        <v>81510</v>
      </c>
      <c r="P11" s="93">
        <f>F12+F13</f>
        <v>42900</v>
      </c>
      <c r="Q11" s="94">
        <f>O11+P11</f>
        <v>124410</v>
      </c>
    </row>
    <row r="12" spans="1:17" ht="10.5" customHeight="1">
      <c r="A12" s="387" t="s">
        <v>54</v>
      </c>
      <c r="B12" s="65">
        <f t="shared" si="1"/>
        <v>3217500</v>
      </c>
      <c r="C12" s="62">
        <f>$B$9*0.1</f>
        <v>2145000</v>
      </c>
      <c r="D12" s="62">
        <f>SUM(C11+C12)</f>
        <v>4290000</v>
      </c>
      <c r="E12" s="62">
        <f aca="true" t="shared" si="3" ref="E12:E19">(E11+C12)</f>
        <v>5362500</v>
      </c>
      <c r="F12" s="62">
        <f aca="true" t="shared" si="4" ref="F12:F19">($B$9-E11)*0.00125</f>
        <v>22790.625</v>
      </c>
      <c r="G12" s="63">
        <v>0</v>
      </c>
      <c r="H12" s="62">
        <f>K11*0.0095</f>
        <v>30566.25</v>
      </c>
      <c r="I12" s="62">
        <f t="shared" si="2"/>
        <v>30566.25</v>
      </c>
      <c r="J12" s="62">
        <f aca="true" t="shared" si="5" ref="J12:J58">SUM(F12,I12)</f>
        <v>53356.875</v>
      </c>
      <c r="K12" s="64">
        <f t="shared" si="0"/>
        <v>5362500</v>
      </c>
      <c r="M12" s="92" t="s">
        <v>134</v>
      </c>
      <c r="N12" s="93">
        <f>C14+C15</f>
        <v>6435000</v>
      </c>
      <c r="O12" s="93">
        <f>H14+H15</f>
        <v>173208.75</v>
      </c>
      <c r="P12" s="93">
        <f>F14+F15</f>
        <v>30834.375</v>
      </c>
      <c r="Q12" s="94">
        <f>O12+P12</f>
        <v>204043.125</v>
      </c>
    </row>
    <row r="13" spans="1:17" ht="10.5" customHeight="1">
      <c r="A13" s="158" t="s">
        <v>55</v>
      </c>
      <c r="B13" s="47">
        <f t="shared" si="1"/>
        <v>5362500</v>
      </c>
      <c r="C13" s="40">
        <f>$B$9*0.1</f>
        <v>2145000</v>
      </c>
      <c r="D13" s="48" t="s">
        <v>51</v>
      </c>
      <c r="E13" s="40">
        <f t="shared" si="3"/>
        <v>7507500</v>
      </c>
      <c r="F13" s="40">
        <f t="shared" si="4"/>
        <v>20109.375</v>
      </c>
      <c r="G13" s="48">
        <v>0</v>
      </c>
      <c r="H13" s="40">
        <f aca="true" t="shared" si="6" ref="H13:H58">K12*0.0095</f>
        <v>50943.75</v>
      </c>
      <c r="I13" s="40">
        <f t="shared" si="2"/>
        <v>50943.75</v>
      </c>
      <c r="J13" s="40">
        <f t="shared" si="5"/>
        <v>71053.125</v>
      </c>
      <c r="K13" s="49">
        <f t="shared" si="0"/>
        <v>7507500</v>
      </c>
      <c r="M13" s="92" t="s">
        <v>135</v>
      </c>
      <c r="N13" s="93">
        <f>C16+C17</f>
        <v>5362500</v>
      </c>
      <c r="O13" s="93">
        <f>H16+H17</f>
        <v>295473.75</v>
      </c>
      <c r="P13" s="93">
        <f>F16+F17</f>
        <v>14746.875</v>
      </c>
      <c r="Q13" s="94">
        <f>O13+P13</f>
        <v>310220.625</v>
      </c>
    </row>
    <row r="14" spans="1:17" ht="10.5" customHeight="1">
      <c r="A14" s="388" t="s">
        <v>56</v>
      </c>
      <c r="B14" s="65">
        <f>(K13)</f>
        <v>7507500</v>
      </c>
      <c r="C14" s="62">
        <f>$B$9*0.15</f>
        <v>3217500</v>
      </c>
      <c r="D14" s="62">
        <f>SUM(C13+C14)</f>
        <v>5362500</v>
      </c>
      <c r="E14" s="62">
        <f>(E13+C14)</f>
        <v>10725000</v>
      </c>
      <c r="F14" s="62">
        <f t="shared" si="4"/>
        <v>17428.125</v>
      </c>
      <c r="G14" s="63">
        <v>0</v>
      </c>
      <c r="H14" s="62">
        <f t="shared" si="6"/>
        <v>71321.25</v>
      </c>
      <c r="I14" s="62">
        <f t="shared" si="2"/>
        <v>71321.25</v>
      </c>
      <c r="J14" s="62">
        <f t="shared" si="5"/>
        <v>88749.375</v>
      </c>
      <c r="K14" s="64">
        <f t="shared" si="0"/>
        <v>10725000</v>
      </c>
      <c r="M14" s="92" t="s">
        <v>136</v>
      </c>
      <c r="N14" s="93">
        <f>C18+C19</f>
        <v>2145000</v>
      </c>
      <c r="O14" s="93">
        <f>H18+H19</f>
        <v>376983.75</v>
      </c>
      <c r="P14" s="93">
        <f>F18+F19</f>
        <v>4021.875</v>
      </c>
      <c r="Q14" s="94">
        <f>O14+P14</f>
        <v>381005.625</v>
      </c>
    </row>
    <row r="15" spans="1:17" ht="10.5" customHeight="1">
      <c r="A15" s="161" t="s">
        <v>57</v>
      </c>
      <c r="B15" s="47">
        <f t="shared" si="1"/>
        <v>10725000</v>
      </c>
      <c r="C15" s="40">
        <f>$B$9*0.15</f>
        <v>3217500</v>
      </c>
      <c r="D15" s="48" t="s">
        <v>51</v>
      </c>
      <c r="E15" s="40">
        <f t="shared" si="3"/>
        <v>13942500</v>
      </c>
      <c r="F15" s="40">
        <f t="shared" si="4"/>
        <v>13406.25</v>
      </c>
      <c r="G15" s="48">
        <v>0</v>
      </c>
      <c r="H15" s="40">
        <f t="shared" si="6"/>
        <v>101887.5</v>
      </c>
      <c r="I15" s="40">
        <f t="shared" si="2"/>
        <v>101887.5</v>
      </c>
      <c r="J15" s="40">
        <f t="shared" si="5"/>
        <v>115293.75</v>
      </c>
      <c r="K15" s="49">
        <f t="shared" si="0"/>
        <v>13942500</v>
      </c>
      <c r="M15" s="95" t="s">
        <v>137</v>
      </c>
      <c r="N15" s="96">
        <f>SUM(N10:N14)</f>
        <v>21450000</v>
      </c>
      <c r="O15" s="96">
        <f>SUM(O10:O14)</f>
        <v>937365</v>
      </c>
      <c r="P15" s="96">
        <f>SUM(P10:P14)</f>
        <v>117975</v>
      </c>
      <c r="Q15" s="96">
        <f>SUM(Q10:Q14)</f>
        <v>1055340</v>
      </c>
    </row>
    <row r="16" spans="1:11" ht="10.5" customHeight="1">
      <c r="A16" s="388" t="s">
        <v>58</v>
      </c>
      <c r="B16" s="65">
        <f t="shared" si="1"/>
        <v>13942500</v>
      </c>
      <c r="C16" s="62">
        <f>$B$9*0.15</f>
        <v>3217500</v>
      </c>
      <c r="D16" s="62">
        <f>SUM(C15+C16)</f>
        <v>6435000</v>
      </c>
      <c r="E16" s="62">
        <f t="shared" si="3"/>
        <v>17160000</v>
      </c>
      <c r="F16" s="62">
        <f t="shared" si="4"/>
        <v>9384.375</v>
      </c>
      <c r="G16" s="63">
        <v>0</v>
      </c>
      <c r="H16" s="62">
        <f t="shared" si="6"/>
        <v>132453.75</v>
      </c>
      <c r="I16" s="62">
        <f t="shared" si="2"/>
        <v>132453.75</v>
      </c>
      <c r="J16" s="62">
        <f t="shared" si="5"/>
        <v>141838.125</v>
      </c>
      <c r="K16" s="64">
        <f t="shared" si="0"/>
        <v>17160000</v>
      </c>
    </row>
    <row r="17" spans="1:11" ht="10.5" customHeight="1">
      <c r="A17" s="161" t="s">
        <v>59</v>
      </c>
      <c r="B17" s="47">
        <f t="shared" si="1"/>
        <v>17160000</v>
      </c>
      <c r="C17" s="40">
        <f>$B$9*0.1</f>
        <v>2145000</v>
      </c>
      <c r="D17" s="48" t="s">
        <v>51</v>
      </c>
      <c r="E17" s="40">
        <f t="shared" si="3"/>
        <v>19305000</v>
      </c>
      <c r="F17" s="40">
        <f t="shared" si="4"/>
        <v>5362.5</v>
      </c>
      <c r="G17" s="48">
        <v>0</v>
      </c>
      <c r="H17" s="40">
        <f t="shared" si="6"/>
        <v>163020</v>
      </c>
      <c r="I17" s="40">
        <f t="shared" si="2"/>
        <v>163020</v>
      </c>
      <c r="J17" s="40">
        <f t="shared" si="5"/>
        <v>168382.5</v>
      </c>
      <c r="K17" s="49">
        <f t="shared" si="0"/>
        <v>19305000</v>
      </c>
    </row>
    <row r="18" spans="1:11" ht="10.5" customHeight="1">
      <c r="A18" s="388" t="s">
        <v>75</v>
      </c>
      <c r="B18" s="65">
        <f t="shared" si="1"/>
        <v>19305000</v>
      </c>
      <c r="C18" s="62">
        <f>$B$9*0.05</f>
        <v>1072500</v>
      </c>
      <c r="D18" s="62">
        <f>SUM(C17+C18)</f>
        <v>3217500</v>
      </c>
      <c r="E18" s="62">
        <f t="shared" si="3"/>
        <v>20377500</v>
      </c>
      <c r="F18" s="62">
        <f t="shared" si="4"/>
        <v>2681.25</v>
      </c>
      <c r="G18" s="63">
        <v>0</v>
      </c>
      <c r="H18" s="62">
        <f t="shared" si="6"/>
        <v>183397.5</v>
      </c>
      <c r="I18" s="62">
        <f t="shared" si="2"/>
        <v>183397.5</v>
      </c>
      <c r="J18" s="62">
        <f t="shared" si="5"/>
        <v>186078.75</v>
      </c>
      <c r="K18" s="64">
        <f>E18</f>
        <v>20377500</v>
      </c>
    </row>
    <row r="19" spans="1:11" ht="10.5" customHeight="1">
      <c r="A19" s="161" t="s">
        <v>60</v>
      </c>
      <c r="B19" s="47">
        <f t="shared" si="1"/>
        <v>20377500</v>
      </c>
      <c r="C19" s="40">
        <f>$B$9*0.05</f>
        <v>1072500</v>
      </c>
      <c r="D19" s="40">
        <f>SUM(C19)</f>
        <v>1072500</v>
      </c>
      <c r="E19" s="40">
        <f t="shared" si="3"/>
        <v>21450000</v>
      </c>
      <c r="F19" s="40">
        <f t="shared" si="4"/>
        <v>1340.625</v>
      </c>
      <c r="G19" s="48">
        <v>0</v>
      </c>
      <c r="H19" s="40">
        <f t="shared" si="6"/>
        <v>193586.25</v>
      </c>
      <c r="I19" s="40">
        <f t="shared" si="2"/>
        <v>193586.25</v>
      </c>
      <c r="J19" s="40">
        <f t="shared" si="5"/>
        <v>194926.875</v>
      </c>
      <c r="K19" s="49">
        <f>E19</f>
        <v>21450000</v>
      </c>
    </row>
    <row r="20" spans="1:11" ht="10.5" customHeight="1">
      <c r="A20" s="388" t="s">
        <v>61</v>
      </c>
      <c r="B20" s="65">
        <f>(K19)</f>
        <v>21450000</v>
      </c>
      <c r="C20" s="63">
        <v>0</v>
      </c>
      <c r="D20" s="63">
        <v>0</v>
      </c>
      <c r="E20" s="63">
        <v>0</v>
      </c>
      <c r="F20" s="63">
        <v>0</v>
      </c>
      <c r="G20" s="62">
        <f>($B$9)/39</f>
        <v>550000</v>
      </c>
      <c r="H20" s="62">
        <f t="shared" si="6"/>
        <v>203775</v>
      </c>
      <c r="I20" s="62">
        <f t="shared" si="2"/>
        <v>753775</v>
      </c>
      <c r="J20" s="62">
        <f t="shared" si="5"/>
        <v>753775</v>
      </c>
      <c r="K20" s="64">
        <f>K19-G20</f>
        <v>20900000</v>
      </c>
    </row>
    <row r="21" spans="1:11" ht="10.5" customHeight="1">
      <c r="A21" s="161" t="s">
        <v>62</v>
      </c>
      <c r="B21" s="47">
        <f t="shared" si="1"/>
        <v>20900000</v>
      </c>
      <c r="C21" s="48">
        <v>0</v>
      </c>
      <c r="D21" s="48">
        <v>0</v>
      </c>
      <c r="E21" s="48">
        <v>0</v>
      </c>
      <c r="F21" s="48">
        <v>0</v>
      </c>
      <c r="G21" s="40">
        <f>($B$9)/39</f>
        <v>550000</v>
      </c>
      <c r="H21" s="40">
        <f t="shared" si="6"/>
        <v>198550</v>
      </c>
      <c r="I21" s="40">
        <f t="shared" si="2"/>
        <v>748550</v>
      </c>
      <c r="J21" s="40">
        <f t="shared" si="5"/>
        <v>748550</v>
      </c>
      <c r="K21" s="49">
        <f aca="true" t="shared" si="7" ref="K21:K58">K20-G21</f>
        <v>20350000</v>
      </c>
    </row>
    <row r="22" spans="1:11" ht="10.5" customHeight="1">
      <c r="A22" s="388" t="s">
        <v>63</v>
      </c>
      <c r="B22" s="65">
        <f t="shared" si="1"/>
        <v>20350000</v>
      </c>
      <c r="C22" s="63"/>
      <c r="D22" s="63">
        <v>0</v>
      </c>
      <c r="E22" s="63">
        <v>0</v>
      </c>
      <c r="F22" s="63">
        <v>0</v>
      </c>
      <c r="G22" s="62">
        <f aca="true" t="shared" si="8" ref="G22:G58">($B$9)/39</f>
        <v>550000</v>
      </c>
      <c r="H22" s="62">
        <f t="shared" si="6"/>
        <v>193325</v>
      </c>
      <c r="I22" s="62">
        <f t="shared" si="2"/>
        <v>743325</v>
      </c>
      <c r="J22" s="62">
        <f t="shared" si="5"/>
        <v>743325</v>
      </c>
      <c r="K22" s="64">
        <f t="shared" si="7"/>
        <v>19800000</v>
      </c>
    </row>
    <row r="23" spans="1:11" ht="10.5" customHeight="1">
      <c r="A23" s="161" t="s">
        <v>64</v>
      </c>
      <c r="B23" s="47">
        <f t="shared" si="1"/>
        <v>19800000</v>
      </c>
      <c r="C23" s="48">
        <v>0</v>
      </c>
      <c r="D23" s="48">
        <v>0</v>
      </c>
      <c r="E23" s="48">
        <v>0</v>
      </c>
      <c r="F23" s="48">
        <v>0</v>
      </c>
      <c r="G23" s="40">
        <f t="shared" si="8"/>
        <v>550000</v>
      </c>
      <c r="H23" s="40">
        <f t="shared" si="6"/>
        <v>188100</v>
      </c>
      <c r="I23" s="40">
        <f t="shared" si="2"/>
        <v>738100</v>
      </c>
      <c r="J23" s="40">
        <f t="shared" si="5"/>
        <v>738100</v>
      </c>
      <c r="K23" s="49">
        <f t="shared" si="7"/>
        <v>19250000</v>
      </c>
    </row>
    <row r="24" spans="1:11" ht="10.5" customHeight="1">
      <c r="A24" s="388" t="s">
        <v>65</v>
      </c>
      <c r="B24" s="65">
        <f t="shared" si="1"/>
        <v>19250000</v>
      </c>
      <c r="C24" s="63">
        <v>0</v>
      </c>
      <c r="D24" s="63">
        <v>0</v>
      </c>
      <c r="E24" s="63">
        <v>0</v>
      </c>
      <c r="F24" s="63">
        <v>0</v>
      </c>
      <c r="G24" s="62">
        <f t="shared" si="8"/>
        <v>550000</v>
      </c>
      <c r="H24" s="62">
        <f t="shared" si="6"/>
        <v>182875</v>
      </c>
      <c r="I24" s="62">
        <f t="shared" si="2"/>
        <v>732875</v>
      </c>
      <c r="J24" s="62">
        <f t="shared" si="5"/>
        <v>732875</v>
      </c>
      <c r="K24" s="64">
        <f t="shared" si="7"/>
        <v>18700000</v>
      </c>
    </row>
    <row r="25" spans="1:11" ht="10.5" customHeight="1">
      <c r="A25" s="161" t="s">
        <v>66</v>
      </c>
      <c r="B25" s="47">
        <f t="shared" si="1"/>
        <v>18700000</v>
      </c>
      <c r="C25" s="48">
        <v>0</v>
      </c>
      <c r="D25" s="48">
        <v>0</v>
      </c>
      <c r="E25" s="48">
        <v>0</v>
      </c>
      <c r="F25" s="48">
        <v>0</v>
      </c>
      <c r="G25" s="40">
        <f t="shared" si="8"/>
        <v>550000</v>
      </c>
      <c r="H25" s="40">
        <f t="shared" si="6"/>
        <v>177650</v>
      </c>
      <c r="I25" s="40">
        <f t="shared" si="2"/>
        <v>727650</v>
      </c>
      <c r="J25" s="40">
        <f t="shared" si="5"/>
        <v>727650</v>
      </c>
      <c r="K25" s="49">
        <f t="shared" si="7"/>
        <v>18150000</v>
      </c>
    </row>
    <row r="26" spans="1:11" ht="10.5" customHeight="1">
      <c r="A26" s="388" t="s">
        <v>67</v>
      </c>
      <c r="B26" s="65">
        <f t="shared" si="1"/>
        <v>18150000</v>
      </c>
      <c r="C26" s="63">
        <v>0</v>
      </c>
      <c r="D26" s="63">
        <v>0</v>
      </c>
      <c r="E26" s="63">
        <v>0</v>
      </c>
      <c r="F26" s="63">
        <v>0</v>
      </c>
      <c r="G26" s="62">
        <f t="shared" si="8"/>
        <v>550000</v>
      </c>
      <c r="H26" s="62">
        <f t="shared" si="6"/>
        <v>172425</v>
      </c>
      <c r="I26" s="62">
        <f t="shared" si="2"/>
        <v>722425</v>
      </c>
      <c r="J26" s="62">
        <f t="shared" si="5"/>
        <v>722425</v>
      </c>
      <c r="K26" s="64">
        <f t="shared" si="7"/>
        <v>17600000</v>
      </c>
    </row>
    <row r="27" spans="1:11" ht="10.5" customHeight="1">
      <c r="A27" s="161" t="s">
        <v>68</v>
      </c>
      <c r="B27" s="47">
        <f t="shared" si="1"/>
        <v>17600000</v>
      </c>
      <c r="C27" s="48">
        <v>0</v>
      </c>
      <c r="D27" s="48">
        <v>0</v>
      </c>
      <c r="E27" s="48">
        <v>0</v>
      </c>
      <c r="F27" s="48">
        <v>0</v>
      </c>
      <c r="G27" s="40">
        <f t="shared" si="8"/>
        <v>550000</v>
      </c>
      <c r="H27" s="40">
        <f t="shared" si="6"/>
        <v>167200</v>
      </c>
      <c r="I27" s="40">
        <f t="shared" si="2"/>
        <v>717200</v>
      </c>
      <c r="J27" s="40">
        <f t="shared" si="5"/>
        <v>717200</v>
      </c>
      <c r="K27" s="49">
        <f t="shared" si="7"/>
        <v>17050000</v>
      </c>
    </row>
    <row r="28" spans="1:11" ht="10.5" customHeight="1">
      <c r="A28" s="388" t="s">
        <v>69</v>
      </c>
      <c r="B28" s="65">
        <f t="shared" si="1"/>
        <v>17050000</v>
      </c>
      <c r="C28" s="63">
        <v>0</v>
      </c>
      <c r="D28" s="63">
        <v>0</v>
      </c>
      <c r="E28" s="63">
        <v>0</v>
      </c>
      <c r="F28" s="63">
        <v>0</v>
      </c>
      <c r="G28" s="62">
        <f t="shared" si="8"/>
        <v>550000</v>
      </c>
      <c r="H28" s="62">
        <f t="shared" si="6"/>
        <v>161975</v>
      </c>
      <c r="I28" s="62">
        <f t="shared" si="2"/>
        <v>711975</v>
      </c>
      <c r="J28" s="62">
        <f t="shared" si="5"/>
        <v>711975</v>
      </c>
      <c r="K28" s="64">
        <f t="shared" si="7"/>
        <v>16500000</v>
      </c>
    </row>
    <row r="29" spans="1:11" ht="10.5" customHeight="1">
      <c r="A29" s="161" t="s">
        <v>70</v>
      </c>
      <c r="B29" s="47">
        <f t="shared" si="1"/>
        <v>16500000</v>
      </c>
      <c r="C29" s="48">
        <v>0</v>
      </c>
      <c r="D29" s="48">
        <v>0</v>
      </c>
      <c r="E29" s="48">
        <v>0</v>
      </c>
      <c r="F29" s="48">
        <v>0</v>
      </c>
      <c r="G29" s="40">
        <f t="shared" si="8"/>
        <v>550000</v>
      </c>
      <c r="H29" s="40">
        <f t="shared" si="6"/>
        <v>156750</v>
      </c>
      <c r="I29" s="40">
        <f t="shared" si="2"/>
        <v>706750</v>
      </c>
      <c r="J29" s="40">
        <f t="shared" si="5"/>
        <v>706750</v>
      </c>
      <c r="K29" s="49">
        <f t="shared" si="7"/>
        <v>15950000</v>
      </c>
    </row>
    <row r="30" spans="1:11" ht="10.5" customHeight="1">
      <c r="A30" s="388" t="s">
        <v>71</v>
      </c>
      <c r="B30" s="65">
        <f t="shared" si="1"/>
        <v>15950000</v>
      </c>
      <c r="C30" s="63">
        <v>0</v>
      </c>
      <c r="D30" s="63">
        <v>0</v>
      </c>
      <c r="E30" s="63">
        <v>0</v>
      </c>
      <c r="F30" s="63">
        <v>0</v>
      </c>
      <c r="G30" s="62">
        <f t="shared" si="8"/>
        <v>550000</v>
      </c>
      <c r="H30" s="62">
        <f t="shared" si="6"/>
        <v>151525</v>
      </c>
      <c r="I30" s="62">
        <f t="shared" si="2"/>
        <v>701525</v>
      </c>
      <c r="J30" s="62">
        <f t="shared" si="5"/>
        <v>701525</v>
      </c>
      <c r="K30" s="64">
        <f t="shared" si="7"/>
        <v>15400000</v>
      </c>
    </row>
    <row r="31" spans="1:11" ht="10.5" customHeight="1">
      <c r="A31" s="161" t="s">
        <v>72</v>
      </c>
      <c r="B31" s="47">
        <f t="shared" si="1"/>
        <v>15400000</v>
      </c>
      <c r="C31" s="48">
        <v>0</v>
      </c>
      <c r="D31" s="48">
        <v>0</v>
      </c>
      <c r="E31" s="48">
        <v>0</v>
      </c>
      <c r="F31" s="48">
        <v>0</v>
      </c>
      <c r="G31" s="40">
        <f t="shared" si="8"/>
        <v>550000</v>
      </c>
      <c r="H31" s="40">
        <f t="shared" si="6"/>
        <v>146300</v>
      </c>
      <c r="I31" s="40">
        <f t="shared" si="2"/>
        <v>696300</v>
      </c>
      <c r="J31" s="40">
        <f t="shared" si="5"/>
        <v>696300</v>
      </c>
      <c r="K31" s="49">
        <f t="shared" si="7"/>
        <v>14850000</v>
      </c>
    </row>
    <row r="32" spans="1:11" ht="10.5" customHeight="1">
      <c r="A32" s="388" t="s">
        <v>73</v>
      </c>
      <c r="B32" s="65">
        <f t="shared" si="1"/>
        <v>14850000</v>
      </c>
      <c r="C32" s="63">
        <v>0</v>
      </c>
      <c r="D32" s="63">
        <v>0</v>
      </c>
      <c r="E32" s="63">
        <v>0</v>
      </c>
      <c r="F32" s="63">
        <v>0</v>
      </c>
      <c r="G32" s="62">
        <f t="shared" si="8"/>
        <v>550000</v>
      </c>
      <c r="H32" s="62">
        <f t="shared" si="6"/>
        <v>141075</v>
      </c>
      <c r="I32" s="62">
        <f t="shared" si="2"/>
        <v>691075</v>
      </c>
      <c r="J32" s="62">
        <f t="shared" si="5"/>
        <v>691075</v>
      </c>
      <c r="K32" s="64">
        <f t="shared" si="7"/>
        <v>14300000</v>
      </c>
    </row>
    <row r="33" spans="1:11" ht="10.5" customHeight="1">
      <c r="A33" s="161" t="s">
        <v>79</v>
      </c>
      <c r="B33" s="47">
        <f t="shared" si="1"/>
        <v>14300000</v>
      </c>
      <c r="C33" s="48">
        <v>0</v>
      </c>
      <c r="D33" s="48">
        <v>0</v>
      </c>
      <c r="E33" s="48">
        <v>0</v>
      </c>
      <c r="F33" s="48">
        <v>0</v>
      </c>
      <c r="G33" s="40">
        <f t="shared" si="8"/>
        <v>550000</v>
      </c>
      <c r="H33" s="40">
        <f t="shared" si="6"/>
        <v>135850</v>
      </c>
      <c r="I33" s="40">
        <f t="shared" si="2"/>
        <v>685850</v>
      </c>
      <c r="J33" s="40">
        <f t="shared" si="5"/>
        <v>685850</v>
      </c>
      <c r="K33" s="49">
        <f t="shared" si="7"/>
        <v>13750000</v>
      </c>
    </row>
    <row r="34" spans="1:11" ht="10.5" customHeight="1">
      <c r="A34" s="388" t="s">
        <v>78</v>
      </c>
      <c r="B34" s="65">
        <f t="shared" si="1"/>
        <v>13750000</v>
      </c>
      <c r="C34" s="63">
        <v>0</v>
      </c>
      <c r="D34" s="63">
        <v>0</v>
      </c>
      <c r="E34" s="63">
        <v>0</v>
      </c>
      <c r="F34" s="63">
        <v>0</v>
      </c>
      <c r="G34" s="62">
        <f t="shared" si="8"/>
        <v>550000</v>
      </c>
      <c r="H34" s="62">
        <f t="shared" si="6"/>
        <v>130625</v>
      </c>
      <c r="I34" s="62">
        <f t="shared" si="2"/>
        <v>680625</v>
      </c>
      <c r="J34" s="62">
        <f t="shared" si="5"/>
        <v>680625</v>
      </c>
      <c r="K34" s="64">
        <f t="shared" si="7"/>
        <v>13200000</v>
      </c>
    </row>
    <row r="35" spans="1:11" ht="10.5" customHeight="1">
      <c r="A35" s="161" t="s">
        <v>84</v>
      </c>
      <c r="B35" s="47">
        <f t="shared" si="1"/>
        <v>13200000</v>
      </c>
      <c r="C35" s="48">
        <v>0</v>
      </c>
      <c r="D35" s="48">
        <v>0</v>
      </c>
      <c r="E35" s="48">
        <v>0</v>
      </c>
      <c r="F35" s="48">
        <v>0</v>
      </c>
      <c r="G35" s="40">
        <f t="shared" si="8"/>
        <v>550000</v>
      </c>
      <c r="H35" s="40">
        <f t="shared" si="6"/>
        <v>125400</v>
      </c>
      <c r="I35" s="40">
        <f>G35+H35</f>
        <v>675400</v>
      </c>
      <c r="J35" s="40">
        <f t="shared" si="5"/>
        <v>675400</v>
      </c>
      <c r="K35" s="49">
        <f t="shared" si="7"/>
        <v>12650000</v>
      </c>
    </row>
    <row r="36" spans="1:11" ht="10.5" customHeight="1">
      <c r="A36" s="388" t="s">
        <v>116</v>
      </c>
      <c r="B36" s="65">
        <f t="shared" si="1"/>
        <v>12650000</v>
      </c>
      <c r="C36" s="63">
        <v>0</v>
      </c>
      <c r="D36" s="63">
        <v>0</v>
      </c>
      <c r="E36" s="63">
        <v>0</v>
      </c>
      <c r="F36" s="63">
        <v>0</v>
      </c>
      <c r="G36" s="62">
        <f t="shared" si="8"/>
        <v>550000</v>
      </c>
      <c r="H36" s="62">
        <f t="shared" si="6"/>
        <v>120175</v>
      </c>
      <c r="I36" s="62">
        <f t="shared" si="2"/>
        <v>670175</v>
      </c>
      <c r="J36" s="62">
        <f t="shared" si="5"/>
        <v>670175</v>
      </c>
      <c r="K36" s="64">
        <f t="shared" si="7"/>
        <v>12100000</v>
      </c>
    </row>
    <row r="37" spans="1:11" ht="10.5" customHeight="1">
      <c r="A37" s="161" t="s">
        <v>117</v>
      </c>
      <c r="B37" s="47">
        <f t="shared" si="1"/>
        <v>12100000</v>
      </c>
      <c r="C37" s="48">
        <v>0</v>
      </c>
      <c r="D37" s="48">
        <v>0</v>
      </c>
      <c r="E37" s="48">
        <v>0</v>
      </c>
      <c r="F37" s="48">
        <v>0</v>
      </c>
      <c r="G37" s="40">
        <f t="shared" si="8"/>
        <v>550000</v>
      </c>
      <c r="H37" s="40">
        <f t="shared" si="6"/>
        <v>114950</v>
      </c>
      <c r="I37" s="40">
        <f t="shared" si="2"/>
        <v>664950</v>
      </c>
      <c r="J37" s="40">
        <f t="shared" si="5"/>
        <v>664950</v>
      </c>
      <c r="K37" s="49">
        <f t="shared" si="7"/>
        <v>11550000</v>
      </c>
    </row>
    <row r="38" spans="1:11" ht="10.5" customHeight="1">
      <c r="A38" s="388" t="s">
        <v>118</v>
      </c>
      <c r="B38" s="65">
        <f t="shared" si="1"/>
        <v>11550000</v>
      </c>
      <c r="C38" s="63">
        <v>0</v>
      </c>
      <c r="D38" s="63">
        <v>0</v>
      </c>
      <c r="E38" s="63">
        <v>0</v>
      </c>
      <c r="F38" s="63">
        <v>0</v>
      </c>
      <c r="G38" s="62">
        <f t="shared" si="8"/>
        <v>550000</v>
      </c>
      <c r="H38" s="62">
        <f t="shared" si="6"/>
        <v>109725</v>
      </c>
      <c r="I38" s="62">
        <f t="shared" si="2"/>
        <v>659725</v>
      </c>
      <c r="J38" s="62">
        <f t="shared" si="5"/>
        <v>659725</v>
      </c>
      <c r="K38" s="64">
        <f t="shared" si="7"/>
        <v>11000000</v>
      </c>
    </row>
    <row r="39" spans="1:11" ht="10.5" customHeight="1">
      <c r="A39" s="158" t="s">
        <v>119</v>
      </c>
      <c r="B39" s="47">
        <f t="shared" si="1"/>
        <v>11000000</v>
      </c>
      <c r="C39" s="48">
        <v>0</v>
      </c>
      <c r="D39" s="48">
        <v>0</v>
      </c>
      <c r="E39" s="48">
        <v>0</v>
      </c>
      <c r="F39" s="48">
        <v>0</v>
      </c>
      <c r="G39" s="40">
        <f t="shared" si="8"/>
        <v>550000</v>
      </c>
      <c r="H39" s="40">
        <f t="shared" si="6"/>
        <v>104500</v>
      </c>
      <c r="I39" s="40">
        <f t="shared" si="2"/>
        <v>654500</v>
      </c>
      <c r="J39" s="40">
        <f t="shared" si="5"/>
        <v>654500</v>
      </c>
      <c r="K39" s="49">
        <f t="shared" si="7"/>
        <v>10450000</v>
      </c>
    </row>
    <row r="40" spans="1:11" ht="10.5" customHeight="1">
      <c r="A40" s="388" t="s">
        <v>268</v>
      </c>
      <c r="B40" s="65">
        <f t="shared" si="1"/>
        <v>10450000</v>
      </c>
      <c r="C40" s="63">
        <v>0</v>
      </c>
      <c r="D40" s="63">
        <v>0</v>
      </c>
      <c r="E40" s="63">
        <v>0</v>
      </c>
      <c r="F40" s="63">
        <v>0</v>
      </c>
      <c r="G40" s="62">
        <f t="shared" si="8"/>
        <v>550000</v>
      </c>
      <c r="H40" s="62">
        <f t="shared" si="6"/>
        <v>99275</v>
      </c>
      <c r="I40" s="62">
        <f aca="true" t="shared" si="9" ref="I40:I49">G40+H40</f>
        <v>649275</v>
      </c>
      <c r="J40" s="62">
        <f aca="true" t="shared" si="10" ref="J40:J49">SUM(F40,I40)</f>
        <v>649275</v>
      </c>
      <c r="K40" s="64">
        <f t="shared" si="7"/>
        <v>9900000</v>
      </c>
    </row>
    <row r="41" spans="1:11" ht="10.5" customHeight="1">
      <c r="A41" s="158" t="s">
        <v>120</v>
      </c>
      <c r="B41" s="47">
        <f t="shared" si="1"/>
        <v>9900000</v>
      </c>
      <c r="C41" s="48">
        <v>0</v>
      </c>
      <c r="D41" s="48">
        <v>0</v>
      </c>
      <c r="E41" s="48">
        <v>0</v>
      </c>
      <c r="F41" s="48">
        <v>0</v>
      </c>
      <c r="G41" s="40">
        <f t="shared" si="8"/>
        <v>550000</v>
      </c>
      <c r="H41" s="40">
        <f t="shared" si="6"/>
        <v>94050</v>
      </c>
      <c r="I41" s="40">
        <f t="shared" si="9"/>
        <v>644050</v>
      </c>
      <c r="J41" s="40">
        <f t="shared" si="10"/>
        <v>644050</v>
      </c>
      <c r="K41" s="49">
        <f t="shared" si="7"/>
        <v>9350000</v>
      </c>
    </row>
    <row r="42" spans="1:11" ht="10.5" customHeight="1">
      <c r="A42" s="388" t="s">
        <v>121</v>
      </c>
      <c r="B42" s="65">
        <f t="shared" si="1"/>
        <v>9350000</v>
      </c>
      <c r="C42" s="63">
        <v>0</v>
      </c>
      <c r="D42" s="63">
        <v>0</v>
      </c>
      <c r="E42" s="63">
        <v>0</v>
      </c>
      <c r="F42" s="63">
        <v>0</v>
      </c>
      <c r="G42" s="62">
        <f t="shared" si="8"/>
        <v>550000</v>
      </c>
      <c r="H42" s="62">
        <f t="shared" si="6"/>
        <v>88825</v>
      </c>
      <c r="I42" s="62">
        <f t="shared" si="9"/>
        <v>638825</v>
      </c>
      <c r="J42" s="62">
        <f t="shared" si="10"/>
        <v>638825</v>
      </c>
      <c r="K42" s="64">
        <f t="shared" si="7"/>
        <v>8800000</v>
      </c>
    </row>
    <row r="43" spans="1:11" ht="10.5" customHeight="1">
      <c r="A43" s="158" t="s">
        <v>122</v>
      </c>
      <c r="B43" s="47">
        <f t="shared" si="1"/>
        <v>8800000</v>
      </c>
      <c r="C43" s="48">
        <v>0</v>
      </c>
      <c r="D43" s="48">
        <v>0</v>
      </c>
      <c r="E43" s="48">
        <v>0</v>
      </c>
      <c r="F43" s="48">
        <v>0</v>
      </c>
      <c r="G43" s="40">
        <f t="shared" si="8"/>
        <v>550000</v>
      </c>
      <c r="H43" s="40">
        <f t="shared" si="6"/>
        <v>83600</v>
      </c>
      <c r="I43" s="40">
        <f t="shared" si="9"/>
        <v>633600</v>
      </c>
      <c r="J43" s="40">
        <f t="shared" si="10"/>
        <v>633600</v>
      </c>
      <c r="K43" s="49">
        <f t="shared" si="7"/>
        <v>8250000</v>
      </c>
    </row>
    <row r="44" spans="1:11" ht="10.5" customHeight="1">
      <c r="A44" s="388" t="s">
        <v>123</v>
      </c>
      <c r="B44" s="65">
        <f t="shared" si="1"/>
        <v>8250000</v>
      </c>
      <c r="C44" s="63">
        <v>0</v>
      </c>
      <c r="D44" s="63">
        <v>0</v>
      </c>
      <c r="E44" s="63">
        <v>0</v>
      </c>
      <c r="F44" s="63">
        <v>0</v>
      </c>
      <c r="G44" s="62">
        <f t="shared" si="8"/>
        <v>550000</v>
      </c>
      <c r="H44" s="62">
        <f t="shared" si="6"/>
        <v>78375</v>
      </c>
      <c r="I44" s="62">
        <f t="shared" si="9"/>
        <v>628375</v>
      </c>
      <c r="J44" s="62">
        <f t="shared" si="10"/>
        <v>628375</v>
      </c>
      <c r="K44" s="64">
        <f t="shared" si="7"/>
        <v>7700000</v>
      </c>
    </row>
    <row r="45" spans="1:11" ht="10.5" customHeight="1">
      <c r="A45" s="158" t="s">
        <v>124</v>
      </c>
      <c r="B45" s="47">
        <f t="shared" si="1"/>
        <v>7700000</v>
      </c>
      <c r="C45" s="48">
        <v>0</v>
      </c>
      <c r="D45" s="48">
        <v>0</v>
      </c>
      <c r="E45" s="48">
        <v>0</v>
      </c>
      <c r="F45" s="48">
        <v>0</v>
      </c>
      <c r="G45" s="40">
        <f t="shared" si="8"/>
        <v>550000</v>
      </c>
      <c r="H45" s="40">
        <f t="shared" si="6"/>
        <v>73150</v>
      </c>
      <c r="I45" s="40">
        <f t="shared" si="9"/>
        <v>623150</v>
      </c>
      <c r="J45" s="40">
        <f t="shared" si="10"/>
        <v>623150</v>
      </c>
      <c r="K45" s="49">
        <f t="shared" si="7"/>
        <v>7150000</v>
      </c>
    </row>
    <row r="46" spans="1:11" ht="10.5" customHeight="1">
      <c r="A46" s="388" t="s">
        <v>126</v>
      </c>
      <c r="B46" s="65">
        <f t="shared" si="1"/>
        <v>7150000</v>
      </c>
      <c r="C46" s="63">
        <v>0</v>
      </c>
      <c r="D46" s="63">
        <v>0</v>
      </c>
      <c r="E46" s="63">
        <v>0</v>
      </c>
      <c r="F46" s="63">
        <v>0</v>
      </c>
      <c r="G46" s="62">
        <f t="shared" si="8"/>
        <v>550000</v>
      </c>
      <c r="H46" s="62">
        <f t="shared" si="6"/>
        <v>67925</v>
      </c>
      <c r="I46" s="62">
        <f t="shared" si="9"/>
        <v>617925</v>
      </c>
      <c r="J46" s="62">
        <f t="shared" si="10"/>
        <v>617925</v>
      </c>
      <c r="K46" s="64">
        <f t="shared" si="7"/>
        <v>6600000</v>
      </c>
    </row>
    <row r="47" spans="1:11" ht="10.5" customHeight="1">
      <c r="A47" s="158" t="s">
        <v>151</v>
      </c>
      <c r="B47" s="47">
        <f t="shared" si="1"/>
        <v>6600000</v>
      </c>
      <c r="C47" s="48">
        <v>0</v>
      </c>
      <c r="D47" s="48">
        <v>0</v>
      </c>
      <c r="E47" s="48">
        <v>0</v>
      </c>
      <c r="F47" s="48">
        <v>0</v>
      </c>
      <c r="G47" s="40">
        <f t="shared" si="8"/>
        <v>550000</v>
      </c>
      <c r="H47" s="40">
        <f t="shared" si="6"/>
        <v>62700</v>
      </c>
      <c r="I47" s="40">
        <f t="shared" si="9"/>
        <v>612700</v>
      </c>
      <c r="J47" s="40">
        <f t="shared" si="10"/>
        <v>612700</v>
      </c>
      <c r="K47" s="49">
        <f t="shared" si="7"/>
        <v>6050000</v>
      </c>
    </row>
    <row r="48" spans="1:11" ht="10.5" customHeight="1">
      <c r="A48" s="388" t="s">
        <v>158</v>
      </c>
      <c r="B48" s="65">
        <f t="shared" si="1"/>
        <v>6050000</v>
      </c>
      <c r="C48" s="63">
        <v>0</v>
      </c>
      <c r="D48" s="63">
        <v>0</v>
      </c>
      <c r="E48" s="63">
        <v>0</v>
      </c>
      <c r="F48" s="63">
        <v>0</v>
      </c>
      <c r="G48" s="62">
        <f t="shared" si="8"/>
        <v>550000</v>
      </c>
      <c r="H48" s="62">
        <f t="shared" si="6"/>
        <v>57475</v>
      </c>
      <c r="I48" s="62">
        <f t="shared" si="9"/>
        <v>607475</v>
      </c>
      <c r="J48" s="62">
        <f t="shared" si="10"/>
        <v>607475</v>
      </c>
      <c r="K48" s="64">
        <f t="shared" si="7"/>
        <v>5500000</v>
      </c>
    </row>
    <row r="49" spans="1:11" ht="10.5" customHeight="1">
      <c r="A49" s="158" t="s">
        <v>171</v>
      </c>
      <c r="B49" s="47">
        <f t="shared" si="1"/>
        <v>5500000</v>
      </c>
      <c r="C49" s="48">
        <v>0</v>
      </c>
      <c r="D49" s="48">
        <v>0</v>
      </c>
      <c r="E49" s="48">
        <v>0</v>
      </c>
      <c r="F49" s="48">
        <v>0</v>
      </c>
      <c r="G49" s="40">
        <f t="shared" si="8"/>
        <v>550000</v>
      </c>
      <c r="H49" s="40">
        <f t="shared" si="6"/>
        <v>52250</v>
      </c>
      <c r="I49" s="40">
        <f t="shared" si="9"/>
        <v>602250</v>
      </c>
      <c r="J49" s="40">
        <f t="shared" si="10"/>
        <v>602250</v>
      </c>
      <c r="K49" s="49">
        <f t="shared" si="7"/>
        <v>4950000</v>
      </c>
    </row>
    <row r="50" spans="1:11" ht="10.5" customHeight="1">
      <c r="A50" s="388" t="s">
        <v>188</v>
      </c>
      <c r="B50" s="65">
        <f t="shared" si="1"/>
        <v>4950000</v>
      </c>
      <c r="C50" s="63">
        <v>0</v>
      </c>
      <c r="D50" s="63">
        <v>0</v>
      </c>
      <c r="E50" s="63">
        <v>0</v>
      </c>
      <c r="F50" s="63">
        <v>0</v>
      </c>
      <c r="G50" s="62">
        <f t="shared" si="8"/>
        <v>550000</v>
      </c>
      <c r="H50" s="62">
        <f t="shared" si="6"/>
        <v>47025</v>
      </c>
      <c r="I50" s="62">
        <f t="shared" si="2"/>
        <v>597025</v>
      </c>
      <c r="J50" s="62">
        <f t="shared" si="5"/>
        <v>597025</v>
      </c>
      <c r="K50" s="64">
        <f t="shared" si="7"/>
        <v>4400000</v>
      </c>
    </row>
    <row r="51" spans="1:11" ht="10.5" customHeight="1">
      <c r="A51" s="158" t="s">
        <v>175</v>
      </c>
      <c r="B51" s="47">
        <f t="shared" si="1"/>
        <v>4400000</v>
      </c>
      <c r="C51" s="48">
        <v>0</v>
      </c>
      <c r="D51" s="48">
        <v>0</v>
      </c>
      <c r="E51" s="48">
        <v>0</v>
      </c>
      <c r="F51" s="48">
        <v>0</v>
      </c>
      <c r="G51" s="40">
        <f t="shared" si="8"/>
        <v>550000</v>
      </c>
      <c r="H51" s="40">
        <f t="shared" si="6"/>
        <v>41800</v>
      </c>
      <c r="I51" s="40">
        <f t="shared" si="2"/>
        <v>591800</v>
      </c>
      <c r="J51" s="40">
        <f t="shared" si="5"/>
        <v>591800</v>
      </c>
      <c r="K51" s="49">
        <f t="shared" si="7"/>
        <v>3850000</v>
      </c>
    </row>
    <row r="52" spans="1:11" ht="10.5" customHeight="1">
      <c r="A52" s="388" t="s">
        <v>185</v>
      </c>
      <c r="B52" s="65">
        <f t="shared" si="1"/>
        <v>3850000</v>
      </c>
      <c r="C52" s="63">
        <v>0</v>
      </c>
      <c r="D52" s="63">
        <v>0</v>
      </c>
      <c r="E52" s="63">
        <v>0</v>
      </c>
      <c r="F52" s="63">
        <v>0</v>
      </c>
      <c r="G52" s="62">
        <f t="shared" si="8"/>
        <v>550000</v>
      </c>
      <c r="H52" s="62">
        <f t="shared" si="6"/>
        <v>36575</v>
      </c>
      <c r="I52" s="62">
        <f t="shared" si="2"/>
        <v>586575</v>
      </c>
      <c r="J52" s="62">
        <f t="shared" si="5"/>
        <v>586575</v>
      </c>
      <c r="K52" s="64">
        <f t="shared" si="7"/>
        <v>3300000</v>
      </c>
    </row>
    <row r="53" spans="1:11" ht="10.5" customHeight="1">
      <c r="A53" s="158" t="s">
        <v>186</v>
      </c>
      <c r="B53" s="47">
        <f t="shared" si="1"/>
        <v>3300000</v>
      </c>
      <c r="C53" s="48">
        <v>0</v>
      </c>
      <c r="D53" s="48">
        <v>0</v>
      </c>
      <c r="E53" s="48">
        <v>0</v>
      </c>
      <c r="F53" s="48">
        <v>0</v>
      </c>
      <c r="G53" s="40">
        <f t="shared" si="8"/>
        <v>550000</v>
      </c>
      <c r="H53" s="40">
        <f t="shared" si="6"/>
        <v>31350</v>
      </c>
      <c r="I53" s="40">
        <f t="shared" si="2"/>
        <v>581350</v>
      </c>
      <c r="J53" s="40">
        <f t="shared" si="5"/>
        <v>581350</v>
      </c>
      <c r="K53" s="49">
        <f t="shared" si="7"/>
        <v>2750000</v>
      </c>
    </row>
    <row r="54" spans="1:11" ht="10.5" customHeight="1">
      <c r="A54" s="388" t="s">
        <v>269</v>
      </c>
      <c r="B54" s="65">
        <f t="shared" si="1"/>
        <v>2750000</v>
      </c>
      <c r="C54" s="63">
        <v>0</v>
      </c>
      <c r="D54" s="63">
        <v>0</v>
      </c>
      <c r="E54" s="63">
        <v>0</v>
      </c>
      <c r="F54" s="63">
        <v>0</v>
      </c>
      <c r="G54" s="62">
        <f t="shared" si="8"/>
        <v>550000</v>
      </c>
      <c r="H54" s="62">
        <f t="shared" si="6"/>
        <v>26125</v>
      </c>
      <c r="I54" s="62">
        <f t="shared" si="2"/>
        <v>576125</v>
      </c>
      <c r="J54" s="62">
        <f t="shared" si="5"/>
        <v>576125</v>
      </c>
      <c r="K54" s="64">
        <f t="shared" si="7"/>
        <v>2200000</v>
      </c>
    </row>
    <row r="55" spans="1:11" ht="10.5" customHeight="1">
      <c r="A55" s="158" t="s">
        <v>187</v>
      </c>
      <c r="B55" s="47">
        <f t="shared" si="1"/>
        <v>2200000</v>
      </c>
      <c r="C55" s="48">
        <v>0</v>
      </c>
      <c r="D55" s="48">
        <v>0</v>
      </c>
      <c r="E55" s="48">
        <v>0</v>
      </c>
      <c r="F55" s="48">
        <v>0</v>
      </c>
      <c r="G55" s="40">
        <f t="shared" si="8"/>
        <v>550000</v>
      </c>
      <c r="H55" s="40">
        <f t="shared" si="6"/>
        <v>20900</v>
      </c>
      <c r="I55" s="40">
        <f t="shared" si="2"/>
        <v>570900</v>
      </c>
      <c r="J55" s="40">
        <f t="shared" si="5"/>
        <v>570900</v>
      </c>
      <c r="K55" s="49">
        <f t="shared" si="7"/>
        <v>1650000</v>
      </c>
    </row>
    <row r="56" spans="1:11" ht="10.5" customHeight="1">
      <c r="A56" s="388" t="s">
        <v>270</v>
      </c>
      <c r="B56" s="65">
        <f t="shared" si="1"/>
        <v>1650000</v>
      </c>
      <c r="C56" s="63">
        <v>0</v>
      </c>
      <c r="D56" s="63">
        <v>0</v>
      </c>
      <c r="E56" s="63">
        <v>0</v>
      </c>
      <c r="F56" s="63">
        <v>0</v>
      </c>
      <c r="G56" s="62">
        <f t="shared" si="8"/>
        <v>550000</v>
      </c>
      <c r="H56" s="62">
        <f t="shared" si="6"/>
        <v>15675</v>
      </c>
      <c r="I56" s="62">
        <f t="shared" si="2"/>
        <v>565675</v>
      </c>
      <c r="J56" s="62">
        <f t="shared" si="5"/>
        <v>565675</v>
      </c>
      <c r="K56" s="64">
        <f t="shared" si="7"/>
        <v>1100000</v>
      </c>
    </row>
    <row r="57" spans="1:11" ht="10.5" customHeight="1">
      <c r="A57" s="158" t="s">
        <v>223</v>
      </c>
      <c r="B57" s="47">
        <f t="shared" si="1"/>
        <v>1100000</v>
      </c>
      <c r="C57" s="48">
        <v>0</v>
      </c>
      <c r="D57" s="48">
        <v>0</v>
      </c>
      <c r="E57" s="48">
        <v>0</v>
      </c>
      <c r="F57" s="48">
        <v>0</v>
      </c>
      <c r="G57" s="40">
        <f t="shared" si="8"/>
        <v>550000</v>
      </c>
      <c r="H57" s="40">
        <f t="shared" si="6"/>
        <v>10450</v>
      </c>
      <c r="I57" s="40">
        <f t="shared" si="2"/>
        <v>560450</v>
      </c>
      <c r="J57" s="40">
        <f t="shared" si="5"/>
        <v>560450</v>
      </c>
      <c r="K57" s="49">
        <f t="shared" si="7"/>
        <v>550000</v>
      </c>
    </row>
    <row r="58" spans="1:11" ht="10.5" customHeight="1">
      <c r="A58" s="388" t="s">
        <v>250</v>
      </c>
      <c r="B58" s="65">
        <f t="shared" si="1"/>
        <v>550000</v>
      </c>
      <c r="C58" s="63">
        <v>0</v>
      </c>
      <c r="D58" s="63">
        <v>0</v>
      </c>
      <c r="E58" s="63">
        <v>0</v>
      </c>
      <c r="F58" s="63">
        <v>0</v>
      </c>
      <c r="G58" s="62">
        <f t="shared" si="8"/>
        <v>550000</v>
      </c>
      <c r="H58" s="62">
        <f t="shared" si="6"/>
        <v>5225</v>
      </c>
      <c r="I58" s="62">
        <f t="shared" si="2"/>
        <v>555225</v>
      </c>
      <c r="J58" s="62">
        <f t="shared" si="5"/>
        <v>555225</v>
      </c>
      <c r="K58" s="75">
        <f t="shared" si="7"/>
        <v>0</v>
      </c>
    </row>
    <row r="59" spans="1:11" ht="12.75" customHeight="1" thickBot="1">
      <c r="A59" s="100" t="s">
        <v>74</v>
      </c>
      <c r="B59" s="101" t="s">
        <v>51</v>
      </c>
      <c r="C59" s="102">
        <f>SUM(C9:C58)</f>
        <v>21450000</v>
      </c>
      <c r="D59" s="102">
        <f>SUM(B59:C59)</f>
        <v>21450000</v>
      </c>
      <c r="E59" s="103" t="s">
        <v>51</v>
      </c>
      <c r="F59" s="102">
        <f>SUM(F10:F58)</f>
        <v>117975</v>
      </c>
      <c r="G59" s="102">
        <f>SUM(G10:G58)</f>
        <v>21450000</v>
      </c>
      <c r="H59" s="102">
        <f>SUM(H10:H58)</f>
        <v>5012865</v>
      </c>
      <c r="I59" s="102">
        <f>SUM(I10:I58)</f>
        <v>26462865</v>
      </c>
      <c r="J59" s="102">
        <f>SUM(J10:J58)</f>
        <v>26580840</v>
      </c>
      <c r="K59" s="104"/>
    </row>
    <row r="60" spans="8:11" ht="9" customHeight="1">
      <c r="H60" s="547" t="s">
        <v>245</v>
      </c>
      <c r="I60" s="553"/>
      <c r="J60" s="553"/>
      <c r="K60" s="553"/>
    </row>
  </sheetData>
  <sheetProtection/>
  <mergeCells count="5">
    <mergeCell ref="A2:K2"/>
    <mergeCell ref="M9:N9"/>
    <mergeCell ref="H60:K60"/>
    <mergeCell ref="A3:K5"/>
    <mergeCell ref="G7:I7"/>
  </mergeCells>
  <printOptions horizontalCentered="1" verticalCentered="1"/>
  <pageMargins left="0.6692913385826772" right="0.31496062992125984" top="1.4173228346456694" bottom="0.9055118110236221" header="0.31496062992125984" footer="0.5118110236220472"/>
  <pageSetup horizontalDpi="300" verticalDpi="300" orientation="portrait" paperSize="9" r:id="rId1"/>
  <headerFooter alignWithMargins="0">
    <oddHeader>&amp;C&amp;"Arial Black,Normal"&amp;14PLANILHA XI&amp;"Arial,Negrito"&amp;12
PLANO DE DESEMBOLSO E DE AMORTIZAÇÃO DE UM FINANCIAMENTO
DO BID PARA O PROGRAMA DE DESENVOLVIMENTO URBANO SUSTENTÁVEL DE LONDRINA&amp;R&amp;"Arial Black,Normal"&amp;14ANEXO 11&amp;"Arial,Normal"&amp;10
&amp;12p. 1 de 1</oddHeader>
    <oddFooter>&amp;R&amp;8__________________________________________________________________________
CONSULTORIA/93-13-JAR - Avaliação Financeira e Orçamentária do Município de Londrina&amp;10
&amp;6Anexo 11 - Londrina- PR.xls</oddFooter>
  </headerFooter>
  <ignoredErrors>
    <ignoredError sqref="C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1"/>
  <sheetViews>
    <sheetView zoomScale="120" zoomScaleNormal="120" zoomScalePageLayoutView="0" workbookViewId="0" topLeftCell="A43">
      <selection activeCell="A50" sqref="A50:IV50"/>
    </sheetView>
  </sheetViews>
  <sheetFormatPr defaultColWidth="9.140625" defaultRowHeight="12.75"/>
  <cols>
    <col min="1" max="1" width="42.00390625" style="0" customWidth="1"/>
    <col min="2" max="4" width="12.7109375" style="0" customWidth="1"/>
    <col min="5" max="6" width="13.57421875" style="0" customWidth="1"/>
    <col min="7" max="7" width="16.7109375" style="0" customWidth="1"/>
    <col min="8" max="8" width="14.140625" style="0" customWidth="1"/>
    <col min="10" max="10" width="10.28125" style="0" customWidth="1"/>
  </cols>
  <sheetData>
    <row r="1" spans="1:7" ht="9.75" customHeight="1" thickBot="1">
      <c r="A1" s="490" t="s">
        <v>176</v>
      </c>
      <c r="B1" s="491"/>
      <c r="C1" s="491"/>
      <c r="D1" s="491"/>
      <c r="E1" s="491"/>
      <c r="F1" s="491"/>
      <c r="G1" s="432"/>
    </row>
    <row r="2" spans="1:7" ht="11.25" customHeight="1" thickBot="1">
      <c r="A2" s="239" t="s">
        <v>239</v>
      </c>
      <c r="B2" s="496" t="s">
        <v>34</v>
      </c>
      <c r="C2" s="497"/>
      <c r="D2" s="497"/>
      <c r="E2" s="497"/>
      <c r="F2" s="498"/>
      <c r="G2" s="447"/>
    </row>
    <row r="3" spans="1:16" ht="11.25" customHeight="1" thickBot="1">
      <c r="A3" s="240" t="s">
        <v>12</v>
      </c>
      <c r="B3" s="323" t="s">
        <v>173</v>
      </c>
      <c r="C3" s="237" t="s">
        <v>181</v>
      </c>
      <c r="D3" s="237" t="s">
        <v>182</v>
      </c>
      <c r="E3" s="237" t="s">
        <v>207</v>
      </c>
      <c r="F3" s="238" t="s">
        <v>248</v>
      </c>
      <c r="G3" s="448"/>
      <c r="K3" s="227" t="s">
        <v>202</v>
      </c>
      <c r="L3" s="227" t="s">
        <v>197</v>
      </c>
      <c r="M3" s="227" t="s">
        <v>198</v>
      </c>
      <c r="N3" s="227" t="s">
        <v>204</v>
      </c>
      <c r="O3" s="227" t="s">
        <v>200</v>
      </c>
      <c r="P3" s="227" t="s">
        <v>180</v>
      </c>
    </row>
    <row r="4" spans="1:16" ht="11.25" customHeight="1" thickBot="1">
      <c r="A4" s="241" t="s">
        <v>89</v>
      </c>
      <c r="B4" s="350">
        <f>+B5+B33+B32</f>
        <v>937453905.1440336</v>
      </c>
      <c r="C4" s="350">
        <f>+C5+C33+C32</f>
        <v>936730041.4286577</v>
      </c>
      <c r="D4" s="350">
        <f>+D5+D33+D32</f>
        <v>963791809.8721997</v>
      </c>
      <c r="E4" s="350">
        <f>+E5+E33+E32</f>
        <v>1085198058.823553</v>
      </c>
      <c r="F4" s="469">
        <f>+F5+F33+F32</f>
        <v>1198505697.7399998</v>
      </c>
      <c r="G4" s="449"/>
      <c r="I4" s="145" t="e">
        <f>#REF!/#REF!</f>
        <v>#REF!</v>
      </c>
      <c r="K4" s="142">
        <f>F4/B4</f>
        <v>1.2784689371536164</v>
      </c>
      <c r="L4" s="142">
        <f aca="true" t="shared" si="0" ref="L4:O7">C4/B4</f>
        <v>0.999227840738191</v>
      </c>
      <c r="M4" s="142">
        <f t="shared" si="0"/>
        <v>1.0288896130653273</v>
      </c>
      <c r="N4" s="142">
        <f t="shared" si="0"/>
        <v>1.1259672967831633</v>
      </c>
      <c r="O4" s="142">
        <f t="shared" si="0"/>
        <v>1.1044119439720357</v>
      </c>
      <c r="P4" s="141">
        <f>AVERAGE(L4:O4)</f>
        <v>1.0646241736396793</v>
      </c>
    </row>
    <row r="5" spans="1:16" ht="11.25" customHeight="1" thickBot="1">
      <c r="A5" s="324" t="s">
        <v>0</v>
      </c>
      <c r="B5" s="335">
        <f>+B6+B14+B15+B18+B19+B20+B21+B29-B41</f>
        <v>794615744.6809045</v>
      </c>
      <c r="C5" s="335">
        <f>+C6+C14+C15+C18+C19+C20+C21+C29-C41</f>
        <v>862325282.2289445</v>
      </c>
      <c r="D5" s="335">
        <f>+D6+D14+D15+D18+D19+D20+D21+D29-D41</f>
        <v>865922613.3782068</v>
      </c>
      <c r="E5" s="335">
        <f>+E6+E14+E15+E18+E19+E20+E21+E29-E41</f>
        <v>960893116.9231787</v>
      </c>
      <c r="F5" s="470">
        <f>+F6+F14+F15+F18+F19+F20+F21+F29-F41</f>
        <v>1068558830.4099998</v>
      </c>
      <c r="G5" s="434"/>
      <c r="I5" s="147" t="e">
        <f>#REF!/#REF!</f>
        <v>#REF!</v>
      </c>
      <c r="K5" s="142">
        <f>F5/B5</f>
        <v>1.3447491288246538</v>
      </c>
      <c r="L5" s="140">
        <f t="shared" si="0"/>
        <v>1.0852104152243174</v>
      </c>
      <c r="M5" s="140">
        <f t="shared" si="0"/>
        <v>1.004171663783258</v>
      </c>
      <c r="N5" s="140">
        <f t="shared" si="0"/>
        <v>1.109675509194136</v>
      </c>
      <c r="O5" s="140">
        <f t="shared" si="0"/>
        <v>1.11204754367642</v>
      </c>
      <c r="P5" s="141">
        <f aca="true" t="shared" si="1" ref="P5:P57">AVERAGE(L5:O5)</f>
        <v>1.0777762829695328</v>
      </c>
    </row>
    <row r="6" spans="1:16" ht="10.5" customHeight="1">
      <c r="A6" s="325" t="s">
        <v>17</v>
      </c>
      <c r="B6" s="336">
        <f>+B7+B12+B13</f>
        <v>212357001.8447492</v>
      </c>
      <c r="C6" s="268">
        <f>+C7+C12+C13</f>
        <v>231498402.53834876</v>
      </c>
      <c r="D6" s="269">
        <f>SUM(D7,D12,D13)</f>
        <v>253899968.83217898</v>
      </c>
      <c r="E6" s="269">
        <f>SUM(E7,E12,E13)</f>
        <v>307093078.8144875</v>
      </c>
      <c r="F6" s="345">
        <f>SUM(F7,F12,F13)</f>
        <v>328924458.06</v>
      </c>
      <c r="G6" s="434"/>
      <c r="I6" s="146" t="e">
        <f>#REF!/#REF!</f>
        <v>#REF!</v>
      </c>
      <c r="J6">
        <f>F6/F5</f>
        <v>0.30782063532598725</v>
      </c>
      <c r="K6" s="142">
        <f aca="true" t="shared" si="2" ref="K6:K57">F6/B6</f>
        <v>1.5489221226643206</v>
      </c>
      <c r="L6" s="143">
        <f t="shared" si="0"/>
        <v>1.0901378364137648</v>
      </c>
      <c r="M6" s="143">
        <f t="shared" si="0"/>
        <v>1.096767692771095</v>
      </c>
      <c r="N6" s="143">
        <f t="shared" si="0"/>
        <v>1.2095042005202756</v>
      </c>
      <c r="O6" s="143">
        <f t="shared" si="0"/>
        <v>1.071090430724753</v>
      </c>
      <c r="P6" s="141">
        <f t="shared" si="1"/>
        <v>1.1168750401074723</v>
      </c>
    </row>
    <row r="7" spans="1:16" ht="10.5" customHeight="1">
      <c r="A7" s="244" t="s">
        <v>1</v>
      </c>
      <c r="B7" s="329">
        <f>SUM(B8:B11)</f>
        <v>196063582.4524755</v>
      </c>
      <c r="C7" s="271">
        <f>SUM(C8:C11)</f>
        <v>213382249.26161858</v>
      </c>
      <c r="D7" s="272">
        <f>SUM(D8:D11)</f>
        <v>235136993.25475976</v>
      </c>
      <c r="E7" s="272">
        <f>SUM(E8:E11)</f>
        <v>284020394.7802471</v>
      </c>
      <c r="F7" s="294">
        <f>SUM(F8:F11)</f>
        <v>310630223.05</v>
      </c>
      <c r="G7" s="435"/>
      <c r="H7" s="229">
        <f>F7/F6</f>
        <v>0.9443816518908336</v>
      </c>
      <c r="I7" s="146" t="e">
        <f>#REF!/#REF!</f>
        <v>#REF!</v>
      </c>
      <c r="J7">
        <f aca="true" t="shared" si="3" ref="J7:J12">F7/F5</f>
        <v>0.2907001600752417</v>
      </c>
      <c r="K7" s="142">
        <f t="shared" si="2"/>
        <v>1.5843341183735369</v>
      </c>
      <c r="L7" s="139">
        <f t="shared" si="0"/>
        <v>1.0883318900558243</v>
      </c>
      <c r="M7" s="139">
        <f t="shared" si="0"/>
        <v>1.1019519855490352</v>
      </c>
      <c r="N7" s="139">
        <f t="shared" si="0"/>
        <v>1.2078932831828997</v>
      </c>
      <c r="O7" s="139">
        <f t="shared" si="0"/>
        <v>1.0936898503022698</v>
      </c>
      <c r="P7" s="141">
        <f t="shared" si="1"/>
        <v>1.1229667522725073</v>
      </c>
    </row>
    <row r="8" spans="1:16" ht="10.5" customHeight="1">
      <c r="A8" s="245" t="s">
        <v>94</v>
      </c>
      <c r="B8" s="337">
        <f>'Anexo 1 '!$B$9*($D$79/$D$75)</f>
        <v>80851166.41680388</v>
      </c>
      <c r="C8" s="275">
        <f>'Anexo 1 '!C9*($D$79/$D$76)</f>
        <v>88611399.76883583</v>
      </c>
      <c r="D8" s="275">
        <f>'Anexo 1 '!D9*($D$79/$D$77)</f>
        <v>97474774.45729765</v>
      </c>
      <c r="E8" s="275">
        <f>'Anexo 1 '!E9*($D$79/$D$78)</f>
        <v>118236118.32010064</v>
      </c>
      <c r="F8" s="283">
        <f>'Anexo 1 '!F9*($D$79/$D$79)</f>
        <v>111678225.43</v>
      </c>
      <c r="G8" s="450"/>
      <c r="I8" s="146" t="e">
        <f>#REF!/#REF!</f>
        <v>#REF!</v>
      </c>
      <c r="J8">
        <f t="shared" si="3"/>
        <v>0.33952545240533155</v>
      </c>
      <c r="K8" s="142">
        <f t="shared" si="2"/>
        <v>1.3812815619044565</v>
      </c>
      <c r="L8" s="139">
        <f aca="true" t="shared" si="4" ref="L8:L30">C8/B8</f>
        <v>1.0959817117792265</v>
      </c>
      <c r="M8" s="139">
        <f aca="true" t="shared" si="5" ref="M8:M57">D8/C8</f>
        <v>1.100025219233463</v>
      </c>
      <c r="N8" s="139">
        <f aca="true" t="shared" si="6" ref="N8:N57">E8/D8</f>
        <v>1.2129919661614426</v>
      </c>
      <c r="O8" s="139">
        <f aca="true" t="shared" si="7" ref="O8:O57">F8/E8</f>
        <v>0.944535620897614</v>
      </c>
      <c r="P8" s="141">
        <f t="shared" si="1"/>
        <v>1.0883836295179365</v>
      </c>
    </row>
    <row r="9" spans="1:16" ht="10.5" customHeight="1">
      <c r="A9" s="245" t="s">
        <v>148</v>
      </c>
      <c r="B9" s="337">
        <f>'Anexo 1 '!$B$10*($D$79/$D$75)</f>
        <v>74915753.96292108</v>
      </c>
      <c r="C9" s="275">
        <f>'Anexo 1 '!C10*($D$79/$D$76)</f>
        <v>85265551.22462396</v>
      </c>
      <c r="D9" s="275">
        <f>'Anexo 1 '!D10*($D$79/$D$77)</f>
        <v>91100987.91965339</v>
      </c>
      <c r="E9" s="275">
        <f>'Anexo 1 '!E10*($D$79/$D$78)</f>
        <v>108088899.94933775</v>
      </c>
      <c r="F9" s="283">
        <f>'Anexo 1 '!F10*($D$79/$D$79)</f>
        <v>126750852.94</v>
      </c>
      <c r="G9" s="450"/>
      <c r="I9" s="146" t="e">
        <f>#REF!/#REF!</f>
        <v>#REF!</v>
      </c>
      <c r="J9">
        <f t="shared" si="3"/>
        <v>0.4080441745026136</v>
      </c>
      <c r="K9" s="142">
        <f t="shared" si="2"/>
        <v>1.6919118641285285</v>
      </c>
      <c r="L9" s="139">
        <f t="shared" si="4"/>
        <v>1.1381524808096495</v>
      </c>
      <c r="M9" s="139">
        <f t="shared" si="5"/>
        <v>1.0684383858571034</v>
      </c>
      <c r="N9" s="139">
        <f t="shared" si="6"/>
        <v>1.1864734117336562</v>
      </c>
      <c r="O9" s="139">
        <f t="shared" si="7"/>
        <v>1.1726537414980565</v>
      </c>
      <c r="P9" s="141">
        <f t="shared" si="1"/>
        <v>1.1414295049746164</v>
      </c>
    </row>
    <row r="10" spans="1:16" ht="10.5" customHeight="1">
      <c r="A10" s="245" t="s">
        <v>127</v>
      </c>
      <c r="B10" s="337">
        <f>'Anexo 1 '!$B$11*($D$79/$D$75)</f>
        <v>20148326.553727947</v>
      </c>
      <c r="C10" s="275">
        <f>'Anexo 1 '!C11*($D$79/$D$76)</f>
        <v>17883686.9137284</v>
      </c>
      <c r="D10" s="275">
        <f>'Anexo 1 '!D11*($D$79/$D$77)</f>
        <v>19667440.231510393</v>
      </c>
      <c r="E10" s="275">
        <f>'Anexo 1 '!E11*($D$79/$D$78)</f>
        <v>23229789.53030312</v>
      </c>
      <c r="F10" s="283">
        <f>'Anexo 1 '!F11*($D$79/$D$79)</f>
        <v>36791766.75</v>
      </c>
      <c r="G10" s="450"/>
      <c r="I10" s="146" t="e">
        <f>#REF!/#REF!</f>
        <v>#REF!</v>
      </c>
      <c r="J10">
        <f t="shared" si="3"/>
        <v>0.329444406985685</v>
      </c>
      <c r="K10" s="142">
        <f t="shared" si="2"/>
        <v>1.8260457835984696</v>
      </c>
      <c r="L10" s="139">
        <f t="shared" si="4"/>
        <v>0.8876016013557945</v>
      </c>
      <c r="M10" s="139">
        <f t="shared" si="5"/>
        <v>1.0997419227023424</v>
      </c>
      <c r="N10" s="139">
        <f t="shared" si="6"/>
        <v>1.1811292805194482</v>
      </c>
      <c r="O10" s="139">
        <f t="shared" si="7"/>
        <v>1.5838183424781083</v>
      </c>
      <c r="P10" s="141">
        <f t="shared" si="1"/>
        <v>1.1880727867639234</v>
      </c>
    </row>
    <row r="11" spans="1:16" ht="10.5" customHeight="1">
      <c r="A11" s="245" t="s">
        <v>147</v>
      </c>
      <c r="B11" s="337">
        <f>'Anexo 1 '!$B$12*($D$79/$D$75)</f>
        <v>20148335.51902255</v>
      </c>
      <c r="C11" s="275">
        <f>'Anexo 1 '!C12*($D$79/$D$76)</f>
        <v>21621611.354430396</v>
      </c>
      <c r="D11" s="275">
        <f>'Anexo 1 '!D12*($D$79/$D$77)</f>
        <v>26893790.64629833</v>
      </c>
      <c r="E11" s="275">
        <f>'Anexo 1 '!E12*($D$79/$D$78)</f>
        <v>34465586.9805056</v>
      </c>
      <c r="F11" s="283">
        <f>'Anexo 1 '!F12*($D$79/$D$79)</f>
        <v>35409377.93</v>
      </c>
      <c r="G11" s="450"/>
      <c r="I11" s="146" t="e">
        <f>#REF!/#REF!</f>
        <v>#REF!</v>
      </c>
      <c r="J11">
        <f t="shared" si="3"/>
        <v>0.2793620485280815</v>
      </c>
      <c r="K11" s="142">
        <f t="shared" si="2"/>
        <v>1.7574343993115022</v>
      </c>
      <c r="L11" s="139">
        <f t="shared" si="4"/>
        <v>1.0731214662380864</v>
      </c>
      <c r="M11" s="139">
        <f t="shared" si="5"/>
        <v>1.2438384080374119</v>
      </c>
      <c r="N11" s="139">
        <f t="shared" si="6"/>
        <v>1.281544406803414</v>
      </c>
      <c r="O11" s="139">
        <f t="shared" si="7"/>
        <v>1.0273835739408188</v>
      </c>
      <c r="P11" s="141">
        <f t="shared" si="1"/>
        <v>1.1564719637549328</v>
      </c>
    </row>
    <row r="12" spans="1:16" ht="10.5" customHeight="1">
      <c r="A12" s="244" t="s">
        <v>2</v>
      </c>
      <c r="B12" s="329">
        <f>'Anexo 1 '!$B$13*($D$79/$D$75)</f>
        <v>16045927.180038571</v>
      </c>
      <c r="C12" s="271">
        <f>'Anexo 1 '!C13*($D$79/$D$76)</f>
        <v>17900483.852950323</v>
      </c>
      <c r="D12" s="271">
        <f>'Anexo 1 '!D13*($D$79/$D$77)</f>
        <v>18579555.80420669</v>
      </c>
      <c r="E12" s="271">
        <f>'Anexo 1 '!E13*($D$79/$D$78)</f>
        <v>22892012.186797</v>
      </c>
      <c r="F12" s="273">
        <f>'Anexo 1 '!F13*($D$79/$D$79)</f>
        <v>18132588.19</v>
      </c>
      <c r="G12" s="435"/>
      <c r="I12" s="146" t="e">
        <f>#REF!/#REF!</f>
        <v>#REF!</v>
      </c>
      <c r="J12">
        <f t="shared" si="3"/>
        <v>0.492843638447996</v>
      </c>
      <c r="K12" s="142">
        <f t="shared" si="2"/>
        <v>1.130043031265733</v>
      </c>
      <c r="L12" s="139">
        <f t="shared" si="4"/>
        <v>1.1155780312414014</v>
      </c>
      <c r="M12" s="139">
        <f t="shared" si="5"/>
        <v>1.037935955074446</v>
      </c>
      <c r="N12" s="139">
        <f t="shared" si="6"/>
        <v>1.2321076148448018</v>
      </c>
      <c r="O12" s="139">
        <f t="shared" si="7"/>
        <v>0.7920923701262922</v>
      </c>
      <c r="P12" s="141">
        <f t="shared" si="1"/>
        <v>1.0444284928217353</v>
      </c>
    </row>
    <row r="13" spans="1:16" ht="10.5" customHeight="1">
      <c r="A13" s="244" t="s">
        <v>104</v>
      </c>
      <c r="B13" s="329">
        <f>'Anexo 1 '!$B$14*($D$79/$D$75)</f>
        <v>247492.21223513986</v>
      </c>
      <c r="C13" s="271">
        <f>'Anexo 1 '!C14*($D$79/$D$76)</f>
        <v>215669.4237798533</v>
      </c>
      <c r="D13" s="271">
        <f>'Anexo 1 '!D14*($D$79/$D$77)</f>
        <v>183419.77321253414</v>
      </c>
      <c r="E13" s="271">
        <f>'Anexo 1 '!E14*($D$79/$D$78)</f>
        <v>180671.84744341538</v>
      </c>
      <c r="F13" s="273">
        <f>'Anexo 1 '!F14*($D$79/$D$79)</f>
        <v>161646.82</v>
      </c>
      <c r="G13" s="435"/>
      <c r="I13" s="146" t="e">
        <f>#REF!/#REF!</f>
        <v>#REF!</v>
      </c>
      <c r="K13" s="142">
        <f t="shared" si="2"/>
        <v>0.6531390161336511</v>
      </c>
      <c r="L13" s="139">
        <f t="shared" si="4"/>
        <v>0.8714190310560074</v>
      </c>
      <c r="M13" s="139">
        <f t="shared" si="5"/>
        <v>0.8504672104088417</v>
      </c>
      <c r="N13" s="139">
        <f t="shared" si="6"/>
        <v>0.9850183776754828</v>
      </c>
      <c r="O13" s="139">
        <f t="shared" si="7"/>
        <v>0.8946984396704427</v>
      </c>
      <c r="P13" s="141">
        <f t="shared" si="1"/>
        <v>0.9004007647026936</v>
      </c>
    </row>
    <row r="14" spans="1:16" ht="10.5" customHeight="1">
      <c r="A14" s="243" t="s">
        <v>86</v>
      </c>
      <c r="B14" s="330">
        <f>'Anexo 1 '!$B$15*($D$79/$D$75)</f>
        <v>36002058.636837535</v>
      </c>
      <c r="C14" s="279">
        <f>'Anexo 1 '!C15*($D$79/$D$76)</f>
        <v>38505272.722596064</v>
      </c>
      <c r="D14" s="279">
        <f>'Anexo 1 '!D15*($D$79/$D$77)</f>
        <v>36707084.88292454</v>
      </c>
      <c r="E14" s="279">
        <f>'Anexo 1 '!E15*($D$79/$D$78)</f>
        <v>38388881.230499215</v>
      </c>
      <c r="F14" s="280">
        <f>'Anexo 1 '!F15*($D$79/$D$79)</f>
        <v>45477891.61</v>
      </c>
      <c r="G14" s="434"/>
      <c r="H14" s="209"/>
      <c r="I14" s="146" t="e">
        <f>#REF!/#REF!</f>
        <v>#REF!</v>
      </c>
      <c r="K14" s="142">
        <f t="shared" si="2"/>
        <v>1.2632025315204263</v>
      </c>
      <c r="L14" s="139">
        <f t="shared" si="4"/>
        <v>1.069529748590466</v>
      </c>
      <c r="M14" s="139">
        <f t="shared" si="5"/>
        <v>0.9533002180603621</v>
      </c>
      <c r="N14" s="139">
        <f t="shared" si="6"/>
        <v>1.0458166687150092</v>
      </c>
      <c r="O14" s="139">
        <f t="shared" si="7"/>
        <v>1.1846631147424194</v>
      </c>
      <c r="P14" s="141">
        <f t="shared" si="1"/>
        <v>1.0633274375270643</v>
      </c>
    </row>
    <row r="15" spans="1:16" ht="10.5" customHeight="1">
      <c r="A15" s="243" t="s">
        <v>3</v>
      </c>
      <c r="B15" s="330">
        <f>+B16+B17</f>
        <v>27089196.349318426</v>
      </c>
      <c r="C15" s="279">
        <f>+C16+C17</f>
        <v>24273754.455400787</v>
      </c>
      <c r="D15" s="281">
        <f>+D16+D17</f>
        <v>25739635.62072254</v>
      </c>
      <c r="E15" s="281">
        <f>+E16+E17</f>
        <v>39070891.732182816</v>
      </c>
      <c r="F15" s="286">
        <f>+F16+F17</f>
        <v>44283676.62</v>
      </c>
      <c r="G15" s="434"/>
      <c r="H15" s="209"/>
      <c r="I15" s="146" t="e">
        <f>#REF!/#REF!</f>
        <v>#REF!</v>
      </c>
      <c r="K15" s="142">
        <f t="shared" si="2"/>
        <v>1.6347357097256299</v>
      </c>
      <c r="L15" s="139">
        <f t="shared" si="4"/>
        <v>0.896067721699375</v>
      </c>
      <c r="M15" s="139">
        <f t="shared" si="5"/>
        <v>1.060389552346139</v>
      </c>
      <c r="N15" s="139">
        <f t="shared" si="6"/>
        <v>1.5179271497039961</v>
      </c>
      <c r="O15" s="139">
        <f t="shared" si="7"/>
        <v>1.1334186310245742</v>
      </c>
      <c r="P15" s="141">
        <f t="shared" si="1"/>
        <v>1.1519507636935211</v>
      </c>
    </row>
    <row r="16" spans="1:16" ht="10.5" customHeight="1">
      <c r="A16" s="246" t="s">
        <v>172</v>
      </c>
      <c r="B16" s="329">
        <f>'Anexo 1 '!$B$17*($D$79/$D$75)</f>
        <v>26949021.652131792</v>
      </c>
      <c r="C16" s="271">
        <f>'Anexo 1 '!C17*($D$79/$D$76)</f>
        <v>24070264.443081725</v>
      </c>
      <c r="D16" s="271">
        <f>'Anexo 1 '!D17*($D$79/$D$77)</f>
        <v>25579503.58881377</v>
      </c>
      <c r="E16" s="271">
        <f>'Anexo 1 '!E17*($D$79/$D$78)</f>
        <v>38745304.53755067</v>
      </c>
      <c r="F16" s="273">
        <f>'Anexo 1 '!F17*($D$79/$D$79)</f>
        <v>43957987.62</v>
      </c>
      <c r="G16" s="435"/>
      <c r="H16" s="209"/>
      <c r="I16" s="146" t="e">
        <f>#REF!/#REF!</f>
        <v>#REF!</v>
      </c>
      <c r="K16" s="142">
        <f t="shared" si="2"/>
        <v>1.6311533749694664</v>
      </c>
      <c r="L16" s="139">
        <f t="shared" si="4"/>
        <v>0.8931776727849285</v>
      </c>
      <c r="M16" s="139">
        <f t="shared" si="5"/>
        <v>1.0627013944653954</v>
      </c>
      <c r="N16" s="139">
        <f t="shared" si="6"/>
        <v>1.5147011904677645</v>
      </c>
      <c r="O16" s="139">
        <f t="shared" si="7"/>
        <v>1.1345371560416402</v>
      </c>
      <c r="P16" s="141">
        <f t="shared" si="1"/>
        <v>1.1512793534399322</v>
      </c>
    </row>
    <row r="17" spans="1:16" ht="10.5" customHeight="1">
      <c r="A17" s="244" t="s">
        <v>4</v>
      </c>
      <c r="B17" s="329">
        <f>'Anexo 1 '!$B$18*($D$79/$D$75)</f>
        <v>140174.69718663485</v>
      </c>
      <c r="C17" s="271">
        <f>'Anexo 1 '!C18*($D$79/$D$76)</f>
        <v>203490.01231906065</v>
      </c>
      <c r="D17" s="271">
        <f>'Anexo 1 '!D18*($D$79/$D$77)</f>
        <v>160132.03190876893</v>
      </c>
      <c r="E17" s="271">
        <f>'Anexo 1 '!E18*($D$79/$D$78)</f>
        <v>325587.194632141</v>
      </c>
      <c r="F17" s="273">
        <f>'Anexo 1 '!F18*($D$79/$D$79)</f>
        <v>325689</v>
      </c>
      <c r="G17" s="435"/>
      <c r="H17" s="209"/>
      <c r="I17" s="146" t="e">
        <f>#REF!/#REF!</f>
        <v>#REF!</v>
      </c>
      <c r="K17" s="142">
        <f t="shared" si="2"/>
        <v>2.3234507121236234</v>
      </c>
      <c r="L17" s="139">
        <f t="shared" si="4"/>
        <v>1.4516886171555268</v>
      </c>
      <c r="M17" s="139">
        <f t="shared" si="5"/>
        <v>0.7869282137429482</v>
      </c>
      <c r="N17" s="139">
        <f t="shared" si="6"/>
        <v>2.033242136199432</v>
      </c>
      <c r="O17" s="139">
        <f t="shared" si="7"/>
        <v>1.0003126823460426</v>
      </c>
      <c r="P17" s="141">
        <f t="shared" si="1"/>
        <v>1.3180429123609876</v>
      </c>
    </row>
    <row r="18" spans="1:16" ht="10.5" customHeight="1">
      <c r="A18" s="243" t="s">
        <v>154</v>
      </c>
      <c r="B18" s="330">
        <f>'Anexo 1 '!$B$19*($D$79/$D$75)</f>
        <v>0</v>
      </c>
      <c r="C18" s="279">
        <f>'Anexo 1 '!C19*($D$79/$D$76)</f>
        <v>0</v>
      </c>
      <c r="D18" s="279">
        <f>'Anexo 1 '!D19*($D$79/$D$77)</f>
        <v>0</v>
      </c>
      <c r="E18" s="279">
        <f>'Anexo 1 '!E19*($D$79/$D$78)</f>
        <v>0</v>
      </c>
      <c r="F18" s="280">
        <f>'Anexo 1 '!F19*($D$79/$D$79)</f>
        <v>0</v>
      </c>
      <c r="G18" s="434"/>
      <c r="H18" s="209"/>
      <c r="I18" s="146"/>
      <c r="K18" s="142" t="e">
        <f t="shared" si="2"/>
        <v>#DIV/0!</v>
      </c>
      <c r="L18" s="139" t="e">
        <f t="shared" si="4"/>
        <v>#DIV/0!</v>
      </c>
      <c r="M18" s="139" t="e">
        <f t="shared" si="5"/>
        <v>#DIV/0!</v>
      </c>
      <c r="N18" s="139" t="e">
        <f t="shared" si="6"/>
        <v>#DIV/0!</v>
      </c>
      <c r="O18" s="139" t="e">
        <f t="shared" si="7"/>
        <v>#DIV/0!</v>
      </c>
      <c r="P18" s="141" t="e">
        <f t="shared" si="1"/>
        <v>#DIV/0!</v>
      </c>
    </row>
    <row r="19" spans="1:16" ht="10.5" customHeight="1">
      <c r="A19" s="243" t="s">
        <v>155</v>
      </c>
      <c r="B19" s="330">
        <f>'Anexo 1 '!$B$20*($D$79/$D$75)</f>
        <v>0</v>
      </c>
      <c r="C19" s="279">
        <f>'Anexo 1 '!C20*($D$79/$D$76)</f>
        <v>0</v>
      </c>
      <c r="D19" s="279">
        <f>'Anexo 1 '!D20*($D$79/$D$77)</f>
        <v>0</v>
      </c>
      <c r="E19" s="279">
        <f>'Anexo 1 '!E20*($D$79/$D$78)</f>
        <v>0</v>
      </c>
      <c r="F19" s="280">
        <f>'Anexo 1 '!F20*($D$79/$D$79)</f>
        <v>0</v>
      </c>
      <c r="G19" s="434"/>
      <c r="H19" s="209"/>
      <c r="I19" s="146"/>
      <c r="K19" s="142" t="e">
        <f t="shared" si="2"/>
        <v>#DIV/0!</v>
      </c>
      <c r="L19" s="139" t="e">
        <f t="shared" si="4"/>
        <v>#DIV/0!</v>
      </c>
      <c r="M19" s="139" t="e">
        <f t="shared" si="5"/>
        <v>#DIV/0!</v>
      </c>
      <c r="N19" s="139" t="e">
        <f t="shared" si="6"/>
        <v>#DIV/0!</v>
      </c>
      <c r="O19" s="139" t="e">
        <f t="shared" si="7"/>
        <v>#DIV/0!</v>
      </c>
      <c r="P19" s="141" t="e">
        <f t="shared" si="1"/>
        <v>#DIV/0!</v>
      </c>
    </row>
    <row r="20" spans="1:16" ht="10.5" customHeight="1">
      <c r="A20" s="243" t="s">
        <v>95</v>
      </c>
      <c r="B20" s="330">
        <f>'Anexo 1 '!$B$21*($D$79/$D$75)</f>
        <v>15853481.266541211</v>
      </c>
      <c r="C20" s="279">
        <f>'Anexo 1 '!C21*($D$79/$D$76)</f>
        <v>16869745.913509756</v>
      </c>
      <c r="D20" s="279">
        <f>'Anexo 1 '!D21*($D$79/$D$77)</f>
        <v>16014199.118300607</v>
      </c>
      <c r="E20" s="279">
        <f>'Anexo 1 '!E21*($D$79/$D$78)</f>
        <v>18353444.41090748</v>
      </c>
      <c r="F20" s="280">
        <f>'Anexo 1 '!F21*($D$79/$D$79)</f>
        <v>19246857.25</v>
      </c>
      <c r="G20" s="434"/>
      <c r="H20" s="431"/>
      <c r="I20" s="146" t="e">
        <f>#REF!/#REF!</f>
        <v>#REF!</v>
      </c>
      <c r="K20" s="142">
        <f t="shared" si="2"/>
        <v>1.214046109268159</v>
      </c>
      <c r="L20" s="139">
        <f t="shared" si="4"/>
        <v>1.0641035637461769</v>
      </c>
      <c r="M20" s="139">
        <f t="shared" si="5"/>
        <v>0.9492851404167265</v>
      </c>
      <c r="N20" s="139">
        <f t="shared" si="6"/>
        <v>1.14607319887347</v>
      </c>
      <c r="O20" s="139">
        <f t="shared" si="7"/>
        <v>1.0486782109717543</v>
      </c>
      <c r="P20" s="141">
        <f t="shared" si="1"/>
        <v>1.052035028502032</v>
      </c>
    </row>
    <row r="21" spans="1:16" ht="10.5" customHeight="1">
      <c r="A21" s="243" t="s">
        <v>14</v>
      </c>
      <c r="B21" s="330">
        <f>SUM(B22+B25+B28)</f>
        <v>481168831.1962497</v>
      </c>
      <c r="C21" s="279">
        <f>SUM(C22+C25+C28)</f>
        <v>528376648.20047164</v>
      </c>
      <c r="D21" s="281">
        <f>SUM(D22+D25+D28)</f>
        <v>506254145.53611493</v>
      </c>
      <c r="E21" s="281">
        <f>SUM(E22+E25+E28)</f>
        <v>538736261.9942198</v>
      </c>
      <c r="F21" s="286">
        <f>SUM(F22+F25+F28)</f>
        <v>500884378.53999996</v>
      </c>
      <c r="G21" s="434"/>
      <c r="H21" s="210">
        <f>B21/B5</f>
        <v>0.6055364928484694</v>
      </c>
      <c r="I21" s="146">
        <f>F21/F5</f>
        <v>0.4687475918829977</v>
      </c>
      <c r="K21" s="142">
        <f t="shared" si="2"/>
        <v>1.0409742819266468</v>
      </c>
      <c r="L21" s="139">
        <f t="shared" si="4"/>
        <v>1.0981107127967058</v>
      </c>
      <c r="M21" s="139">
        <f t="shared" si="5"/>
        <v>0.9581311877811012</v>
      </c>
      <c r="N21" s="139">
        <f t="shared" si="6"/>
        <v>1.06416167994774</v>
      </c>
      <c r="O21" s="139">
        <f t="shared" si="7"/>
        <v>0.9297394919842504</v>
      </c>
      <c r="P21" s="141">
        <f t="shared" si="1"/>
        <v>1.0125357681274494</v>
      </c>
    </row>
    <row r="22" spans="1:16" ht="10.5" customHeight="1">
      <c r="A22" s="244" t="s">
        <v>96</v>
      </c>
      <c r="B22" s="329">
        <f>+B23+B24</f>
        <v>245767487.83553302</v>
      </c>
      <c r="C22" s="271">
        <f>+C23+C24</f>
        <v>280265916.79959905</v>
      </c>
      <c r="D22" s="272">
        <f>+D23+D24</f>
        <v>273299736.7052305</v>
      </c>
      <c r="E22" s="272">
        <f>+E23+E24</f>
        <v>288753668.2277774</v>
      </c>
      <c r="F22" s="294">
        <f>+F23+F24</f>
        <v>257593021.57</v>
      </c>
      <c r="G22" s="435"/>
      <c r="H22" s="209"/>
      <c r="I22" s="146" t="e">
        <f>#REF!/#REF!</f>
        <v>#REF!</v>
      </c>
      <c r="K22" s="142">
        <f t="shared" si="2"/>
        <v>1.0481167539230436</v>
      </c>
      <c r="L22" s="139">
        <f t="shared" si="4"/>
        <v>1.1403701900031313</v>
      </c>
      <c r="M22" s="139">
        <f t="shared" si="5"/>
        <v>0.9751443908202735</v>
      </c>
      <c r="N22" s="139">
        <f t="shared" si="6"/>
        <v>1.0565457241519955</v>
      </c>
      <c r="O22" s="139">
        <f t="shared" si="7"/>
        <v>0.8920857115027298</v>
      </c>
      <c r="P22" s="141">
        <f t="shared" si="1"/>
        <v>1.0160365041195325</v>
      </c>
    </row>
    <row r="23" spans="1:16" ht="10.5" customHeight="1">
      <c r="A23" s="245" t="s">
        <v>97</v>
      </c>
      <c r="B23" s="337">
        <f>'Anexo 1 '!$B$24*($D$79/$D$75)</f>
        <v>53415827.35198441</v>
      </c>
      <c r="C23" s="271">
        <f>'Anexo 1 '!C24*($D$79/$D$76)</f>
        <v>50364326.8249701</v>
      </c>
      <c r="D23" s="275">
        <f>'Anexo 1 '!D24*($D$79/$D$77)</f>
        <v>49372836.06624744</v>
      </c>
      <c r="E23" s="275">
        <f>'Anexo 1 '!E24*($D$79/$D$78)</f>
        <v>54864747.675740674</v>
      </c>
      <c r="F23" s="283">
        <f>'Anexo 1 '!F24*($D$79/$D$79)</f>
        <v>53551171.57</v>
      </c>
      <c r="G23" s="450"/>
      <c r="H23" s="209"/>
      <c r="I23" s="146" t="e">
        <f>#REF!/#REF!</f>
        <v>#REF!</v>
      </c>
      <c r="J23">
        <v>43776842</v>
      </c>
      <c r="K23" s="142">
        <f t="shared" si="2"/>
        <v>1.0025337849234037</v>
      </c>
      <c r="L23" s="139">
        <f t="shared" si="4"/>
        <v>0.9428727274613495</v>
      </c>
      <c r="M23" s="139">
        <f t="shared" si="5"/>
        <v>0.9803136302770737</v>
      </c>
      <c r="N23" s="139">
        <f t="shared" si="6"/>
        <v>1.1112334645334998</v>
      </c>
      <c r="O23" s="139">
        <f t="shared" si="7"/>
        <v>0.9760579213176352</v>
      </c>
      <c r="P23" s="141">
        <f t="shared" si="1"/>
        <v>1.0026194358973897</v>
      </c>
    </row>
    <row r="24" spans="1:16" ht="10.5" customHeight="1">
      <c r="A24" s="245" t="s">
        <v>140</v>
      </c>
      <c r="B24" s="337">
        <f>'Anexo 1 '!$B$25*($D$79/$D$75)</f>
        <v>192351660.4835486</v>
      </c>
      <c r="C24" s="271">
        <f>'Anexo 1 '!C25*($D$79/$D$76)</f>
        <v>229901589.97462898</v>
      </c>
      <c r="D24" s="275">
        <f>'Anexo 1 '!D25*($D$79/$D$77)</f>
        <v>223926900.63898304</v>
      </c>
      <c r="E24" s="275">
        <f>'Anexo 1 '!E25*($D$79/$D$78)</f>
        <v>233888920.55203676</v>
      </c>
      <c r="F24" s="283">
        <f>'Anexo 1 '!F25*($D$79/$D$79)</f>
        <v>204041850</v>
      </c>
      <c r="G24" s="450"/>
      <c r="H24" s="209"/>
      <c r="I24" s="146" t="e">
        <f>#REF!/#REF!</f>
        <v>#REF!</v>
      </c>
      <c r="J24">
        <v>27837782</v>
      </c>
      <c r="K24" s="142">
        <f t="shared" si="2"/>
        <v>1.060775090202308</v>
      </c>
      <c r="L24" s="139">
        <f t="shared" si="4"/>
        <v>1.1952150004667723</v>
      </c>
      <c r="M24" s="139">
        <f t="shared" si="5"/>
        <v>0.9740119703552059</v>
      </c>
      <c r="N24" s="139">
        <f t="shared" si="6"/>
        <v>1.0444878211801563</v>
      </c>
      <c r="O24" s="139">
        <f t="shared" si="7"/>
        <v>0.8723878391435124</v>
      </c>
      <c r="P24" s="141">
        <f t="shared" si="1"/>
        <v>1.0215256577864118</v>
      </c>
    </row>
    <row r="25" spans="1:16" ht="10.5" customHeight="1">
      <c r="A25" s="244" t="s">
        <v>98</v>
      </c>
      <c r="B25" s="329">
        <f>+B26+B27</f>
        <v>167443070.439881</v>
      </c>
      <c r="C25" s="271">
        <f>+C26+C27</f>
        <v>176828601.99448103</v>
      </c>
      <c r="D25" s="271">
        <f>+D26+D27</f>
        <v>162921487.70627415</v>
      </c>
      <c r="E25" s="271">
        <f>+E26+E27</f>
        <v>169567894.19279096</v>
      </c>
      <c r="F25" s="273">
        <f>+F26+F27</f>
        <v>168774276.32999998</v>
      </c>
      <c r="G25" s="450"/>
      <c r="H25" s="209"/>
      <c r="I25" s="146" t="e">
        <f>#REF!/#REF!</f>
        <v>#REF!</v>
      </c>
      <c r="K25" s="142">
        <f t="shared" si="2"/>
        <v>1.0079501999492833</v>
      </c>
      <c r="L25" s="139">
        <f t="shared" si="4"/>
        <v>1.0560520750721054</v>
      </c>
      <c r="M25" s="139">
        <f t="shared" si="5"/>
        <v>0.9213525745759109</v>
      </c>
      <c r="N25" s="139">
        <f t="shared" si="6"/>
        <v>1.04079514973801</v>
      </c>
      <c r="O25" s="139">
        <f t="shared" si="7"/>
        <v>0.995319763410586</v>
      </c>
      <c r="P25" s="141">
        <f t="shared" si="1"/>
        <v>1.003379890699153</v>
      </c>
    </row>
    <row r="26" spans="1:16" ht="10.5" customHeight="1">
      <c r="A26" s="245" t="s">
        <v>99</v>
      </c>
      <c r="B26" s="337">
        <f>'Anexo 1 '!$B$27*($D$79/$D$75)</f>
        <v>109321731.94709782</v>
      </c>
      <c r="C26" s="271">
        <f>'Anexo 1 '!C27*($D$79/$D$76)</f>
        <v>112148541.23570672</v>
      </c>
      <c r="D26" s="275">
        <f>'Anexo 1 '!D27*($D$79/$D$77)</f>
        <v>107286729.43682213</v>
      </c>
      <c r="E26" s="275">
        <f>'Anexo 1 '!E27*($D$79/$D$78)</f>
        <v>110916771.27057482</v>
      </c>
      <c r="F26" s="283">
        <f>'Anexo 1 '!F27*($D$79/$D$79)</f>
        <v>115672117.33</v>
      </c>
      <c r="G26" s="450"/>
      <c r="H26" s="209"/>
      <c r="I26" s="146" t="e">
        <f>#REF!/#REF!</f>
        <v>#REF!</v>
      </c>
      <c r="K26" s="142">
        <f t="shared" si="2"/>
        <v>1.0580889569694634</v>
      </c>
      <c r="L26" s="139">
        <f t="shared" si="4"/>
        <v>1.0258577067730397</v>
      </c>
      <c r="M26" s="139">
        <f t="shared" si="5"/>
        <v>0.9566484615375751</v>
      </c>
      <c r="N26" s="139">
        <f t="shared" si="6"/>
        <v>1.033834956595357</v>
      </c>
      <c r="O26" s="139">
        <f t="shared" si="7"/>
        <v>1.0428731021012574</v>
      </c>
      <c r="P26" s="141">
        <f t="shared" si="1"/>
        <v>1.0148035567518072</v>
      </c>
    </row>
    <row r="27" spans="1:16" ht="10.5" customHeight="1">
      <c r="A27" s="245" t="s">
        <v>141</v>
      </c>
      <c r="B27" s="337">
        <f>'Anexo 1 '!$B$28*($D$79/$D$75)</f>
        <v>58121338.49278318</v>
      </c>
      <c r="C27" s="271">
        <f>'Anexo 1 '!C28*($D$79/$D$76)</f>
        <v>64680060.758774325</v>
      </c>
      <c r="D27" s="275">
        <f>'Anexo 1 '!D28*($D$79/$D$77)</f>
        <v>55634758.269452035</v>
      </c>
      <c r="E27" s="275">
        <f>'Anexo 1 '!E28*($D$79/$D$78)</f>
        <v>58651122.92221613</v>
      </c>
      <c r="F27" s="283">
        <f>'Anexo 1 '!F28*($D$79/$D$79)</f>
        <v>53102159</v>
      </c>
      <c r="G27" s="450"/>
      <c r="I27" s="151" t="e">
        <f>#REF!/#REF!</f>
        <v>#REF!</v>
      </c>
      <c r="J27" s="144"/>
      <c r="K27" s="142">
        <f t="shared" si="2"/>
        <v>0.9136430849161121</v>
      </c>
      <c r="L27" s="139">
        <f t="shared" si="4"/>
        <v>1.1128453410756451</v>
      </c>
      <c r="M27" s="139">
        <f t="shared" si="5"/>
        <v>0.86015315410638</v>
      </c>
      <c r="N27" s="139">
        <f t="shared" si="6"/>
        <v>1.0542172689625997</v>
      </c>
      <c r="O27" s="139">
        <f t="shared" si="7"/>
        <v>0.9053903208370752</v>
      </c>
      <c r="P27" s="141">
        <f t="shared" si="1"/>
        <v>0.983151521245425</v>
      </c>
    </row>
    <row r="28" spans="1:16" ht="10.5" customHeight="1">
      <c r="A28" s="244" t="s">
        <v>100</v>
      </c>
      <c r="B28" s="329">
        <f>'Anexo 1 '!$B$29*($D$79/$D$75)</f>
        <v>67958272.92083575</v>
      </c>
      <c r="C28" s="271">
        <f>'Anexo 1 '!C29*($D$79/$D$76)</f>
        <v>71282129.40639153</v>
      </c>
      <c r="D28" s="271">
        <f>'Anexo 1 '!D29*($D$79/$D$77)</f>
        <v>70032921.12461029</v>
      </c>
      <c r="E28" s="271">
        <f>'Anexo 1 '!E29*($D$79/$D$78)</f>
        <v>80414699.57365142</v>
      </c>
      <c r="F28" s="273">
        <f>'Anexo 1 '!F29*($D$79/$D$79)</f>
        <v>74517080.64</v>
      </c>
      <c r="G28" s="435"/>
      <c r="I28" s="146" t="e">
        <f>#REF!/#REF!</f>
        <v>#REF!</v>
      </c>
      <c r="K28" s="142">
        <f t="shared" si="2"/>
        <v>1.096512277862102</v>
      </c>
      <c r="L28" s="139">
        <f t="shared" si="4"/>
        <v>1.0489102554066925</v>
      </c>
      <c r="M28" s="139">
        <f t="shared" si="5"/>
        <v>0.9824751548223357</v>
      </c>
      <c r="N28" s="139">
        <f t="shared" si="6"/>
        <v>1.148241402505098</v>
      </c>
      <c r="O28" s="139">
        <f t="shared" si="7"/>
        <v>0.9266599394772368</v>
      </c>
      <c r="P28" s="141">
        <f t="shared" si="1"/>
        <v>1.0265716880528406</v>
      </c>
    </row>
    <row r="29" spans="1:16" ht="10.5" customHeight="1">
      <c r="A29" s="247" t="s">
        <v>85</v>
      </c>
      <c r="B29" s="338">
        <f>+B30+B31</f>
        <v>58635876.23723918</v>
      </c>
      <c r="C29" s="281">
        <f>+C30+C31</f>
        <v>66615273.09735017</v>
      </c>
      <c r="D29" s="281">
        <f>+D30+D31</f>
        <v>79573471.52420379</v>
      </c>
      <c r="E29" s="281">
        <f>+E30+E31</f>
        <v>101263779.03044155</v>
      </c>
      <c r="F29" s="286">
        <f>+F30+F31</f>
        <v>179204579.64</v>
      </c>
      <c r="G29" s="434"/>
      <c r="I29" s="146" t="e">
        <f>#REF!/#REF!</f>
        <v>#REF!</v>
      </c>
      <c r="K29" s="142">
        <f t="shared" si="2"/>
        <v>3.056227537471139</v>
      </c>
      <c r="L29" s="139">
        <f t="shared" si="4"/>
        <v>1.1360838683100183</v>
      </c>
      <c r="M29" s="139">
        <f t="shared" si="5"/>
        <v>1.1945229348218205</v>
      </c>
      <c r="N29" s="139">
        <f t="shared" si="6"/>
        <v>1.2725821444102792</v>
      </c>
      <c r="O29" s="139">
        <f t="shared" si="7"/>
        <v>1.7696809397773725</v>
      </c>
      <c r="P29" s="141">
        <f t="shared" si="1"/>
        <v>1.3432174718298726</v>
      </c>
    </row>
    <row r="30" spans="1:16" ht="10.5" customHeight="1">
      <c r="A30" s="246" t="s">
        <v>138</v>
      </c>
      <c r="B30" s="329">
        <f>'Anexo 1 '!$B$31*($D$79/$D$75)</f>
        <v>23956659.843978673</v>
      </c>
      <c r="C30" s="271">
        <f>'Anexo 1 '!C31*($D$79/$D$76)</f>
        <v>32993694.363030747</v>
      </c>
      <c r="D30" s="271">
        <f>'Anexo 1 '!D31*($D$79/$D$77)</f>
        <v>39004221.397493206</v>
      </c>
      <c r="E30" s="271">
        <f>'Anexo 1 '!E31*($D$79/$D$78)</f>
        <v>54170764.37517388</v>
      </c>
      <c r="F30" s="273">
        <f>'Anexo 1 '!F31*($D$79/$D$79)</f>
        <v>59942904.23</v>
      </c>
      <c r="G30" s="435"/>
      <c r="I30" s="146" t="e">
        <f>#REF!/#REF!</f>
        <v>#REF!</v>
      </c>
      <c r="K30" s="142">
        <f t="shared" si="2"/>
        <v>2.502139472713939</v>
      </c>
      <c r="L30" s="139">
        <f t="shared" si="4"/>
        <v>1.3772243116489156</v>
      </c>
      <c r="M30" s="139">
        <f t="shared" si="5"/>
        <v>1.1821719922700509</v>
      </c>
      <c r="N30" s="139">
        <f t="shared" si="6"/>
        <v>1.388843628568251</v>
      </c>
      <c r="O30" s="139">
        <f t="shared" si="7"/>
        <v>1.106554521085389</v>
      </c>
      <c r="P30" s="141">
        <f t="shared" si="1"/>
        <v>1.2636986133931516</v>
      </c>
    </row>
    <row r="31" spans="1:16" ht="10.5" customHeight="1">
      <c r="A31" s="246" t="s">
        <v>139</v>
      </c>
      <c r="B31" s="329">
        <f>'Anexo 1 '!$B$32*($D$79/$D$75)</f>
        <v>34679216.39326051</v>
      </c>
      <c r="C31" s="271">
        <f>'Anexo 1 '!C32*($D$79/$D$76)</f>
        <v>33621578.734319426</v>
      </c>
      <c r="D31" s="271">
        <f>'Anexo 1 '!D32*($D$79/$D$77)</f>
        <v>40569250.126710586</v>
      </c>
      <c r="E31" s="271">
        <f>'Anexo 1 '!E32*($D$79/$D$78)</f>
        <v>47093014.65526768</v>
      </c>
      <c r="F31" s="273">
        <f>'Anexo 1 '!F32*($D$79/$D$79)</f>
        <v>119261675.41</v>
      </c>
      <c r="G31" s="435"/>
      <c r="I31" s="148" t="e">
        <f>#REF!/#REF!</f>
        <v>#REF!</v>
      </c>
      <c r="K31" s="142">
        <f t="shared" si="2"/>
        <v>3.438995681378114</v>
      </c>
      <c r="L31" s="228">
        <f>C31/B31</f>
        <v>0.9695022619038584</v>
      </c>
      <c r="M31" s="139">
        <f t="shared" si="5"/>
        <v>1.2066432230113955</v>
      </c>
      <c r="N31" s="139">
        <f t="shared" si="6"/>
        <v>1.160805647335884</v>
      </c>
      <c r="O31" s="139">
        <f t="shared" si="7"/>
        <v>2.5324706070109224</v>
      </c>
      <c r="P31" s="141">
        <f t="shared" si="1"/>
        <v>1.4673554348155151</v>
      </c>
    </row>
    <row r="32" spans="1:16" ht="10.5" customHeight="1">
      <c r="A32" s="247" t="s">
        <v>209</v>
      </c>
      <c r="B32" s="329">
        <f>'Anexo 1 '!$B$33*($D$79/$D$75)</f>
        <v>66554195.68212455</v>
      </c>
      <c r="C32" s="271">
        <f>'Anexo 1 '!C33*($D$79/$D$76)</f>
        <v>72134918.10539374</v>
      </c>
      <c r="D32" s="271">
        <f>'Anexo 1 '!D33*($D$79/$D$77)</f>
        <v>70436282.10865201</v>
      </c>
      <c r="E32" s="271">
        <f>'Anexo 1 '!E33*($D$79/$D$78)</f>
        <v>77418675.29746254</v>
      </c>
      <c r="F32" s="273">
        <f>'Anexo 1 '!F33*($D$79/$D$79)</f>
        <v>96526370.01</v>
      </c>
      <c r="G32" s="435"/>
      <c r="I32" s="148"/>
      <c r="K32" s="142">
        <f t="shared" si="2"/>
        <v>1.450342371666968</v>
      </c>
      <c r="L32" s="228">
        <f>C32/B32</f>
        <v>1.0838523006111256</v>
      </c>
      <c r="M32" s="139">
        <f>D32/C32</f>
        <v>0.9764519591710091</v>
      </c>
      <c r="N32" s="139">
        <f>E32/D32</f>
        <v>1.0991306323925472</v>
      </c>
      <c r="O32" s="139">
        <f>F32/E32</f>
        <v>1.2468098897213207</v>
      </c>
      <c r="P32" s="141">
        <f>AVERAGE(L32:O32)</f>
        <v>1.1015611954740006</v>
      </c>
    </row>
    <row r="33" spans="1:16" ht="10.5" customHeight="1">
      <c r="A33" s="248" t="s">
        <v>5</v>
      </c>
      <c r="B33" s="339">
        <f>+B34+B37+B38+B39+B40</f>
        <v>76283964.78100455</v>
      </c>
      <c r="C33" s="287">
        <f>+C34+C37+C38+C39+C40</f>
        <v>2269841.0943193017</v>
      </c>
      <c r="D33" s="287">
        <f>+D34+D37+D38+D39+D40</f>
        <v>27432914.385340765</v>
      </c>
      <c r="E33" s="287">
        <f>+E34+E37+E38+E39+E40</f>
        <v>46886266.60291192</v>
      </c>
      <c r="F33" s="288">
        <f>+F34+F37+F38+F39+F40</f>
        <v>33420497.32</v>
      </c>
      <c r="G33" s="434"/>
      <c r="I33" s="147" t="e">
        <f>#REF!/#REF!</f>
        <v>#REF!</v>
      </c>
      <c r="J33" s="152"/>
      <c r="K33" s="142">
        <f t="shared" si="2"/>
        <v>0.43810645416691857</v>
      </c>
      <c r="L33" s="142">
        <f>C33/B33</f>
        <v>0.029755153666115086</v>
      </c>
      <c r="M33" s="139">
        <f t="shared" si="5"/>
        <v>12.085830349092156</v>
      </c>
      <c r="N33" s="139">
        <f t="shared" si="6"/>
        <v>1.7091245189744178</v>
      </c>
      <c r="O33" s="139">
        <f t="shared" si="7"/>
        <v>0.71279928519462</v>
      </c>
      <c r="P33" s="141">
        <f t="shared" si="1"/>
        <v>3.634377326731827</v>
      </c>
    </row>
    <row r="34" spans="1:16" ht="10.5" customHeight="1">
      <c r="A34" s="243" t="s">
        <v>18</v>
      </c>
      <c r="B34" s="338">
        <f>B35+B36</f>
        <v>69738500.3137779</v>
      </c>
      <c r="C34" s="281">
        <f>C35+C36</f>
        <v>0</v>
      </c>
      <c r="D34" s="281">
        <f>D35+D36</f>
        <v>13497198.156418527</v>
      </c>
      <c r="E34" s="281">
        <f>E35+E36</f>
        <v>26768679.248144634</v>
      </c>
      <c r="F34" s="286">
        <f>F35+F36</f>
        <v>0</v>
      </c>
      <c r="G34" s="434"/>
      <c r="I34" s="147"/>
      <c r="J34" s="152"/>
      <c r="K34" s="142">
        <f t="shared" si="2"/>
        <v>0</v>
      </c>
      <c r="L34" s="140">
        <f>C34/B34</f>
        <v>0</v>
      </c>
      <c r="M34" s="139" t="e">
        <f t="shared" si="5"/>
        <v>#DIV/0!</v>
      </c>
      <c r="N34" s="139">
        <f t="shared" si="6"/>
        <v>1.98327674661981</v>
      </c>
      <c r="O34" s="139">
        <f t="shared" si="7"/>
        <v>0</v>
      </c>
      <c r="P34" s="141" t="e">
        <f t="shared" si="1"/>
        <v>#DIV/0!</v>
      </c>
    </row>
    <row r="35" spans="1:16" ht="10.5" customHeight="1">
      <c r="A35" s="244" t="s">
        <v>19</v>
      </c>
      <c r="B35" s="329">
        <f>'Anexo 1 '!$B$36*($D$79/$D$75)</f>
        <v>69738500.3137779</v>
      </c>
      <c r="C35" s="271">
        <f>'Anexo 1 '!C36*($D$79/$D$76)</f>
        <v>0</v>
      </c>
      <c r="D35" s="271">
        <f>'Anexo 1 '!D36*($D$79/$D$77)</f>
        <v>13497198.156418527</v>
      </c>
      <c r="E35" s="271">
        <f>'Anexo 1 '!E36*($D$79/$D$78)</f>
        <v>26768679.248144634</v>
      </c>
      <c r="F35" s="273">
        <f>'Anexo 1 '!F36*($D$79/$D$79)</f>
        <v>0</v>
      </c>
      <c r="G35" s="435"/>
      <c r="I35" s="146" t="e">
        <f>#REF!/#REF!</f>
        <v>#REF!</v>
      </c>
      <c r="K35" s="142">
        <f t="shared" si="2"/>
        <v>0</v>
      </c>
      <c r="L35" s="139">
        <f>C35/B35</f>
        <v>0</v>
      </c>
      <c r="M35" s="139" t="e">
        <f t="shared" si="5"/>
        <v>#DIV/0!</v>
      </c>
      <c r="N35" s="139">
        <f t="shared" si="6"/>
        <v>1.98327674661981</v>
      </c>
      <c r="O35" s="139">
        <f t="shared" si="7"/>
        <v>0</v>
      </c>
      <c r="P35" s="141" t="e">
        <f t="shared" si="1"/>
        <v>#DIV/0!</v>
      </c>
    </row>
    <row r="36" spans="1:16" ht="10.5" customHeight="1">
      <c r="A36" s="244" t="s">
        <v>152</v>
      </c>
      <c r="B36" s="329">
        <f>'Anexo 1 '!$B$37*($D$79/$D$75)</f>
        <v>0</v>
      </c>
      <c r="C36" s="271">
        <f>'Anexo 1 '!C37*($D$79/$D$76)</f>
        <v>0</v>
      </c>
      <c r="D36" s="271">
        <f>'Anexo 1 '!D37*($D$79/$D$77)</f>
        <v>0</v>
      </c>
      <c r="E36" s="271">
        <f>'Anexo 1 '!E37*($D$79/$D$78)</f>
        <v>0</v>
      </c>
      <c r="F36" s="273">
        <f>'Anexo 1 '!F37*($D$79/$D$79)</f>
        <v>0</v>
      </c>
      <c r="G36" s="435"/>
      <c r="I36" s="147" t="e">
        <f>#REF!/#REF!</f>
        <v>#REF!</v>
      </c>
      <c r="J36" s="152"/>
      <c r="K36" s="142" t="e">
        <f t="shared" si="2"/>
        <v>#DIV/0!</v>
      </c>
      <c r="L36" s="139" t="e">
        <f aca="true" t="shared" si="8" ref="L36:L57">C36/B36</f>
        <v>#DIV/0!</v>
      </c>
      <c r="M36" s="139" t="e">
        <f t="shared" si="5"/>
        <v>#DIV/0!</v>
      </c>
      <c r="N36" s="139" t="e">
        <f t="shared" si="6"/>
        <v>#DIV/0!</v>
      </c>
      <c r="O36" s="139" t="e">
        <f t="shared" si="7"/>
        <v>#DIV/0!</v>
      </c>
      <c r="P36" s="141" t="e">
        <f t="shared" si="1"/>
        <v>#DIV/0!</v>
      </c>
    </row>
    <row r="37" spans="1:16" ht="10.5" customHeight="1">
      <c r="A37" s="243" t="s">
        <v>15</v>
      </c>
      <c r="B37" s="330">
        <f>'Anexo 1 '!$B$38*($D$79/$D$75)</f>
        <v>767694.1924673108</v>
      </c>
      <c r="C37" s="279">
        <f>'Anexo 1 '!C38*($D$79/$D$76)</f>
        <v>92802.7061241143</v>
      </c>
      <c r="D37" s="279">
        <f>'Anexo 1 '!D38*($D$79/$D$77)</f>
        <v>353043.9016653733</v>
      </c>
      <c r="E37" s="279">
        <f>'Anexo 1 '!E38*($D$79/$D$78)</f>
        <v>86044.95581911826</v>
      </c>
      <c r="F37" s="280">
        <f>'Anexo 1 '!F38*($D$79/$D$79)</f>
        <v>0</v>
      </c>
      <c r="G37" s="434"/>
      <c r="I37" s="147"/>
      <c r="J37" s="152"/>
      <c r="K37" s="142">
        <f t="shared" si="2"/>
        <v>0</v>
      </c>
      <c r="L37" s="139">
        <f t="shared" si="8"/>
        <v>0.12088499175153775</v>
      </c>
      <c r="M37" s="139">
        <f t="shared" si="5"/>
        <v>3.804241453834466</v>
      </c>
      <c r="N37" s="139">
        <f t="shared" si="6"/>
        <v>0.24372310472784917</v>
      </c>
      <c r="O37" s="139">
        <f t="shared" si="7"/>
        <v>0</v>
      </c>
      <c r="P37" s="141">
        <f>AVERAGE(L37:O37)</f>
        <v>1.0422123875784632</v>
      </c>
    </row>
    <row r="38" spans="1:16" ht="10.5" customHeight="1">
      <c r="A38" s="243" t="s">
        <v>170</v>
      </c>
      <c r="B38" s="330">
        <f>'Anexo 1 '!$B$39*($D$79/$D$75)</f>
        <v>0</v>
      </c>
      <c r="C38" s="279">
        <f>'Anexo 1 '!C39*($D$79/$D$76)</f>
        <v>0</v>
      </c>
      <c r="D38" s="279">
        <f>'Anexo 1 '!D39*($D$79/$D$77)</f>
        <v>0</v>
      </c>
      <c r="E38" s="279">
        <f>'Anexo 1 '!E39*($D$79/$D$78)</f>
        <v>0</v>
      </c>
      <c r="F38" s="280">
        <f>'Anexo 1 '!F39*($D$79/$D$79)</f>
        <v>0</v>
      </c>
      <c r="G38" s="434"/>
      <c r="I38" s="147" t="e">
        <f>#REF!/#REF!</f>
        <v>#REF!</v>
      </c>
      <c r="J38" s="152"/>
      <c r="K38" s="142" t="e">
        <f t="shared" si="2"/>
        <v>#DIV/0!</v>
      </c>
      <c r="L38" s="139" t="e">
        <f t="shared" si="8"/>
        <v>#DIV/0!</v>
      </c>
      <c r="M38" s="139" t="e">
        <f t="shared" si="5"/>
        <v>#DIV/0!</v>
      </c>
      <c r="N38" s="139" t="e">
        <f t="shared" si="6"/>
        <v>#DIV/0!</v>
      </c>
      <c r="O38" s="139" t="e">
        <f t="shared" si="7"/>
        <v>#DIV/0!</v>
      </c>
      <c r="P38" s="141" t="e">
        <f t="shared" si="1"/>
        <v>#DIV/0!</v>
      </c>
    </row>
    <row r="39" spans="1:16" ht="10.5" customHeight="1">
      <c r="A39" s="243" t="s">
        <v>20</v>
      </c>
      <c r="B39" s="330">
        <f>'Anexo 1 '!$B$40*($D$79/$D$75)</f>
        <v>5777770.274759331</v>
      </c>
      <c r="C39" s="279">
        <f>'Anexo 1 '!C40*($D$79/$D$76)</f>
        <v>2177038.3881951873</v>
      </c>
      <c r="D39" s="279">
        <f>'Anexo 1 '!D40*($D$79/$D$77)</f>
        <v>13582588.308618113</v>
      </c>
      <c r="E39" s="279">
        <f>'Anexo 1 '!E40*($D$79/$D$78)</f>
        <v>20031542.398948163</v>
      </c>
      <c r="F39" s="273">
        <f>'Anexo 1 '!F40*($D$79/$D$79)</f>
        <v>33420497.32</v>
      </c>
      <c r="G39" s="434"/>
      <c r="I39" s="147" t="e">
        <f>#REF!/#REF!</f>
        <v>#REF!</v>
      </c>
      <c r="J39" s="152"/>
      <c r="K39" s="142">
        <f t="shared" si="2"/>
        <v>5.784324355365983</v>
      </c>
      <c r="L39" s="139">
        <f t="shared" si="8"/>
        <v>0.37679559495568044</v>
      </c>
      <c r="M39" s="139">
        <f t="shared" si="5"/>
        <v>6.239021039899245</v>
      </c>
      <c r="N39" s="139">
        <f t="shared" si="6"/>
        <v>1.474795668086193</v>
      </c>
      <c r="O39" s="139">
        <f t="shared" si="7"/>
        <v>1.6683936091588674</v>
      </c>
      <c r="P39" s="141">
        <f t="shared" si="1"/>
        <v>2.4397514780249963</v>
      </c>
    </row>
    <row r="40" spans="1:16" ht="10.5" customHeight="1">
      <c r="A40" s="243" t="s">
        <v>6</v>
      </c>
      <c r="B40" s="330">
        <f>'Anexo 1 '!$B$41*($D$79/$D$75)</f>
        <v>0</v>
      </c>
      <c r="C40" s="279">
        <f>'Anexo 1 '!C41*($D$79/$D$76)</f>
        <v>0</v>
      </c>
      <c r="D40" s="279">
        <f>'Anexo 1 '!D41*($D$79/$D$77)</f>
        <v>84.01863875290456</v>
      </c>
      <c r="E40" s="279">
        <f>'Anexo 1 '!E41*($D$79/$D$78)</f>
        <v>0</v>
      </c>
      <c r="F40" s="280">
        <f>'Anexo 1 '!F41*($D$79/$D$79)</f>
        <v>0</v>
      </c>
      <c r="G40" s="434"/>
      <c r="I40" s="146" t="e">
        <f>-#REF!/#REF!</f>
        <v>#REF!</v>
      </c>
      <c r="K40" s="142" t="e">
        <f t="shared" si="2"/>
        <v>#DIV/0!</v>
      </c>
      <c r="L40" s="139" t="e">
        <f t="shared" si="8"/>
        <v>#DIV/0!</v>
      </c>
      <c r="M40" s="139" t="e">
        <f t="shared" si="5"/>
        <v>#DIV/0!</v>
      </c>
      <c r="N40" s="139">
        <f t="shared" si="6"/>
        <v>0</v>
      </c>
      <c r="O40" s="139" t="e">
        <f t="shared" si="7"/>
        <v>#DIV/0!</v>
      </c>
      <c r="P40" s="141" t="e">
        <f t="shared" si="1"/>
        <v>#DIV/0!</v>
      </c>
    </row>
    <row r="41" spans="1:16" ht="10.5" customHeight="1">
      <c r="A41" s="249" t="s">
        <v>179</v>
      </c>
      <c r="B41" s="329">
        <f>'Anexo 1 '!$B$42*($D$79/$D$75)</f>
        <v>36490700.85003073</v>
      </c>
      <c r="C41" s="271">
        <f>'Anexo 1 '!C42*($D$79/$D$76)</f>
        <v>43813814.69873264</v>
      </c>
      <c r="D41" s="271">
        <f>'Anexo 1 '!D42*($D$79/$D$77)</f>
        <v>52265892.13623846</v>
      </c>
      <c r="E41" s="271">
        <f>'Anexo 1 '!E42*($D$79/$D$78)</f>
        <v>82013220.2895596</v>
      </c>
      <c r="F41" s="273">
        <f>'Anexo 1 '!F42*($D$79/$D$79)</f>
        <v>49463011.31</v>
      </c>
      <c r="G41" s="435"/>
      <c r="I41" s="147" t="e">
        <f>#REF!/#REF!</f>
        <v>#REF!</v>
      </c>
      <c r="K41" s="142">
        <f t="shared" si="2"/>
        <v>1.3554963362661299</v>
      </c>
      <c r="L41" s="139">
        <f t="shared" si="8"/>
        <v>1.200684384736769</v>
      </c>
      <c r="M41" s="139">
        <f t="shared" si="5"/>
        <v>1.1929089602360123</v>
      </c>
      <c r="N41" s="139">
        <f t="shared" si="6"/>
        <v>1.569153743243883</v>
      </c>
      <c r="O41" s="139">
        <f t="shared" si="7"/>
        <v>0.6031102197348628</v>
      </c>
      <c r="P41" s="141">
        <f t="shared" si="1"/>
        <v>1.1414643269878817</v>
      </c>
    </row>
    <row r="42" spans="1:16" ht="10.5" customHeight="1">
      <c r="A42" s="243" t="s">
        <v>115</v>
      </c>
      <c r="B42" s="330">
        <f>+B43+B49</f>
        <v>854979658.865733</v>
      </c>
      <c r="C42" s="279">
        <f>+C43+C49</f>
        <v>880917141.7599182</v>
      </c>
      <c r="D42" s="279">
        <f>+D43+D49</f>
        <v>917469116.1413662</v>
      </c>
      <c r="E42" s="279">
        <f>+E43+E49</f>
        <v>1065575021.954308</v>
      </c>
      <c r="F42" s="280">
        <f>+F43+F49</f>
        <v>1085850528.46</v>
      </c>
      <c r="G42" s="434"/>
      <c r="I42" s="148" t="e">
        <f>#REF!/#REF!</f>
        <v>#REF!</v>
      </c>
      <c r="K42" s="142">
        <f t="shared" si="2"/>
        <v>1.2700308331318129</v>
      </c>
      <c r="L42" s="139">
        <f t="shared" si="8"/>
        <v>1.0303369590436753</v>
      </c>
      <c r="M42" s="139">
        <f t="shared" si="5"/>
        <v>1.0414930901542268</v>
      </c>
      <c r="N42" s="139">
        <f t="shared" si="6"/>
        <v>1.1614287644207975</v>
      </c>
      <c r="O42" s="139">
        <f t="shared" si="7"/>
        <v>1.019027760681276</v>
      </c>
      <c r="P42" s="141">
        <f t="shared" si="1"/>
        <v>1.063071643574994</v>
      </c>
    </row>
    <row r="43" spans="1:16" ht="10.5" customHeight="1">
      <c r="A43" s="248" t="s">
        <v>11</v>
      </c>
      <c r="B43" s="339">
        <f>+B44+B45+B48</f>
        <v>733755467.0723257</v>
      </c>
      <c r="C43" s="287">
        <f>+C44+C45+C48</f>
        <v>812267548.4415729</v>
      </c>
      <c r="D43" s="287">
        <f>+D44+D45+D48</f>
        <v>820228719.9992566</v>
      </c>
      <c r="E43" s="287">
        <f>+E44+E45+E48</f>
        <v>914088954.9575928</v>
      </c>
      <c r="F43" s="288">
        <f>+F44+F45+F48</f>
        <v>1011962038.3399999</v>
      </c>
      <c r="G43" s="434"/>
      <c r="I43" s="146" t="e">
        <f>#REF!/#REF!</f>
        <v>#REF!</v>
      </c>
      <c r="K43" s="142">
        <f t="shared" si="2"/>
        <v>1.3791543419467995</v>
      </c>
      <c r="L43" s="139">
        <f t="shared" si="8"/>
        <v>1.1070003357964873</v>
      </c>
      <c r="M43" s="139">
        <f t="shared" si="5"/>
        <v>1.0098011690519437</v>
      </c>
      <c r="N43" s="139">
        <f t="shared" si="6"/>
        <v>1.114431783074386</v>
      </c>
      <c r="O43" s="139">
        <f t="shared" si="7"/>
        <v>1.1070717273757538</v>
      </c>
      <c r="P43" s="141">
        <f t="shared" si="1"/>
        <v>1.0845762538246428</v>
      </c>
    </row>
    <row r="44" spans="1:16" ht="10.5" customHeight="1">
      <c r="A44" s="243" t="s">
        <v>7</v>
      </c>
      <c r="B44" s="330">
        <f>'Anexo 1 '!$B$45*($D$79/$D$75)</f>
        <v>312417753.6099073</v>
      </c>
      <c r="C44" s="279">
        <f>'Anexo 1 '!C45*($D$79/$D$76)</f>
        <v>302497536.57843</v>
      </c>
      <c r="D44" s="279">
        <f>'Anexo 1 '!D45*($D$79/$D$77)</f>
        <v>300274041.28901255</v>
      </c>
      <c r="E44" s="279">
        <f>'Anexo 1 '!E45*($D$79/$D$78)</f>
        <v>347330492.95209396</v>
      </c>
      <c r="F44" s="280">
        <f>'Anexo 1 '!F45*($D$79/$D$79)</f>
        <v>390634335.38</v>
      </c>
      <c r="G44" s="434"/>
      <c r="H44">
        <f>B44/B43</f>
        <v>0.42577911529088824</v>
      </c>
      <c r="I44" s="146">
        <f>F44/F43</f>
        <v>0.38601678776487297</v>
      </c>
      <c r="K44" s="142">
        <f t="shared" si="2"/>
        <v>1.2503589532487192</v>
      </c>
      <c r="L44" s="139">
        <f t="shared" si="8"/>
        <v>0.9682469484629098</v>
      </c>
      <c r="M44" s="139">
        <f t="shared" si="5"/>
        <v>0.992649542490271</v>
      </c>
      <c r="N44" s="139">
        <f t="shared" si="6"/>
        <v>1.156711687300967</v>
      </c>
      <c r="O44" s="139">
        <f t="shared" si="7"/>
        <v>1.1246761897000468</v>
      </c>
      <c r="P44" s="141">
        <f t="shared" si="1"/>
        <v>1.0605710919885487</v>
      </c>
    </row>
    <row r="45" spans="1:16" ht="10.5" customHeight="1">
      <c r="A45" s="243" t="s">
        <v>76</v>
      </c>
      <c r="B45" s="338">
        <f>B46+B47</f>
        <v>7589747.337112708</v>
      </c>
      <c r="C45" s="281">
        <f>C46+C47</f>
        <v>14532177.23002766</v>
      </c>
      <c r="D45" s="281">
        <f>D46+D47</f>
        <v>11519399.184451623</v>
      </c>
      <c r="E45" s="281">
        <f>E46+E47</f>
        <v>14850809.940584037</v>
      </c>
      <c r="F45" s="286">
        <f>F46+F47</f>
        <v>14732852.96</v>
      </c>
      <c r="G45" s="434"/>
      <c r="I45" s="146" t="e">
        <f>#REF!/#REF!</f>
        <v>#REF!</v>
      </c>
      <c r="K45" s="142">
        <f t="shared" si="2"/>
        <v>1.9411519653570803</v>
      </c>
      <c r="L45" s="139">
        <f t="shared" si="8"/>
        <v>1.9147115950708304</v>
      </c>
      <c r="M45" s="139">
        <f t="shared" si="5"/>
        <v>0.7926822665394714</v>
      </c>
      <c r="N45" s="139">
        <f t="shared" si="6"/>
        <v>1.289200044445808</v>
      </c>
      <c r="O45" s="139">
        <f t="shared" si="7"/>
        <v>0.9920572021959768</v>
      </c>
      <c r="P45" s="141">
        <f t="shared" si="1"/>
        <v>1.2471627770630218</v>
      </c>
    </row>
    <row r="46" spans="1:16" ht="10.5" customHeight="1">
      <c r="A46" s="244" t="s">
        <v>21</v>
      </c>
      <c r="B46" s="329">
        <f>'Anexo 1 '!$B$47*($D$79/$D$75)</f>
        <v>7589747.337112708</v>
      </c>
      <c r="C46" s="271">
        <f>'Anexo 1 '!C47*($D$79/$D$76)</f>
        <v>14532177.23002766</v>
      </c>
      <c r="D46" s="271">
        <f>'Anexo 1 '!D47*($D$79/$D$77)</f>
        <v>11519399.184451623</v>
      </c>
      <c r="E46" s="271">
        <f>'Anexo 1 '!E47*($D$79/$D$78)</f>
        <v>14850809.940584037</v>
      </c>
      <c r="F46" s="273">
        <f>'Anexo 1 '!F47*($D$79/$D$79)</f>
        <v>14732852.96</v>
      </c>
      <c r="G46" s="435"/>
      <c r="I46" s="146"/>
      <c r="K46" s="142">
        <f t="shared" si="2"/>
        <v>1.9411519653570803</v>
      </c>
      <c r="L46" s="139">
        <f t="shared" si="8"/>
        <v>1.9147115950708304</v>
      </c>
      <c r="M46" s="139">
        <f t="shared" si="5"/>
        <v>0.7926822665394714</v>
      </c>
      <c r="N46" s="139">
        <f t="shared" si="6"/>
        <v>1.289200044445808</v>
      </c>
      <c r="O46" s="139">
        <f t="shared" si="7"/>
        <v>0.9920572021959768</v>
      </c>
      <c r="P46" s="141">
        <f t="shared" si="1"/>
        <v>1.2471627770630218</v>
      </c>
    </row>
    <row r="47" spans="1:16" ht="10.5" customHeight="1">
      <c r="A47" s="244" t="s">
        <v>22</v>
      </c>
      <c r="B47" s="329">
        <f>'Anexo 1 '!$B$48*($D$79/$D$75)</f>
        <v>0</v>
      </c>
      <c r="C47" s="271">
        <f>'Anexo 1 '!C48*($D$79/$D$76)</f>
        <v>0</v>
      </c>
      <c r="D47" s="271">
        <f>'Anexo 1 '!D48*($D$79/$D$77)</f>
        <v>0</v>
      </c>
      <c r="E47" s="271">
        <f>'Anexo 1 '!E48*($D$79/$D$78)</f>
        <v>0</v>
      </c>
      <c r="F47" s="273">
        <f>'Anexo 1 '!F48*($D$79/$D$79)</f>
        <v>0</v>
      </c>
      <c r="G47" s="435"/>
      <c r="I47" s="146" t="e">
        <f>#REF!/#REF!</f>
        <v>#REF!</v>
      </c>
      <c r="K47" s="142" t="e">
        <f t="shared" si="2"/>
        <v>#DIV/0!</v>
      </c>
      <c r="L47" s="139" t="e">
        <f t="shared" si="8"/>
        <v>#DIV/0!</v>
      </c>
      <c r="M47" s="139" t="e">
        <f t="shared" si="5"/>
        <v>#DIV/0!</v>
      </c>
      <c r="N47" s="139" t="e">
        <f t="shared" si="6"/>
        <v>#DIV/0!</v>
      </c>
      <c r="O47" s="139" t="e">
        <f t="shared" si="7"/>
        <v>#DIV/0!</v>
      </c>
      <c r="P47" s="141" t="e">
        <f t="shared" si="1"/>
        <v>#DIV/0!</v>
      </c>
    </row>
    <row r="48" spans="1:16" ht="10.5" customHeight="1">
      <c r="A48" s="243" t="s">
        <v>8</v>
      </c>
      <c r="B48" s="330">
        <f>'Anexo 1 '!$B$49*($D$79/$D$75)</f>
        <v>413747966.1253057</v>
      </c>
      <c r="C48" s="279">
        <f>'Anexo 1 '!C49*($D$79/$D$76)</f>
        <v>495237834.63311523</v>
      </c>
      <c r="D48" s="279">
        <f>'Anexo 1 '!D49*($D$79/$D$77)</f>
        <v>508435279.5257925</v>
      </c>
      <c r="E48" s="279">
        <f>'Anexo 1 '!E49*($D$79/$D$78)</f>
        <v>551907652.0649148</v>
      </c>
      <c r="F48" s="280">
        <f>'Anexo 1 '!F49*($D$79/$D$79)</f>
        <v>606594850</v>
      </c>
      <c r="G48" s="434"/>
      <c r="H48">
        <f>B48/B43</f>
        <v>0.5638771834657048</v>
      </c>
      <c r="I48" s="148">
        <f>F48/F43</f>
        <v>0.5994245110172757</v>
      </c>
      <c r="K48" s="142">
        <f t="shared" si="2"/>
        <v>1.4660974788122332</v>
      </c>
      <c r="L48" s="139">
        <f t="shared" si="8"/>
        <v>1.196955333148707</v>
      </c>
      <c r="M48" s="139">
        <f t="shared" si="5"/>
        <v>1.0266487008256433</v>
      </c>
      <c r="N48" s="139">
        <f t="shared" si="6"/>
        <v>1.0855022739170819</v>
      </c>
      <c r="O48" s="139">
        <f t="shared" si="7"/>
        <v>1.099087587806543</v>
      </c>
      <c r="P48" s="141">
        <f t="shared" si="1"/>
        <v>1.1020484739244938</v>
      </c>
    </row>
    <row r="49" spans="1:16" ht="10.5" customHeight="1">
      <c r="A49" s="248" t="s">
        <v>9</v>
      </c>
      <c r="B49" s="339">
        <f>+B50+B51+B52</f>
        <v>121224191.79340732</v>
      </c>
      <c r="C49" s="287">
        <f>+C50+C51+C52</f>
        <v>68649593.31834534</v>
      </c>
      <c r="D49" s="287">
        <f>+D50+D51+D52+D56</f>
        <v>97240396.14210963</v>
      </c>
      <c r="E49" s="287">
        <f>+E50+E51+E52+E56</f>
        <v>151486066.99671525</v>
      </c>
      <c r="F49" s="288">
        <f>+F50+F51+F52+F56</f>
        <v>73888490.12</v>
      </c>
      <c r="G49" s="434"/>
      <c r="I49" s="146" t="e">
        <f>#REF!/#REF!</f>
        <v>#REF!</v>
      </c>
      <c r="K49" s="142">
        <f t="shared" si="2"/>
        <v>0.609519346154291</v>
      </c>
      <c r="L49" s="139">
        <f t="shared" si="8"/>
        <v>0.5663027511483792</v>
      </c>
      <c r="M49" s="139">
        <f t="shared" si="5"/>
        <v>1.4164744675351766</v>
      </c>
      <c r="N49" s="139">
        <f t="shared" si="6"/>
        <v>1.5578511915493392</v>
      </c>
      <c r="O49" s="139">
        <f t="shared" si="7"/>
        <v>0.4877576636906295</v>
      </c>
      <c r="P49" s="141">
        <f t="shared" si="1"/>
        <v>1.007096518480881</v>
      </c>
    </row>
    <row r="50" spans="1:16" ht="10.5" customHeight="1">
      <c r="A50" s="243" t="s">
        <v>10</v>
      </c>
      <c r="B50" s="330">
        <f>'Anexo 1 '!$B$51*($D$79/$D$75)</f>
        <v>26126916.152820714</v>
      </c>
      <c r="C50" s="279">
        <f>'Anexo 1 '!C51*($D$79/$D$76)</f>
        <v>23899658.116607994</v>
      </c>
      <c r="D50" s="279">
        <f>'Anexo 1 '!D51*($D$79/$D$77)</f>
        <v>59016279.165142</v>
      </c>
      <c r="E50" s="279">
        <f>'Anexo 1 '!E51*($D$79/$D$78)</f>
        <v>66094101.47214808</v>
      </c>
      <c r="F50" s="280">
        <f>'Anexo 1 '!F51*($D$79/$D$79)</f>
        <v>37418245.87</v>
      </c>
      <c r="G50" s="434"/>
      <c r="I50" s="146" t="e">
        <f>#REF!/#REF!</f>
        <v>#REF!</v>
      </c>
      <c r="K50" s="142">
        <f t="shared" si="2"/>
        <v>1.4321723103918733</v>
      </c>
      <c r="L50" s="139">
        <f t="shared" si="8"/>
        <v>0.914752356413397</v>
      </c>
      <c r="M50" s="139">
        <f t="shared" si="5"/>
        <v>2.469335706694954</v>
      </c>
      <c r="N50" s="139">
        <f t="shared" si="6"/>
        <v>1.119929999097378</v>
      </c>
      <c r="O50" s="139">
        <f t="shared" si="7"/>
        <v>0.5661359340177726</v>
      </c>
      <c r="P50" s="141">
        <f t="shared" si="1"/>
        <v>1.2675384990558753</v>
      </c>
    </row>
    <row r="51" spans="1:16" ht="10.5" customHeight="1">
      <c r="A51" s="243" t="s">
        <v>23</v>
      </c>
      <c r="B51" s="330">
        <f>'Anexo 1 '!$B$52*($D$79/$D$75)</f>
        <v>71397229.63577293</v>
      </c>
      <c r="C51" s="279">
        <f>'Anexo 1 '!C52*($D$79/$D$76)</f>
        <v>13730697.318733029</v>
      </c>
      <c r="D51" s="279">
        <f>'Anexo 1 '!D52*($D$79/$D$77)</f>
        <v>12227782.013669254</v>
      </c>
      <c r="E51" s="279">
        <f>'Anexo 1 '!E52*($D$79/$D$78)</f>
        <v>59126788.28029249</v>
      </c>
      <c r="F51" s="280">
        <f>'Anexo 1 '!F52*($D$79/$D$79)</f>
        <v>10067839.43</v>
      </c>
      <c r="G51" s="434"/>
      <c r="I51" s="146" t="e">
        <f>#REF!/#REF!</f>
        <v>#REF!</v>
      </c>
      <c r="K51" s="142">
        <f t="shared" si="2"/>
        <v>0.14101162582022092</v>
      </c>
      <c r="L51" s="139">
        <f t="shared" si="8"/>
        <v>0.1923141470443468</v>
      </c>
      <c r="M51" s="139">
        <f t="shared" si="5"/>
        <v>0.8905434101286814</v>
      </c>
      <c r="N51" s="139">
        <f t="shared" si="6"/>
        <v>4.835446707685461</v>
      </c>
      <c r="O51" s="139">
        <f t="shared" si="7"/>
        <v>0.17027543221649508</v>
      </c>
      <c r="P51" s="141">
        <f t="shared" si="1"/>
        <v>1.522144924268746</v>
      </c>
    </row>
    <row r="52" spans="1:16" ht="10.5" customHeight="1">
      <c r="A52" s="243" t="s">
        <v>24</v>
      </c>
      <c r="B52" s="279">
        <f>B53+B56</f>
        <v>23700046.004813664</v>
      </c>
      <c r="C52" s="279">
        <f>C53+C56</f>
        <v>31019237.883004315</v>
      </c>
      <c r="D52" s="279">
        <f>D53+D56</f>
        <v>25996334.963298377</v>
      </c>
      <c r="E52" s="279">
        <f>E53+E56</f>
        <v>26265177.244274676</v>
      </c>
      <c r="F52" s="280">
        <f>F53+F56</f>
        <v>26402404.82</v>
      </c>
      <c r="G52" s="434"/>
      <c r="I52" s="146" t="e">
        <f>#REF!/#REF!</f>
        <v>#REF!</v>
      </c>
      <c r="K52" s="142">
        <f t="shared" si="2"/>
        <v>1.1140233573655285</v>
      </c>
      <c r="L52" s="139">
        <f t="shared" si="8"/>
        <v>1.3088260620550722</v>
      </c>
      <c r="M52" s="139">
        <f t="shared" si="5"/>
        <v>0.8380713627249358</v>
      </c>
      <c r="N52" s="139">
        <f t="shared" si="6"/>
        <v>1.0103415455046203</v>
      </c>
      <c r="O52" s="139">
        <f t="shared" si="7"/>
        <v>1.0052246963517155</v>
      </c>
      <c r="P52" s="141">
        <f t="shared" si="1"/>
        <v>1.0406159166590858</v>
      </c>
    </row>
    <row r="53" spans="1:16" ht="10.5" customHeight="1">
      <c r="A53" s="244" t="s">
        <v>16</v>
      </c>
      <c r="B53" s="329">
        <f>B54+B55</f>
        <v>23700046.004813664</v>
      </c>
      <c r="C53" s="272">
        <f>C54+C55</f>
        <v>31019237.883004315</v>
      </c>
      <c r="D53" s="272">
        <f>D54+D55</f>
        <v>25996334.963298377</v>
      </c>
      <c r="E53" s="272">
        <f>E54+E55</f>
        <v>26265177.244274676</v>
      </c>
      <c r="F53" s="294">
        <f>F54+F55</f>
        <v>26402404.82</v>
      </c>
      <c r="G53" s="435"/>
      <c r="I53" s="146" t="e">
        <f>#REF!/#REF!</f>
        <v>#REF!</v>
      </c>
      <c r="K53" s="142">
        <f t="shared" si="2"/>
        <v>1.1140233573655285</v>
      </c>
      <c r="L53" s="139">
        <f t="shared" si="8"/>
        <v>1.3088260620550722</v>
      </c>
      <c r="M53" s="139">
        <f t="shared" si="5"/>
        <v>0.8380713627249358</v>
      </c>
      <c r="N53" s="139">
        <f t="shared" si="6"/>
        <v>1.0103415455046203</v>
      </c>
      <c r="O53" s="139">
        <f t="shared" si="7"/>
        <v>1.0052246963517155</v>
      </c>
      <c r="P53" s="141">
        <f t="shared" si="1"/>
        <v>1.0406159166590858</v>
      </c>
    </row>
    <row r="54" spans="1:16" ht="10.5" customHeight="1">
      <c r="A54" s="245" t="s">
        <v>25</v>
      </c>
      <c r="B54" s="329">
        <f>'Anexo 1 '!$B$55*($D$79/$D$75)</f>
        <v>23700046.004813664</v>
      </c>
      <c r="C54" s="271">
        <f>'Anexo 1 '!C55*($D$79/$D$76)</f>
        <v>31019237.883004315</v>
      </c>
      <c r="D54" s="271">
        <f>'Anexo 1 '!D55*($D$79/$D$77)</f>
        <v>25996334.963298377</v>
      </c>
      <c r="E54" s="271">
        <f>'Anexo 1 '!E55*($D$79/$D$78)</f>
        <v>26265177.244274676</v>
      </c>
      <c r="F54" s="273">
        <f>'Anexo 1 '!F55*($D$79/$D$79)</f>
        <v>26402404.82</v>
      </c>
      <c r="G54" s="435"/>
      <c r="I54" s="146"/>
      <c r="K54" s="142">
        <f t="shared" si="2"/>
        <v>1.1140233573655285</v>
      </c>
      <c r="L54" s="139">
        <f t="shared" si="8"/>
        <v>1.3088260620550722</v>
      </c>
      <c r="M54" s="139">
        <f t="shared" si="5"/>
        <v>0.8380713627249358</v>
      </c>
      <c r="N54" s="139">
        <f t="shared" si="6"/>
        <v>1.0103415455046203</v>
      </c>
      <c r="O54" s="139">
        <f t="shared" si="7"/>
        <v>1.0052246963517155</v>
      </c>
      <c r="P54" s="141">
        <f t="shared" si="1"/>
        <v>1.0406159166590858</v>
      </c>
    </row>
    <row r="55" spans="1:16" ht="10.5" customHeight="1">
      <c r="A55" s="245" t="s">
        <v>26</v>
      </c>
      <c r="B55" s="337">
        <f>'Anexo 1 '!$B$56*($D$79/$D$75)</f>
        <v>0</v>
      </c>
      <c r="C55" s="275">
        <f>'Anexo 1 '!C56*($D$79/$D$75)</f>
        <v>0</v>
      </c>
      <c r="D55" s="275">
        <f>'Anexo 1 '!D56*($D$79/$D$77)</f>
        <v>0</v>
      </c>
      <c r="E55" s="275">
        <f>'Anexo 1 '!E56*($D$79/$D$78)</f>
        <v>0</v>
      </c>
      <c r="F55" s="283">
        <f>'Anexo 1 '!F56*($D$79/$D$79)</f>
        <v>0</v>
      </c>
      <c r="G55" s="450"/>
      <c r="I55" s="146" t="e">
        <f>#REF!/#REF!</f>
        <v>#REF!</v>
      </c>
      <c r="K55" s="142" t="e">
        <f t="shared" si="2"/>
        <v>#DIV/0!</v>
      </c>
      <c r="L55" s="139" t="e">
        <f t="shared" si="8"/>
        <v>#DIV/0!</v>
      </c>
      <c r="M55" s="139" t="e">
        <f t="shared" si="5"/>
        <v>#DIV/0!</v>
      </c>
      <c r="N55" s="139" t="e">
        <f t="shared" si="6"/>
        <v>#DIV/0!</v>
      </c>
      <c r="O55" s="139" t="e">
        <f t="shared" si="7"/>
        <v>#DIV/0!</v>
      </c>
      <c r="P55" s="141" t="e">
        <f t="shared" si="1"/>
        <v>#DIV/0!</v>
      </c>
    </row>
    <row r="56" spans="1:16" ht="10.5" customHeight="1" thickBot="1">
      <c r="A56" s="244" t="s">
        <v>153</v>
      </c>
      <c r="B56" s="340">
        <f>'Anexo 1 '!$B$57*($D$79/$D$75)</f>
        <v>0</v>
      </c>
      <c r="C56" s="299">
        <f>'Anexo 1 '!C57*($D$79/$D$76)</f>
        <v>0</v>
      </c>
      <c r="D56" s="299">
        <f>'Anexo 1 '!D57*($D$79/$D$77)</f>
        <v>0</v>
      </c>
      <c r="E56" s="299">
        <f>'Anexo 1 '!E57*($D$79/$D$78)</f>
        <v>0</v>
      </c>
      <c r="F56" s="273">
        <f>'Anexo 1 '!F57*($D$79/$D$79)</f>
        <v>0</v>
      </c>
      <c r="G56" s="435"/>
      <c r="I56" s="146">
        <v>0</v>
      </c>
      <c r="K56" s="142" t="e">
        <f t="shared" si="2"/>
        <v>#DIV/0!</v>
      </c>
      <c r="L56" s="139" t="e">
        <f t="shared" si="8"/>
        <v>#DIV/0!</v>
      </c>
      <c r="M56" s="139" t="e">
        <f t="shared" si="5"/>
        <v>#DIV/0!</v>
      </c>
      <c r="N56" s="139" t="e">
        <f t="shared" si="6"/>
        <v>#DIV/0!</v>
      </c>
      <c r="O56" s="139" t="e">
        <f t="shared" si="7"/>
        <v>#DIV/0!</v>
      </c>
      <c r="P56" s="141" t="e">
        <f t="shared" si="1"/>
        <v>#DIV/0!</v>
      </c>
    </row>
    <row r="57" spans="1:16" ht="11.25" customHeight="1" thickBot="1">
      <c r="A57" s="250" t="s">
        <v>101</v>
      </c>
      <c r="B57" s="341">
        <f>+B4-B42</f>
        <v>82474246.27830052</v>
      </c>
      <c r="C57" s="302">
        <f>+C4-C42</f>
        <v>55812899.66873944</v>
      </c>
      <c r="D57" s="302">
        <f>+D4-D42</f>
        <v>46322693.73083341</v>
      </c>
      <c r="E57" s="302">
        <f>+E4-E42</f>
        <v>19623036.869245052</v>
      </c>
      <c r="F57" s="303">
        <f>+F4-F42</f>
        <v>112655169.27999973</v>
      </c>
      <c r="G57" s="434"/>
      <c r="K57" s="142">
        <f t="shared" si="2"/>
        <v>1.365943604987391</v>
      </c>
      <c r="L57" s="139">
        <f t="shared" si="8"/>
        <v>0.6767312486907098</v>
      </c>
      <c r="M57" s="139">
        <f t="shared" si="5"/>
        <v>0.8299639331725771</v>
      </c>
      <c r="N57" s="139">
        <f t="shared" si="6"/>
        <v>0.42361605702959204</v>
      </c>
      <c r="O57" s="139">
        <f t="shared" si="7"/>
        <v>5.740965072361599</v>
      </c>
      <c r="P57" s="141">
        <f t="shared" si="1"/>
        <v>1.9178190778136193</v>
      </c>
    </row>
    <row r="58" spans="1:13" ht="11.25" customHeight="1" thickBot="1">
      <c r="A58" s="492" t="s">
        <v>31</v>
      </c>
      <c r="B58" s="492"/>
      <c r="C58" s="492"/>
      <c r="D58" s="492"/>
      <c r="E58" s="492"/>
      <c r="F58" s="492"/>
      <c r="G58" s="451"/>
      <c r="M58" s="139"/>
    </row>
    <row r="59" spans="1:13" ht="9.75" customHeight="1">
      <c r="A59" s="258" t="str">
        <f aca="true" t="shared" si="9" ref="A59:F59">+A4</f>
        <v>RECEITA ORÇAMENTÁRIA</v>
      </c>
      <c r="B59" s="328">
        <f t="shared" si="9"/>
        <v>937453905.1440336</v>
      </c>
      <c r="C59" s="304">
        <f t="shared" si="9"/>
        <v>936730041.4286577</v>
      </c>
      <c r="D59" s="304">
        <f>+D4</f>
        <v>963791809.8721997</v>
      </c>
      <c r="E59" s="305">
        <f>+E4</f>
        <v>1085198058.823553</v>
      </c>
      <c r="F59" s="306">
        <f t="shared" si="9"/>
        <v>1198505697.7399998</v>
      </c>
      <c r="G59" s="435"/>
      <c r="M59" s="139"/>
    </row>
    <row r="60" spans="1:13" ht="9.75" customHeight="1">
      <c r="A60" s="317" t="str">
        <f>+A16</f>
        <v>1.3.1.0. - Valores Mobiliários</v>
      </c>
      <c r="B60" s="329">
        <f>-B16</f>
        <v>-26949021.652131792</v>
      </c>
      <c r="C60" s="271">
        <f>-C16</f>
        <v>-24070264.443081725</v>
      </c>
      <c r="D60" s="271">
        <f>-D16</f>
        <v>-25579503.58881377</v>
      </c>
      <c r="E60" s="307">
        <f>-E16</f>
        <v>-38745304.53755067</v>
      </c>
      <c r="F60" s="273">
        <f>-F16</f>
        <v>-43957987.62</v>
      </c>
      <c r="G60" s="435"/>
      <c r="M60" s="139"/>
    </row>
    <row r="61" spans="1:13" ht="9.75" customHeight="1">
      <c r="A61" s="318" t="str">
        <f>+A34</f>
        <v>2.1.0.0. - Operações de Crédito</v>
      </c>
      <c r="B61" s="330">
        <f>-B34</f>
        <v>-69738500.3137779</v>
      </c>
      <c r="C61" s="279">
        <f>-C34</f>
        <v>0</v>
      </c>
      <c r="D61" s="279">
        <f>-D34</f>
        <v>-13497198.156418527</v>
      </c>
      <c r="E61" s="308">
        <f>-E34</f>
        <v>-26768679.248144634</v>
      </c>
      <c r="F61" s="280">
        <f>-F34</f>
        <v>0</v>
      </c>
      <c r="G61" s="434"/>
      <c r="M61" s="139"/>
    </row>
    <row r="62" spans="1:13" ht="9.75" customHeight="1">
      <c r="A62" s="318" t="str">
        <f>+A37</f>
        <v>2.2.0.0. - Alienação de Bens</v>
      </c>
      <c r="B62" s="330">
        <f>-B37</f>
        <v>-767694.1924673108</v>
      </c>
      <c r="C62" s="279">
        <f>-C37</f>
        <v>-92802.7061241143</v>
      </c>
      <c r="D62" s="279">
        <f>-D37</f>
        <v>-353043.9016653733</v>
      </c>
      <c r="E62" s="308">
        <f>-E37</f>
        <v>-86044.95581911826</v>
      </c>
      <c r="F62" s="280">
        <f>-F37</f>
        <v>0</v>
      </c>
      <c r="G62" s="434"/>
      <c r="M62" s="139"/>
    </row>
    <row r="63" spans="1:13" ht="9.75" customHeight="1">
      <c r="A63" s="317" t="s">
        <v>105</v>
      </c>
      <c r="B63" s="329">
        <f>SUM(B59:B62)</f>
        <v>839998688.9856565</v>
      </c>
      <c r="C63" s="271">
        <f>SUM(C59:C62)</f>
        <v>912566974.2794518</v>
      </c>
      <c r="D63" s="271">
        <f>SUM(D59:D62)</f>
        <v>924362064.225302</v>
      </c>
      <c r="E63" s="307">
        <f>SUM(E59:E62)</f>
        <v>1019598030.0820386</v>
      </c>
      <c r="F63" s="273">
        <f>SUM(F59:F62)</f>
        <v>1154547710.12</v>
      </c>
      <c r="G63" s="435"/>
      <c r="M63" s="139"/>
    </row>
    <row r="64" spans="1:13" ht="9.75" customHeight="1">
      <c r="A64" s="319" t="str">
        <f aca="true" t="shared" si="10" ref="A64:F64">+A42</f>
        <v>DESPESAS ORÇAMENTÁRIAS</v>
      </c>
      <c r="B64" s="329">
        <f t="shared" si="10"/>
        <v>854979658.865733</v>
      </c>
      <c r="C64" s="271">
        <f t="shared" si="10"/>
        <v>880917141.7599182</v>
      </c>
      <c r="D64" s="271">
        <f>+D42</f>
        <v>917469116.1413662</v>
      </c>
      <c r="E64" s="307">
        <f>+E42</f>
        <v>1065575021.954308</v>
      </c>
      <c r="F64" s="273">
        <f t="shared" si="10"/>
        <v>1085850528.46</v>
      </c>
      <c r="G64" s="435"/>
      <c r="M64" s="139"/>
    </row>
    <row r="65" spans="1:13" ht="9.75" customHeight="1">
      <c r="A65" s="318" t="str">
        <f>+A45</f>
        <v>3.2.0.0. - Juros e Encargos da Dívida</v>
      </c>
      <c r="B65" s="330">
        <f>-B45</f>
        <v>-7589747.337112708</v>
      </c>
      <c r="C65" s="279">
        <f>-C45</f>
        <v>-14532177.23002766</v>
      </c>
      <c r="D65" s="279">
        <f>-D45</f>
        <v>-11519399.184451623</v>
      </c>
      <c r="E65" s="308">
        <f>-E45</f>
        <v>-14850809.940584037</v>
      </c>
      <c r="F65" s="280">
        <f>-F45</f>
        <v>-14732852.96</v>
      </c>
      <c r="G65" s="434"/>
      <c r="M65" s="139"/>
    </row>
    <row r="66" spans="1:13" ht="9.75" customHeight="1">
      <c r="A66" s="326" t="str">
        <f>A53</f>
        <v>4.3.1.0. - Amortizações </v>
      </c>
      <c r="B66" s="327">
        <f>-B53</f>
        <v>-23700046.004813664</v>
      </c>
      <c r="C66" s="400">
        <f>-C53</f>
        <v>-31019237.883004315</v>
      </c>
      <c r="D66" s="400">
        <f>-D53</f>
        <v>-25996334.963298377</v>
      </c>
      <c r="E66" s="400">
        <f>-E53</f>
        <v>-26265177.244274676</v>
      </c>
      <c r="F66" s="401">
        <f>-F53</f>
        <v>-26402404.82</v>
      </c>
      <c r="G66" s="452"/>
      <c r="M66" s="139"/>
    </row>
    <row r="67" spans="1:13" ht="9.75" customHeight="1" thickBot="1">
      <c r="A67" s="320" t="s">
        <v>106</v>
      </c>
      <c r="B67" s="331">
        <f>SUM(B64:B66)</f>
        <v>823689865.5238067</v>
      </c>
      <c r="C67" s="300">
        <f>SUM(C64:C66)</f>
        <v>835365726.6468862</v>
      </c>
      <c r="D67" s="300">
        <f>SUM(D64:D66)</f>
        <v>879953381.9936163</v>
      </c>
      <c r="E67" s="309">
        <f>SUM(E64:E66)</f>
        <v>1024459034.7694492</v>
      </c>
      <c r="F67" s="310">
        <f>SUM(F64:F66)</f>
        <v>1044715270.68</v>
      </c>
      <c r="G67" s="435"/>
      <c r="M67" s="139"/>
    </row>
    <row r="68" spans="1:13" ht="9.75" customHeight="1" thickBot="1">
      <c r="A68" s="321" t="s">
        <v>30</v>
      </c>
      <c r="B68" s="332">
        <f>+B63-B67</f>
        <v>16308823.461849809</v>
      </c>
      <c r="C68" s="311">
        <f>+C63-C67</f>
        <v>77201247.63256562</v>
      </c>
      <c r="D68" s="311">
        <f>+D63-D67</f>
        <v>44408682.23168564</v>
      </c>
      <c r="E68" s="312">
        <f>+E63-E67</f>
        <v>-4861004.687410593</v>
      </c>
      <c r="F68" s="313">
        <f>+F63-F67</f>
        <v>109832439.43999994</v>
      </c>
      <c r="G68" s="435"/>
      <c r="M68" s="139"/>
    </row>
    <row r="69" spans="1:13" ht="3" customHeight="1" thickBot="1">
      <c r="A69" s="184"/>
      <c r="B69" s="333"/>
      <c r="C69" s="342"/>
      <c r="D69" s="342"/>
      <c r="E69" s="342"/>
      <c r="F69" s="343"/>
      <c r="G69" s="436"/>
      <c r="M69" s="139"/>
    </row>
    <row r="70" spans="1:13" ht="9" customHeight="1" thickBot="1">
      <c r="A70" s="322" t="s">
        <v>102</v>
      </c>
      <c r="B70" s="334">
        <f>AVERAGE(B68:B68)</f>
        <v>16308823.461849809</v>
      </c>
      <c r="C70" s="315">
        <f>AVERAGE(B68:C68)</f>
        <v>46755035.54720771</v>
      </c>
      <c r="D70" s="315">
        <f>AVERAGE(B68:D68)</f>
        <v>45972917.77536702</v>
      </c>
      <c r="E70" s="344">
        <f>AVERAGE(C68:E68)</f>
        <v>38916308.39228022</v>
      </c>
      <c r="F70" s="316">
        <f>AVERAGE(B68:F68)</f>
        <v>48578037.61573808</v>
      </c>
      <c r="G70" s="437"/>
      <c r="M70" s="139"/>
    </row>
    <row r="71" spans="3:13" ht="8.25" customHeight="1" thickBot="1">
      <c r="C71" s="499" t="s">
        <v>246</v>
      </c>
      <c r="D71" s="499"/>
      <c r="E71" s="499"/>
      <c r="F71" s="499"/>
      <c r="G71" s="433"/>
      <c r="M71" s="139"/>
    </row>
    <row r="72" spans="2:13" ht="9" customHeight="1" thickBot="1">
      <c r="B72" s="500" t="s">
        <v>33</v>
      </c>
      <c r="C72" s="501"/>
      <c r="D72" s="502"/>
      <c r="E72" s="27"/>
      <c r="M72" s="139"/>
    </row>
    <row r="73" spans="2:13" ht="7.5" customHeight="1">
      <c r="B73" s="503" t="s">
        <v>34</v>
      </c>
      <c r="C73" s="505" t="s">
        <v>35</v>
      </c>
      <c r="D73" s="505" t="s">
        <v>36</v>
      </c>
      <c r="E73" s="28"/>
      <c r="M73" s="139"/>
    </row>
    <row r="74" spans="2:13" ht="7.5" customHeight="1" thickBot="1">
      <c r="B74" s="504"/>
      <c r="C74" s="506"/>
      <c r="D74" s="506"/>
      <c r="E74" s="29"/>
      <c r="M74" s="139"/>
    </row>
    <row r="75" spans="2:13" ht="7.5" customHeight="1">
      <c r="B75" s="251" t="s">
        <v>173</v>
      </c>
      <c r="C75" s="252" t="s">
        <v>174</v>
      </c>
      <c r="D75" s="253">
        <v>404.185</v>
      </c>
      <c r="E75" s="165"/>
      <c r="F75" s="166"/>
      <c r="G75" s="166"/>
      <c r="M75" s="139"/>
    </row>
    <row r="76" spans="2:13" ht="7.5" customHeight="1">
      <c r="B76" s="251" t="s">
        <v>181</v>
      </c>
      <c r="C76" s="254" t="s">
        <v>195</v>
      </c>
      <c r="D76" s="253">
        <v>398.407</v>
      </c>
      <c r="E76" s="164"/>
      <c r="F76" s="346"/>
      <c r="G76" s="346"/>
      <c r="M76" s="139"/>
    </row>
    <row r="77" spans="2:13" ht="7.5" customHeight="1">
      <c r="B77" s="251" t="s">
        <v>182</v>
      </c>
      <c r="C77" s="254" t="s">
        <v>196</v>
      </c>
      <c r="D77" s="253">
        <v>443.27</v>
      </c>
      <c r="E77" s="165"/>
      <c r="F77" s="166"/>
      <c r="G77" s="166"/>
      <c r="M77" s="139"/>
    </row>
    <row r="78" spans="2:13" ht="7.5" customHeight="1">
      <c r="B78" s="251" t="s">
        <v>207</v>
      </c>
      <c r="C78" s="252" t="s">
        <v>208</v>
      </c>
      <c r="D78" s="253">
        <v>465.586</v>
      </c>
      <c r="E78" s="165"/>
      <c r="F78" s="166"/>
      <c r="G78" s="166"/>
      <c r="M78" s="139"/>
    </row>
    <row r="79" spans="2:13" ht="7.5" customHeight="1" thickBot="1">
      <c r="B79" s="255" t="s">
        <v>248</v>
      </c>
      <c r="C79" s="256" t="s">
        <v>249</v>
      </c>
      <c r="D79" s="257">
        <v>503.283</v>
      </c>
      <c r="E79" s="165"/>
      <c r="F79" s="166"/>
      <c r="G79" s="166"/>
      <c r="M79" s="139"/>
    </row>
    <row r="80" ht="12.75">
      <c r="M80" s="139"/>
    </row>
    <row r="81" ht="12.75">
      <c r="M81" s="139"/>
    </row>
    <row r="82" ht="12.75">
      <c r="M82" s="139"/>
    </row>
    <row r="83" ht="12.75">
      <c r="M83" s="139"/>
    </row>
    <row r="84" ht="12.75">
      <c r="M84" s="139"/>
    </row>
    <row r="85" ht="12.75">
      <c r="M85" s="139"/>
    </row>
    <row r="86" ht="12.75">
      <c r="M86" s="139"/>
    </row>
    <row r="87" ht="12.75">
      <c r="M87" s="139"/>
    </row>
    <row r="88" ht="12.75">
      <c r="M88" s="139"/>
    </row>
    <row r="89" ht="12.75">
      <c r="M89" s="139"/>
    </row>
    <row r="90" ht="12.75">
      <c r="M90" s="139"/>
    </row>
    <row r="91" ht="12.75">
      <c r="M91" s="139"/>
    </row>
    <row r="92" ht="12.75">
      <c r="M92" s="139"/>
    </row>
    <row r="93" ht="12.75">
      <c r="M93" s="139"/>
    </row>
    <row r="94" ht="12.75">
      <c r="M94" s="139"/>
    </row>
    <row r="95" ht="12.75">
      <c r="M95" s="139"/>
    </row>
    <row r="96" ht="12.75">
      <c r="M96" s="139"/>
    </row>
    <row r="97" ht="12.75">
      <c r="M97" s="139"/>
    </row>
    <row r="98" ht="12.75">
      <c r="M98" s="139"/>
    </row>
    <row r="99" ht="12.75">
      <c r="M99" s="139"/>
    </row>
    <row r="100" ht="12.75">
      <c r="M100" s="139"/>
    </row>
    <row r="101" ht="12.75">
      <c r="M101" s="139"/>
    </row>
    <row r="102" ht="12.75">
      <c r="M102" s="139"/>
    </row>
    <row r="103" ht="12.75">
      <c r="M103" s="139"/>
    </row>
    <row r="104" ht="12.75">
      <c r="M104" s="139"/>
    </row>
    <row r="105" ht="12.75">
      <c r="M105" s="139"/>
    </row>
    <row r="106" ht="12.75">
      <c r="M106" s="139"/>
    </row>
    <row r="107" ht="12.75">
      <c r="M107" s="139"/>
    </row>
    <row r="108" ht="12.75">
      <c r="M108" s="139"/>
    </row>
    <row r="109" ht="12.75">
      <c r="M109" s="139"/>
    </row>
    <row r="110" ht="12.75">
      <c r="M110" s="139"/>
    </row>
    <row r="111" ht="12.75">
      <c r="M111" s="139"/>
    </row>
    <row r="112" ht="12.75">
      <c r="M112" s="139"/>
    </row>
    <row r="113" ht="12.75">
      <c r="M113" s="139"/>
    </row>
    <row r="114" ht="12.75">
      <c r="M114" s="139"/>
    </row>
    <row r="115" ht="12.75">
      <c r="M115" s="139"/>
    </row>
    <row r="116" ht="12.75">
      <c r="M116" s="139"/>
    </row>
    <row r="117" ht="12.75">
      <c r="M117" s="139"/>
    </row>
    <row r="118" ht="12.75">
      <c r="M118" s="139"/>
    </row>
    <row r="119" ht="12.75">
      <c r="M119" s="139"/>
    </row>
    <row r="120" ht="12.75">
      <c r="M120" s="139"/>
    </row>
    <row r="121" ht="12.75">
      <c r="M121" s="139"/>
    </row>
    <row r="122" ht="12.75">
      <c r="M122" s="139"/>
    </row>
    <row r="123" ht="12.75">
      <c r="M123" s="139"/>
    </row>
    <row r="124" ht="12.75">
      <c r="M124" s="139"/>
    </row>
    <row r="125" ht="12.75">
      <c r="M125" s="139"/>
    </row>
    <row r="126" ht="12.75">
      <c r="M126" s="139"/>
    </row>
    <row r="127" ht="12.75">
      <c r="M127" s="139"/>
    </row>
    <row r="128" ht="12.75">
      <c r="M128" s="139"/>
    </row>
    <row r="129" ht="12.75">
      <c r="M129" s="139"/>
    </row>
    <row r="130" ht="12.75">
      <c r="M130" s="139"/>
    </row>
    <row r="131" ht="12.75">
      <c r="M131" s="139"/>
    </row>
    <row r="132" ht="12.75">
      <c r="M132" s="139"/>
    </row>
    <row r="133" ht="12.75">
      <c r="M133" s="139"/>
    </row>
    <row r="134" ht="12.75">
      <c r="M134" s="139"/>
    </row>
    <row r="135" ht="12.75">
      <c r="M135" s="139"/>
    </row>
    <row r="136" ht="12.75">
      <c r="M136" s="139"/>
    </row>
    <row r="137" ht="12.75">
      <c r="M137" s="139"/>
    </row>
    <row r="138" ht="12.75">
      <c r="M138" s="139"/>
    </row>
    <row r="139" ht="12.75">
      <c r="M139" s="139"/>
    </row>
    <row r="140" ht="12.75">
      <c r="M140" s="139"/>
    </row>
    <row r="141" ht="12.75">
      <c r="M141" s="139"/>
    </row>
    <row r="142" ht="12.75">
      <c r="M142" s="139"/>
    </row>
    <row r="143" ht="12.75">
      <c r="M143" s="139"/>
    </row>
    <row r="144" ht="12.75">
      <c r="M144" s="139"/>
    </row>
    <row r="145" ht="12.75">
      <c r="M145" s="139"/>
    </row>
    <row r="146" ht="12.75">
      <c r="M146" s="139"/>
    </row>
    <row r="147" ht="12.75">
      <c r="M147" s="139"/>
    </row>
    <row r="148" ht="12.75">
      <c r="M148" s="139"/>
    </row>
    <row r="149" ht="12.75">
      <c r="M149" s="139"/>
    </row>
    <row r="150" ht="12.75">
      <c r="M150" s="139"/>
    </row>
    <row r="151" ht="12.75">
      <c r="M151" s="139"/>
    </row>
  </sheetData>
  <sheetProtection/>
  <mergeCells count="8">
    <mergeCell ref="A1:F1"/>
    <mergeCell ref="B2:F2"/>
    <mergeCell ref="A58:F58"/>
    <mergeCell ref="C71:F71"/>
    <mergeCell ref="B72:D72"/>
    <mergeCell ref="B73:B74"/>
    <mergeCell ref="C73:C74"/>
    <mergeCell ref="D73:D74"/>
  </mergeCells>
  <printOptions horizontalCentered="1" verticalCentered="1"/>
  <pageMargins left="0.5118110236220472" right="0.1968503937007874" top="0.9055118110236221" bottom="0.31496062992125984" header="0.15748031496062992" footer="0.2362204724409449"/>
  <pageSetup horizontalDpi="300" verticalDpi="300" orientation="portrait" paperSize="9" scale="88" r:id="rId1"/>
  <headerFooter alignWithMargins="0">
    <oddHeader>&amp;C&amp;"Arial Black,Regular"&amp;14PLANILHA  II&amp;"Arial,Negrito"&amp;10
&amp;16
&amp;12RECEITAS, DESPESAS E RESULTADO PRIMÁRIO DO MUNICÍPIO DE LONDRINA
Período de 2008-2012 (preços de 2012)  &amp;R&amp;"Arial Black,Regular"&amp;14ANEXO 2  &amp;"Arial,Normal"&amp;10
&amp;12p. 1 de 1</oddHeader>
    <oddFooter>&amp;R&amp;8_________________________________________________________________________
CONSULTORIA/93-13-JAR - Avaliação Financeira e Orçamentária do Município de Londrina&amp;10
&amp;6Anexo 2 - Londrina - PR.xls</oddFooter>
  </headerFooter>
  <ignoredErrors>
    <ignoredError sqref="C75 B75:B78 C76:C79 B79 B3:F3" numberStoredAsText="1"/>
    <ignoredError sqref="H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20" zoomScaleNormal="120" zoomScalePageLayoutView="0" workbookViewId="0" topLeftCell="A1">
      <selection activeCell="G41" sqref="G41"/>
    </sheetView>
  </sheetViews>
  <sheetFormatPr defaultColWidth="9.140625" defaultRowHeight="12.75"/>
  <cols>
    <col min="1" max="1" width="36.7109375" style="0" customWidth="1"/>
    <col min="2" max="2" width="14.57421875" style="0" customWidth="1"/>
    <col min="3" max="3" width="14.7109375" style="0" customWidth="1"/>
    <col min="4" max="4" width="14.57421875" style="0" customWidth="1"/>
    <col min="5" max="6" width="14.7109375" style="0" customWidth="1"/>
    <col min="7" max="7" width="17.140625" style="0" customWidth="1"/>
    <col min="8" max="8" width="25.28125" style="0" customWidth="1"/>
    <col min="9" max="9" width="15.421875" style="0" customWidth="1"/>
  </cols>
  <sheetData>
    <row r="1" spans="1:6" ht="12.75" customHeight="1" thickBot="1">
      <c r="A1" s="521" t="s">
        <v>103</v>
      </c>
      <c r="B1" s="522"/>
      <c r="C1" s="522"/>
      <c r="D1" s="522"/>
      <c r="E1" s="522"/>
      <c r="F1" s="523"/>
    </row>
    <row r="2" spans="1:6" ht="15" customHeight="1" thickBot="1">
      <c r="A2" s="516" t="s">
        <v>12</v>
      </c>
      <c r="B2" s="518" t="s">
        <v>77</v>
      </c>
      <c r="C2" s="519"/>
      <c r="D2" s="519"/>
      <c r="E2" s="519"/>
      <c r="F2" s="520"/>
    </row>
    <row r="3" spans="1:7" ht="15" customHeight="1" thickBot="1">
      <c r="A3" s="517"/>
      <c r="B3" s="156">
        <v>2008</v>
      </c>
      <c r="C3" s="154">
        <v>2009</v>
      </c>
      <c r="D3" s="154">
        <v>2010</v>
      </c>
      <c r="E3" s="154">
        <v>2011</v>
      </c>
      <c r="F3" s="155">
        <v>2012</v>
      </c>
      <c r="G3" s="153"/>
    </row>
    <row r="4" spans="1:9" ht="16.5" customHeight="1">
      <c r="A4" s="357" t="s">
        <v>108</v>
      </c>
      <c r="B4" s="215">
        <f>SUM(B5+B10)</f>
        <v>113923323.47</v>
      </c>
      <c r="C4" s="215">
        <f>SUM(C5+C10)</f>
        <v>230311125.04</v>
      </c>
      <c r="D4" s="215">
        <f>SUM(D5+D10)</f>
        <v>279292804.5</v>
      </c>
      <c r="E4" s="216">
        <f>SUM(E5+E10)</f>
        <v>349078598.16</v>
      </c>
      <c r="F4" s="216">
        <f>SUM(F5+F10)</f>
        <v>166224934.47</v>
      </c>
      <c r="G4" s="352"/>
      <c r="H4" s="153"/>
      <c r="I4" s="153"/>
    </row>
    <row r="5" spans="1:9" ht="15" customHeight="1">
      <c r="A5" s="358" t="s">
        <v>107</v>
      </c>
      <c r="B5" s="178">
        <f>SUM(B6:B9)</f>
        <v>109305489.14</v>
      </c>
      <c r="C5" s="178">
        <f>SUM(C6:C9)</f>
        <v>127515059.54999998</v>
      </c>
      <c r="D5" s="178">
        <f>SUM(D6:D9)</f>
        <v>153389934.92000002</v>
      </c>
      <c r="E5" s="179">
        <f>SUM(E6:E9)</f>
        <v>190619984.42000002</v>
      </c>
      <c r="F5" s="179">
        <f>SUM(F6:F9)</f>
        <v>154740258.16</v>
      </c>
      <c r="G5" s="32"/>
      <c r="H5" s="153"/>
      <c r="I5" s="153"/>
    </row>
    <row r="6" spans="1:6" ht="15" customHeight="1">
      <c r="A6" s="359" t="s">
        <v>110</v>
      </c>
      <c r="B6" s="167">
        <v>1173.5</v>
      </c>
      <c r="C6" s="167">
        <v>737.82</v>
      </c>
      <c r="D6" s="167">
        <v>0</v>
      </c>
      <c r="E6" s="168">
        <v>0</v>
      </c>
      <c r="F6" s="168">
        <v>0</v>
      </c>
    </row>
    <row r="7" spans="1:6" ht="15" customHeight="1">
      <c r="A7" s="360" t="s">
        <v>111</v>
      </c>
      <c r="B7" s="167">
        <v>63894483.84</v>
      </c>
      <c r="C7" s="169">
        <v>75072378.47</v>
      </c>
      <c r="D7" s="169">
        <v>20615304.11</v>
      </c>
      <c r="E7" s="170">
        <v>28160161.65</v>
      </c>
      <c r="F7" s="170">
        <v>38693954.55</v>
      </c>
    </row>
    <row r="8" spans="1:6" ht="15" customHeight="1">
      <c r="A8" s="360" t="s">
        <v>210</v>
      </c>
      <c r="B8" s="167">
        <v>45409831.8</v>
      </c>
      <c r="C8" s="167">
        <v>52441943.26</v>
      </c>
      <c r="D8" s="167">
        <v>44973784.58</v>
      </c>
      <c r="E8" s="170">
        <v>50533717.18</v>
      </c>
      <c r="F8" s="170">
        <v>21155817.08</v>
      </c>
    </row>
    <row r="9" spans="1:6" ht="15" customHeight="1">
      <c r="A9" s="360" t="s">
        <v>217</v>
      </c>
      <c r="B9" s="167">
        <v>0</v>
      </c>
      <c r="C9" s="167">
        <v>0</v>
      </c>
      <c r="D9" s="167">
        <v>87800846.23</v>
      </c>
      <c r="E9" s="172">
        <v>111926105.59</v>
      </c>
      <c r="F9" s="172">
        <v>94890486.53</v>
      </c>
    </row>
    <row r="10" spans="1:9" ht="15" customHeight="1">
      <c r="A10" s="358" t="s">
        <v>160</v>
      </c>
      <c r="B10" s="178">
        <f>SUM(B11:B15)</f>
        <v>4617834.33</v>
      </c>
      <c r="C10" s="178">
        <f>SUM(C11:C15)</f>
        <v>102796065.49000001</v>
      </c>
      <c r="D10" s="178">
        <f>SUM(D11:D15)</f>
        <v>125902869.58</v>
      </c>
      <c r="E10" s="179">
        <f>SUM(E11:E15)</f>
        <v>158458613.74</v>
      </c>
      <c r="F10" s="179">
        <f>SUM(F11:F15)</f>
        <v>11484676.31</v>
      </c>
      <c r="G10" s="153"/>
      <c r="H10" s="153"/>
      <c r="I10" s="153"/>
    </row>
    <row r="11" spans="1:6" ht="15" customHeight="1">
      <c r="A11" s="360" t="s">
        <v>167</v>
      </c>
      <c r="B11" s="173">
        <v>4617834.33</v>
      </c>
      <c r="C11" s="173">
        <v>3843242.73</v>
      </c>
      <c r="D11" s="173">
        <v>0</v>
      </c>
      <c r="E11" s="174">
        <v>0</v>
      </c>
      <c r="F11" s="174">
        <v>881647.4</v>
      </c>
    </row>
    <row r="12" spans="1:6" ht="15" customHeight="1">
      <c r="A12" s="360" t="s">
        <v>219</v>
      </c>
      <c r="B12" s="173">
        <v>0</v>
      </c>
      <c r="C12" s="173">
        <v>0</v>
      </c>
      <c r="D12" s="173">
        <v>2552476.9</v>
      </c>
      <c r="E12" s="174">
        <v>5792377.29</v>
      </c>
      <c r="F12" s="174">
        <v>0</v>
      </c>
    </row>
    <row r="13" spans="1:6" ht="15" customHeight="1">
      <c r="A13" s="360" t="s">
        <v>240</v>
      </c>
      <c r="B13" s="173">
        <v>0</v>
      </c>
      <c r="C13" s="173">
        <v>0</v>
      </c>
      <c r="D13" s="171">
        <v>787392.51</v>
      </c>
      <c r="E13" s="172">
        <v>2340439.07</v>
      </c>
      <c r="F13" s="172">
        <v>77933.45</v>
      </c>
    </row>
    <row r="14" spans="1:6" ht="15" customHeight="1">
      <c r="A14" s="360" t="s">
        <v>220</v>
      </c>
      <c r="B14" s="173">
        <v>0</v>
      </c>
      <c r="C14" s="173">
        <v>0</v>
      </c>
      <c r="D14" s="171">
        <v>118626234.77</v>
      </c>
      <c r="E14" s="174">
        <v>150243935.7</v>
      </c>
      <c r="F14" s="174">
        <v>0</v>
      </c>
    </row>
    <row r="15" spans="1:6" ht="15" customHeight="1">
      <c r="A15" s="360" t="s">
        <v>211</v>
      </c>
      <c r="B15" s="171">
        <v>0</v>
      </c>
      <c r="C15" s="171">
        <v>98952822.76</v>
      </c>
      <c r="D15" s="171">
        <v>3936765.4</v>
      </c>
      <c r="E15" s="174">
        <v>81861.68</v>
      </c>
      <c r="F15" s="174">
        <v>10525095.46</v>
      </c>
    </row>
    <row r="16" spans="1:9" ht="15" customHeight="1">
      <c r="A16" s="361" t="s">
        <v>178</v>
      </c>
      <c r="B16" s="176">
        <f>SUM(B17+B20+B23)</f>
        <v>1098980033.9</v>
      </c>
      <c r="C16" s="176">
        <f>SUM(C17+C20+C23)</f>
        <v>1153893326.3899999</v>
      </c>
      <c r="D16" s="176">
        <f>SUM(D17+D20+D23)</f>
        <v>1222871600.18</v>
      </c>
      <c r="E16" s="177">
        <f>SUM(E17+E20+E23)</f>
        <v>1404896114.94</v>
      </c>
      <c r="F16" s="177">
        <f>SUM(F17+F20+F23)</f>
        <v>1127825394.38</v>
      </c>
      <c r="G16" s="153"/>
      <c r="H16" s="153"/>
      <c r="I16" s="153"/>
    </row>
    <row r="17" spans="1:8" ht="15" customHeight="1">
      <c r="A17" s="358" t="s">
        <v>160</v>
      </c>
      <c r="B17" s="178">
        <f>SUM(B18+B19)</f>
        <v>168702.5</v>
      </c>
      <c r="C17" s="178">
        <f>SUM(C18+C19)</f>
        <v>187061.6</v>
      </c>
      <c r="D17" s="178">
        <f>SUM(D18+D19)</f>
        <v>1470819.19</v>
      </c>
      <c r="E17" s="179">
        <f>SUM(E18+E19)</f>
        <v>1871070.95</v>
      </c>
      <c r="F17" s="179">
        <f>SUM(F18+F19)</f>
        <v>0</v>
      </c>
      <c r="G17" s="153"/>
      <c r="H17" s="153"/>
    </row>
    <row r="18" spans="1:6" ht="15" customHeight="1">
      <c r="A18" s="360" t="s">
        <v>161</v>
      </c>
      <c r="B18" s="171">
        <v>168702.5</v>
      </c>
      <c r="C18" s="171">
        <v>187061.6</v>
      </c>
      <c r="D18" s="171">
        <v>672819.19</v>
      </c>
      <c r="E18" s="172">
        <v>1073070.95</v>
      </c>
      <c r="F18" s="172">
        <v>0</v>
      </c>
    </row>
    <row r="19" spans="1:6" ht="15" customHeight="1">
      <c r="A19" s="358" t="s">
        <v>218</v>
      </c>
      <c r="B19" s="171">
        <v>0</v>
      </c>
      <c r="C19" s="171"/>
      <c r="D19" s="171">
        <v>798000</v>
      </c>
      <c r="E19" s="172">
        <v>798000</v>
      </c>
      <c r="F19" s="172">
        <v>0</v>
      </c>
    </row>
    <row r="20" spans="1:8" ht="15" customHeight="1">
      <c r="A20" s="358" t="s">
        <v>162</v>
      </c>
      <c r="B20" s="178">
        <f>SUM(B21:B22)</f>
        <v>0</v>
      </c>
      <c r="C20" s="178">
        <f>SUM(C21:C22)</f>
        <v>576247019.89</v>
      </c>
      <c r="D20" s="178">
        <f>SUM(D21:D22)</f>
        <v>603629726.14</v>
      </c>
      <c r="E20" s="179">
        <f>SUM(E21:E22)</f>
        <v>620754034.6999999</v>
      </c>
      <c r="F20" s="179">
        <f>SUM(F21:F22)</f>
        <v>441241952.66999996</v>
      </c>
      <c r="G20" s="153"/>
      <c r="H20" s="153"/>
    </row>
    <row r="21" spans="1:7" ht="15" customHeight="1">
      <c r="A21" s="360" t="s">
        <v>163</v>
      </c>
      <c r="B21" s="171">
        <v>0</v>
      </c>
      <c r="C21" s="171">
        <v>576247019.89</v>
      </c>
      <c r="D21" s="171">
        <v>387779092.8</v>
      </c>
      <c r="E21" s="172">
        <v>406681824.53</v>
      </c>
      <c r="F21" s="172">
        <v>430577556.65</v>
      </c>
      <c r="G21" s="439"/>
    </row>
    <row r="22" spans="1:7" ht="15" customHeight="1">
      <c r="A22" s="360" t="s">
        <v>190</v>
      </c>
      <c r="B22" s="171">
        <v>0</v>
      </c>
      <c r="C22" s="171">
        <v>0</v>
      </c>
      <c r="D22" s="171">
        <v>215850633.34</v>
      </c>
      <c r="E22" s="172">
        <v>214072210.17</v>
      </c>
      <c r="F22" s="172">
        <v>10664396.02</v>
      </c>
      <c r="G22" s="439"/>
    </row>
    <row r="23" spans="1:8" ht="15" customHeight="1">
      <c r="A23" s="358" t="s">
        <v>191</v>
      </c>
      <c r="B23" s="178">
        <f>SUM(B24:B26)</f>
        <v>1098811331.4</v>
      </c>
      <c r="C23" s="178">
        <f>SUM(C24:C26)</f>
        <v>577459244.9</v>
      </c>
      <c r="D23" s="178">
        <f>SUM(D24:D26)</f>
        <v>617771054.85</v>
      </c>
      <c r="E23" s="179">
        <f>SUM(E24:E26)</f>
        <v>782271009.29</v>
      </c>
      <c r="F23" s="179">
        <f>SUM(F24:F26)</f>
        <v>686583441.71</v>
      </c>
      <c r="G23" s="355"/>
      <c r="H23" s="153"/>
    </row>
    <row r="24" spans="1:8" ht="15" customHeight="1">
      <c r="A24" s="360" t="s">
        <v>212</v>
      </c>
      <c r="B24" s="171">
        <v>312956292.4</v>
      </c>
      <c r="C24" s="171">
        <v>379646679</v>
      </c>
      <c r="D24" s="171">
        <v>429188448</v>
      </c>
      <c r="E24" s="172">
        <v>533001901.43</v>
      </c>
      <c r="F24" s="172">
        <v>362979391</v>
      </c>
      <c r="H24" s="153"/>
    </row>
    <row r="25" spans="1:8" ht="15" customHeight="1">
      <c r="A25" s="360" t="s">
        <v>213</v>
      </c>
      <c r="B25" s="171">
        <v>0</v>
      </c>
      <c r="C25" s="171">
        <v>197812565.9</v>
      </c>
      <c r="D25" s="171">
        <v>188582606.85</v>
      </c>
      <c r="E25" s="172">
        <v>0</v>
      </c>
      <c r="F25" s="172">
        <v>208326689.71</v>
      </c>
      <c r="H25" s="153"/>
    </row>
    <row r="26" spans="1:8" ht="15" customHeight="1">
      <c r="A26" s="360" t="s">
        <v>168</v>
      </c>
      <c r="B26" s="171">
        <v>785855039</v>
      </c>
      <c r="C26" s="171">
        <v>0</v>
      </c>
      <c r="D26" s="171">
        <v>0</v>
      </c>
      <c r="E26" s="172">
        <v>249269107.86</v>
      </c>
      <c r="F26" s="172">
        <v>115277361</v>
      </c>
      <c r="G26" s="153"/>
      <c r="H26" s="153"/>
    </row>
    <row r="27" spans="1:9" ht="15" customHeight="1">
      <c r="A27" s="361" t="s">
        <v>109</v>
      </c>
      <c r="B27" s="175">
        <f>B4+B16</f>
        <v>1212903357.3700001</v>
      </c>
      <c r="C27" s="175">
        <f>C4+C16</f>
        <v>1384204451.4299998</v>
      </c>
      <c r="D27" s="175">
        <f>D4+D16</f>
        <v>1502164404.68</v>
      </c>
      <c r="E27" s="217">
        <f>E4+E16</f>
        <v>1753974713.1000001</v>
      </c>
      <c r="F27" s="217">
        <f>F4+F16</f>
        <v>1294050328.8500001</v>
      </c>
      <c r="G27" s="153"/>
      <c r="H27" s="153"/>
      <c r="I27" s="153"/>
    </row>
    <row r="28" spans="1:9" ht="15" customHeight="1">
      <c r="A28" s="361" t="s">
        <v>113</v>
      </c>
      <c r="B28" s="176">
        <f>SUM(B29+B32+B33+B34)</f>
        <v>41421021.11999999</v>
      </c>
      <c r="C28" s="176">
        <f>SUM(C29+C32+C33+C34)</f>
        <v>50695630.29</v>
      </c>
      <c r="D28" s="176">
        <f>SUM(D29+D32+D33+D34)</f>
        <v>70659800.36</v>
      </c>
      <c r="E28" s="177">
        <f>SUM(E29+E32+E33+E34)</f>
        <v>135344634.38</v>
      </c>
      <c r="F28" s="177">
        <f>SUM(F29+F32+F33+F34)</f>
        <v>64330365.02</v>
      </c>
      <c r="G28" s="153"/>
      <c r="H28" s="153"/>
      <c r="I28" s="153"/>
    </row>
    <row r="29" spans="1:8" ht="15" customHeight="1">
      <c r="A29" s="362" t="s">
        <v>189</v>
      </c>
      <c r="B29" s="178">
        <f>SUM(B30+B31)</f>
        <v>35446253.3</v>
      </c>
      <c r="C29" s="178">
        <f>SUM(C30+C31)</f>
        <v>46855894.11</v>
      </c>
      <c r="D29" s="178">
        <f>SUM(D30+D31)</f>
        <v>65629330.55</v>
      </c>
      <c r="E29" s="179">
        <f>SUM(E30+E31)</f>
        <v>129099964.79</v>
      </c>
      <c r="F29" s="179">
        <f>SUM(F30+F31)</f>
        <v>57915350.59</v>
      </c>
      <c r="G29" s="153"/>
      <c r="H29" s="153"/>
    </row>
    <row r="30" spans="1:8" ht="15" customHeight="1">
      <c r="A30" s="362" t="s">
        <v>265</v>
      </c>
      <c r="B30" s="171">
        <v>7230657.35</v>
      </c>
      <c r="C30" s="171">
        <v>15844159.56</v>
      </c>
      <c r="D30" s="171">
        <v>11166802.9</v>
      </c>
      <c r="E30" s="172">
        <v>17073955.45</v>
      </c>
      <c r="F30" s="172">
        <v>13581502.71</v>
      </c>
      <c r="H30" s="153"/>
    </row>
    <row r="31" spans="1:8" ht="15" customHeight="1">
      <c r="A31" s="362" t="s">
        <v>266</v>
      </c>
      <c r="B31" s="171">
        <v>28215595.95</v>
      </c>
      <c r="C31" s="171">
        <v>31011734.55</v>
      </c>
      <c r="D31" s="171">
        <v>54462527.65</v>
      </c>
      <c r="E31" s="172">
        <v>112026009.34</v>
      </c>
      <c r="F31" s="172">
        <v>44333847.88</v>
      </c>
      <c r="H31" s="153"/>
    </row>
    <row r="32" spans="1:7" ht="15" customHeight="1">
      <c r="A32" s="362" t="s">
        <v>125</v>
      </c>
      <c r="B32" s="178">
        <v>0</v>
      </c>
      <c r="C32" s="178">
        <v>0</v>
      </c>
      <c r="D32" s="178">
        <v>3431828.2</v>
      </c>
      <c r="E32" s="179">
        <v>3680206.65</v>
      </c>
      <c r="F32" s="179">
        <v>4902196.11</v>
      </c>
      <c r="G32" s="153"/>
    </row>
    <row r="33" spans="1:6" ht="15" customHeight="1">
      <c r="A33" s="362" t="s">
        <v>164</v>
      </c>
      <c r="B33" s="178">
        <v>5974599.16</v>
      </c>
      <c r="C33" s="178">
        <v>3499976.82</v>
      </c>
      <c r="D33" s="178">
        <v>1598641.61</v>
      </c>
      <c r="E33" s="179">
        <v>2397440.06</v>
      </c>
      <c r="F33" s="179">
        <v>1033271</v>
      </c>
    </row>
    <row r="34" spans="1:6" ht="15" customHeight="1">
      <c r="A34" s="362" t="s">
        <v>214</v>
      </c>
      <c r="B34" s="178">
        <v>168.66</v>
      </c>
      <c r="C34" s="178">
        <v>339759.36</v>
      </c>
      <c r="D34" s="178">
        <v>0</v>
      </c>
      <c r="E34" s="179">
        <v>167022.88</v>
      </c>
      <c r="F34" s="179">
        <v>479547.32</v>
      </c>
    </row>
    <row r="35" spans="1:9" ht="15" customHeight="1">
      <c r="A35" s="361" t="s">
        <v>165</v>
      </c>
      <c r="B35" s="176">
        <f>(B36+B37+B38)</f>
        <v>931186878.51</v>
      </c>
      <c r="C35" s="176">
        <f>(C36+C37+C38)</f>
        <v>1083311530.24</v>
      </c>
      <c r="D35" s="176">
        <f>(D36+D37+D38)</f>
        <v>1146366959.14</v>
      </c>
      <c r="E35" s="177">
        <f>(E36+E37+E38)</f>
        <v>1948499940.4399998</v>
      </c>
      <c r="F35" s="177">
        <f>(F36+F37+F38)</f>
        <v>374688376.46</v>
      </c>
      <c r="G35" s="153"/>
      <c r="H35" s="153"/>
      <c r="I35" s="153"/>
    </row>
    <row r="36" spans="1:9" ht="15" customHeight="1">
      <c r="A36" s="358" t="s">
        <v>215</v>
      </c>
      <c r="B36" s="178">
        <v>26362698.81</v>
      </c>
      <c r="C36" s="178">
        <v>36855033.33</v>
      </c>
      <c r="D36" s="178">
        <v>42409044.27</v>
      </c>
      <c r="E36" s="179">
        <v>53216096.06</v>
      </c>
      <c r="F36" s="179">
        <v>59284912</v>
      </c>
      <c r="G36" s="153"/>
      <c r="H36" s="153"/>
      <c r="I36" s="153"/>
    </row>
    <row r="37" spans="1:9" ht="15" customHeight="1">
      <c r="A37" s="361" t="s">
        <v>241</v>
      </c>
      <c r="B37" s="178">
        <v>319117309.6</v>
      </c>
      <c r="C37" s="178">
        <v>0</v>
      </c>
      <c r="D37" s="178">
        <v>0</v>
      </c>
      <c r="E37" s="179">
        <v>0</v>
      </c>
      <c r="F37" s="179"/>
      <c r="G37" s="153"/>
      <c r="H37" s="153"/>
      <c r="I37" s="153"/>
    </row>
    <row r="38" spans="1:8" ht="15" customHeight="1">
      <c r="A38" s="358" t="s">
        <v>216</v>
      </c>
      <c r="B38" s="178">
        <f>SUM(B39:B41)</f>
        <v>585706870.1</v>
      </c>
      <c r="C38" s="178">
        <f>SUM(C39:C41)</f>
        <v>1046456496.91</v>
      </c>
      <c r="D38" s="178">
        <f>SUM(D39:D41)</f>
        <v>1103957914.8700001</v>
      </c>
      <c r="E38" s="179">
        <f>SUM(E39:E41)</f>
        <v>1895283844.3799999</v>
      </c>
      <c r="F38" s="179">
        <f>SUM(F39:F41)</f>
        <v>315403464.46</v>
      </c>
      <c r="H38" s="153"/>
    </row>
    <row r="39" spans="1:6" ht="15" customHeight="1">
      <c r="A39" s="363" t="s">
        <v>112</v>
      </c>
      <c r="B39" s="171">
        <v>0</v>
      </c>
      <c r="C39" s="171">
        <v>0</v>
      </c>
      <c r="D39" s="171">
        <v>66788596.17</v>
      </c>
      <c r="E39" s="172">
        <v>86152188.54</v>
      </c>
      <c r="F39" s="172">
        <v>78594266.26</v>
      </c>
    </row>
    <row r="40" spans="1:8" ht="15" customHeight="1">
      <c r="A40" s="363" t="s">
        <v>166</v>
      </c>
      <c r="B40" s="171">
        <v>0</v>
      </c>
      <c r="C40" s="171">
        <v>0</v>
      </c>
      <c r="D40" s="171">
        <v>0</v>
      </c>
      <c r="E40" s="172">
        <v>0</v>
      </c>
      <c r="F40" s="172">
        <v>0</v>
      </c>
      <c r="H40" s="153"/>
    </row>
    <row r="41" spans="1:6" ht="15" customHeight="1">
      <c r="A41" s="364" t="s">
        <v>169</v>
      </c>
      <c r="B41" s="171">
        <v>585706870.1</v>
      </c>
      <c r="C41" s="171">
        <v>1046456496.91</v>
      </c>
      <c r="D41" s="171">
        <v>1037169318.7</v>
      </c>
      <c r="E41" s="172">
        <v>1809131655.84</v>
      </c>
      <c r="F41" s="172">
        <v>236809198.2</v>
      </c>
    </row>
    <row r="42" spans="1:9" ht="15" customHeight="1" thickBot="1">
      <c r="A42" s="365" t="s">
        <v>32</v>
      </c>
      <c r="B42" s="218">
        <f>B28+B35</f>
        <v>972607899.63</v>
      </c>
      <c r="C42" s="218">
        <f>C28+C35</f>
        <v>1134007160.53</v>
      </c>
      <c r="D42" s="218">
        <f>D28+D35</f>
        <v>1217026759.5</v>
      </c>
      <c r="E42" s="218">
        <f>E28+E35</f>
        <v>2083844574.8199997</v>
      </c>
      <c r="F42" s="218">
        <f>F28+F35</f>
        <v>439018741.47999996</v>
      </c>
      <c r="G42" s="153"/>
      <c r="H42" s="153"/>
      <c r="I42" s="153"/>
    </row>
    <row r="43" spans="1:9" ht="15" customHeight="1" thickBot="1">
      <c r="A43" s="366" t="s">
        <v>90</v>
      </c>
      <c r="B43" s="356">
        <f>SUM(B27-B42)</f>
        <v>240295457.74000013</v>
      </c>
      <c r="C43" s="180">
        <f>SUM(C27-C42)</f>
        <v>250197290.89999986</v>
      </c>
      <c r="D43" s="180">
        <f>SUM(D27-D42)</f>
        <v>285137645.18000007</v>
      </c>
      <c r="E43" s="180">
        <f>SUM(E27-E42)</f>
        <v>-329869861.71999955</v>
      </c>
      <c r="F43" s="181">
        <f>SUM(F27-F42)</f>
        <v>855031587.3700001</v>
      </c>
      <c r="G43" s="153"/>
      <c r="H43" s="182"/>
      <c r="I43" s="153"/>
    </row>
    <row r="44" spans="1:9" ht="14.25" customHeight="1" thickBot="1">
      <c r="A44" s="213"/>
      <c r="B44" s="214"/>
      <c r="C44" s="214"/>
      <c r="D44" s="214"/>
      <c r="E44" s="524" t="s">
        <v>245</v>
      </c>
      <c r="F44" s="524"/>
      <c r="H44" s="212"/>
      <c r="I44" s="153"/>
    </row>
    <row r="45" spans="1:6" ht="10.5" customHeight="1" thickBot="1">
      <c r="A45" s="2"/>
      <c r="B45" s="507" t="s">
        <v>33</v>
      </c>
      <c r="C45" s="508"/>
      <c r="D45" s="509"/>
      <c r="E45" s="2"/>
      <c r="F45" s="2"/>
    </row>
    <row r="46" spans="1:6" ht="12" customHeight="1" thickBot="1">
      <c r="A46" s="2"/>
      <c r="B46" s="510" t="s">
        <v>34</v>
      </c>
      <c r="C46" s="512" t="s">
        <v>35</v>
      </c>
      <c r="D46" s="514" t="s">
        <v>36</v>
      </c>
      <c r="E46" s="2"/>
      <c r="F46" s="2"/>
    </row>
    <row r="47" spans="1:6" ht="11.25" customHeight="1" thickBot="1">
      <c r="A47" s="2"/>
      <c r="B47" s="511"/>
      <c r="C47" s="513"/>
      <c r="D47" s="515"/>
      <c r="E47" s="2"/>
      <c r="F47" s="2"/>
    </row>
    <row r="48" spans="2:4" ht="10.5" customHeight="1">
      <c r="B48" s="251" t="s">
        <v>173</v>
      </c>
      <c r="C48" s="252" t="s">
        <v>174</v>
      </c>
      <c r="D48" s="253">
        <v>403.185</v>
      </c>
    </row>
    <row r="49" spans="2:4" ht="10.5" customHeight="1">
      <c r="B49" s="251" t="s">
        <v>181</v>
      </c>
      <c r="C49" s="254" t="s">
        <v>195</v>
      </c>
      <c r="D49" s="253">
        <v>397.407</v>
      </c>
    </row>
    <row r="50" spans="2:4" ht="10.5" customHeight="1">
      <c r="B50" s="251" t="s">
        <v>182</v>
      </c>
      <c r="C50" s="254" t="s">
        <v>196</v>
      </c>
      <c r="D50" s="253">
        <v>442.27</v>
      </c>
    </row>
    <row r="51" spans="2:4" ht="10.5" customHeight="1">
      <c r="B51" s="251" t="s">
        <v>207</v>
      </c>
      <c r="C51" s="254" t="s">
        <v>208</v>
      </c>
      <c r="D51" s="253">
        <v>465.586</v>
      </c>
    </row>
    <row r="52" spans="2:4" ht="10.5" customHeight="1" thickBot="1">
      <c r="B52" s="255" t="s">
        <v>248</v>
      </c>
      <c r="C52" s="256" t="s">
        <v>249</v>
      </c>
      <c r="D52" s="257">
        <v>503.283</v>
      </c>
    </row>
    <row r="53" ht="12" customHeight="1"/>
    <row r="54" ht="12" customHeight="1"/>
  </sheetData>
  <sheetProtection/>
  <mergeCells count="8">
    <mergeCell ref="A1:F1"/>
    <mergeCell ref="E44:F44"/>
    <mergeCell ref="B45:D45"/>
    <mergeCell ref="B46:B47"/>
    <mergeCell ref="C46:C47"/>
    <mergeCell ref="D46:D47"/>
    <mergeCell ref="A2:A3"/>
    <mergeCell ref="B2:F2"/>
  </mergeCells>
  <printOptions horizontalCentered="1" verticalCentered="1"/>
  <pageMargins left="0.31496062992125984" right="0.11811023622047245" top="1.2598425196850394" bottom="0.8267716535433072" header="0.35433070866141736" footer="0.4724409448818898"/>
  <pageSetup horizontalDpi="300" verticalDpi="300" orientation="portrait" paperSize="9" scale="90" r:id="rId1"/>
  <headerFooter alignWithMargins="0">
    <oddHeader>&amp;C&amp;"Arial Black,Normal"&amp;14PLANILHA III&amp;"Arial,Normal"&amp;10
&amp;"Arial,Negrito"&amp;12
BALANÇO PATRIMONIAL CONSOLIDADO DO MUNICÍPIO DE LONDRINA
Período de 2008-2012 (preços correntes)&amp;R&amp;"Arial Black,Normal"&amp;14ANEXO   3&amp;"Arial,Normal"&amp;10
&amp;12p. 1 de 1</oddHeader>
    <oddFooter>&amp;R&amp;8__________________________________________________________________________
CONSULTORIA/93-13-JAR - Avaliação Financeira e Orçamentária do Município de  Londrina
&amp;6Anexo 3 - Londrina - PR.xls</oddFooter>
  </headerFooter>
  <ignoredErrors>
    <ignoredError sqref="F38" formulaRange="1"/>
    <ignoredError sqref="B48:B52 C48:C5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86"/>
  <sheetViews>
    <sheetView zoomScale="150" zoomScaleNormal="150" zoomScalePageLayoutView="0" workbookViewId="0" topLeftCell="A34">
      <selection activeCell="A19" sqref="A19"/>
    </sheetView>
  </sheetViews>
  <sheetFormatPr defaultColWidth="9.140625" defaultRowHeight="12.75"/>
  <cols>
    <col min="1" max="1" width="29.28125" style="0" customWidth="1"/>
    <col min="2" max="2" width="6.57421875" style="0" customWidth="1"/>
    <col min="3" max="3" width="7.140625" style="0" customWidth="1"/>
    <col min="4" max="11" width="6.57421875" style="0" customWidth="1"/>
    <col min="12" max="12" width="14.00390625" style="0" customWidth="1"/>
    <col min="13" max="13" width="12.7109375" style="0" customWidth="1"/>
  </cols>
  <sheetData>
    <row r="1" spans="1:11" ht="15" customHeight="1">
      <c r="A1" s="1" t="s">
        <v>260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8.25" customHeight="1" thickBot="1">
      <c r="A2" s="525" t="s">
        <v>236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</row>
    <row r="3" spans="1:11" ht="12" customHeight="1" thickBot="1">
      <c r="A3" s="532" t="s">
        <v>114</v>
      </c>
      <c r="B3" s="533"/>
      <c r="C3" s="533"/>
      <c r="D3" s="533"/>
      <c r="E3" s="533"/>
      <c r="F3" s="533"/>
      <c r="G3" s="533"/>
      <c r="H3" s="533"/>
      <c r="I3" s="533"/>
      <c r="J3" s="533"/>
      <c r="K3" s="534"/>
    </row>
    <row r="4" spans="1:12" ht="12" customHeight="1">
      <c r="A4" s="24" t="s">
        <v>12</v>
      </c>
      <c r="B4" s="25" t="s">
        <v>251</v>
      </c>
      <c r="C4" s="25" t="s">
        <v>221</v>
      </c>
      <c r="D4" s="25" t="s">
        <v>252</v>
      </c>
      <c r="E4" s="25" t="s">
        <v>142</v>
      </c>
      <c r="F4" s="25" t="s">
        <v>156</v>
      </c>
      <c r="G4" s="25" t="s">
        <v>177</v>
      </c>
      <c r="H4" s="25" t="s">
        <v>183</v>
      </c>
      <c r="I4" s="25" t="s">
        <v>184</v>
      </c>
      <c r="J4" s="25" t="s">
        <v>222</v>
      </c>
      <c r="K4" s="207" t="s">
        <v>253</v>
      </c>
      <c r="L4" s="376"/>
    </row>
    <row r="5" spans="1:14" ht="9" customHeight="1">
      <c r="A5" s="17" t="s">
        <v>89</v>
      </c>
      <c r="B5" s="113">
        <f>+B6+B34+B33</f>
        <v>1331262.125</v>
      </c>
      <c r="C5" s="113">
        <f aca="true" t="shared" si="0" ref="C5:K5">+C6+C34+C33</f>
        <v>1340117.625</v>
      </c>
      <c r="D5" s="113">
        <f t="shared" si="0"/>
        <v>1446346.875</v>
      </c>
      <c r="E5" s="113">
        <f t="shared" si="0"/>
        <v>1528326.105</v>
      </c>
      <c r="F5" s="113">
        <f t="shared" si="0"/>
        <v>1613478.0588</v>
      </c>
      <c r="G5" s="113">
        <f t="shared" si="0"/>
        <v>1708580.397328</v>
      </c>
      <c r="H5" s="113">
        <f t="shared" si="0"/>
        <v>1811945.2211676799</v>
      </c>
      <c r="I5" s="113">
        <f t="shared" si="0"/>
        <v>1920452.934437741</v>
      </c>
      <c r="J5" s="113">
        <f t="shared" si="0"/>
        <v>2035471.0505040057</v>
      </c>
      <c r="K5" s="124">
        <f t="shared" si="0"/>
        <v>2157390.193534246</v>
      </c>
      <c r="L5" s="407"/>
      <c r="M5" s="403"/>
      <c r="N5" s="403"/>
    </row>
    <row r="6" spans="1:14" ht="9" customHeight="1">
      <c r="A6" s="112" t="s">
        <v>0</v>
      </c>
      <c r="B6" s="118">
        <f>SUM(B7,B15,B16,B19,B20,B21,B22,B30-B44)</f>
        <v>1141016</v>
      </c>
      <c r="C6" s="118">
        <f aca="true" t="shared" si="1" ref="C6:K6">SUM(C7,C15,C16,C19,C20,C21,C22,C30-C44)</f>
        <v>1207739</v>
      </c>
      <c r="D6" s="118">
        <f t="shared" si="1"/>
        <v>1308639</v>
      </c>
      <c r="E6" s="118">
        <f t="shared" si="1"/>
        <v>1387157.34</v>
      </c>
      <c r="F6" s="118">
        <f t="shared" si="1"/>
        <v>1470386.7804</v>
      </c>
      <c r="G6" s="118">
        <f t="shared" si="1"/>
        <v>1558609.987224</v>
      </c>
      <c r="H6" s="118">
        <f t="shared" si="1"/>
        <v>1652126.58645744</v>
      </c>
      <c r="I6" s="118">
        <f t="shared" si="1"/>
        <v>1751254.1816448867</v>
      </c>
      <c r="J6" s="118">
        <f t="shared" si="1"/>
        <v>1856329.43254358</v>
      </c>
      <c r="K6" s="129">
        <f t="shared" si="1"/>
        <v>1967709.198496195</v>
      </c>
      <c r="L6" s="407"/>
      <c r="M6" s="403"/>
      <c r="N6" s="403"/>
    </row>
    <row r="7" spans="1:14" ht="9" customHeight="1">
      <c r="A7" s="16" t="s">
        <v>17</v>
      </c>
      <c r="B7" s="115">
        <f>SUM(B8,B13,B14)</f>
        <v>372280</v>
      </c>
      <c r="C7" s="115">
        <f aca="true" t="shared" si="2" ref="C7:K7">SUM(C8,C13,C14)</f>
        <v>379050</v>
      </c>
      <c r="D7" s="115">
        <f t="shared" si="2"/>
        <v>414528</v>
      </c>
      <c r="E7" s="115">
        <f t="shared" si="2"/>
        <v>439399.68000000005</v>
      </c>
      <c r="F7" s="115">
        <f t="shared" si="2"/>
        <v>465763.66080000007</v>
      </c>
      <c r="G7" s="115">
        <f t="shared" si="2"/>
        <v>493709.480448</v>
      </c>
      <c r="H7" s="115">
        <f t="shared" si="2"/>
        <v>523332.0492748801</v>
      </c>
      <c r="I7" s="115">
        <f t="shared" si="2"/>
        <v>554731.972231373</v>
      </c>
      <c r="J7" s="115">
        <f t="shared" si="2"/>
        <v>588015.8905652554</v>
      </c>
      <c r="K7" s="126">
        <f t="shared" si="2"/>
        <v>623296.8439991707</v>
      </c>
      <c r="L7" s="408"/>
      <c r="M7" s="404"/>
      <c r="N7" s="403"/>
    </row>
    <row r="8" spans="1:14" ht="9" customHeight="1">
      <c r="A8" s="14" t="s">
        <v>1</v>
      </c>
      <c r="B8" s="114">
        <f>SUM(B9,B10,B11,B12)</f>
        <v>350722</v>
      </c>
      <c r="C8" s="114">
        <f aca="true" t="shared" si="3" ref="C8:K8">SUM(C9,C10,C11,C12)</f>
        <v>356804</v>
      </c>
      <c r="D8" s="114">
        <f t="shared" si="3"/>
        <v>390668</v>
      </c>
      <c r="E8" s="114">
        <f t="shared" si="3"/>
        <v>414108.08</v>
      </c>
      <c r="F8" s="114">
        <f t="shared" si="3"/>
        <v>438954.56480000005</v>
      </c>
      <c r="G8" s="114">
        <f t="shared" si="3"/>
        <v>465291.83868800005</v>
      </c>
      <c r="H8" s="114">
        <f t="shared" si="3"/>
        <v>493209.3490092801</v>
      </c>
      <c r="I8" s="114">
        <f t="shared" si="3"/>
        <v>522801.90994983696</v>
      </c>
      <c r="J8" s="114">
        <f t="shared" si="3"/>
        <v>554170.0245468272</v>
      </c>
      <c r="K8" s="125">
        <f t="shared" si="3"/>
        <v>587420.2260196368</v>
      </c>
      <c r="L8" s="409"/>
      <c r="M8" s="404"/>
      <c r="N8" s="403"/>
    </row>
    <row r="9" spans="1:14" ht="9" customHeight="1">
      <c r="A9" s="105" t="s">
        <v>94</v>
      </c>
      <c r="B9" s="116">
        <v>127952</v>
      </c>
      <c r="C9" s="116">
        <v>131952</v>
      </c>
      <c r="D9" s="116">
        <v>149500</v>
      </c>
      <c r="E9" s="116">
        <f aca="true" t="shared" si="4" ref="E9:E15">D9*(1.06)</f>
        <v>158470</v>
      </c>
      <c r="F9" s="116">
        <f aca="true" t="shared" si="5" ref="F9:K10">E9*(1.06)</f>
        <v>167978.2</v>
      </c>
      <c r="G9" s="116">
        <f t="shared" si="5"/>
        <v>178056.89200000002</v>
      </c>
      <c r="H9" s="116">
        <f t="shared" si="5"/>
        <v>188740.30552000002</v>
      </c>
      <c r="I9" s="116">
        <f t="shared" si="5"/>
        <v>200064.72385120005</v>
      </c>
      <c r="J9" s="116">
        <f t="shared" si="5"/>
        <v>212068.60728227207</v>
      </c>
      <c r="K9" s="127">
        <f t="shared" si="5"/>
        <v>224792.7237192084</v>
      </c>
      <c r="L9" s="466"/>
      <c r="M9" s="404"/>
      <c r="N9" s="403"/>
    </row>
    <row r="10" spans="1:14" ht="9" customHeight="1">
      <c r="A10" s="105" t="s">
        <v>148</v>
      </c>
      <c r="B10" s="116">
        <v>138500</v>
      </c>
      <c r="C10" s="116">
        <v>135980</v>
      </c>
      <c r="D10" s="116">
        <v>145300</v>
      </c>
      <c r="E10" s="116">
        <f t="shared" si="4"/>
        <v>154018</v>
      </c>
      <c r="F10" s="116">
        <f t="shared" si="5"/>
        <v>163259.08000000002</v>
      </c>
      <c r="G10" s="116">
        <f t="shared" si="5"/>
        <v>173054.62480000002</v>
      </c>
      <c r="H10" s="116">
        <f t="shared" si="5"/>
        <v>183437.90228800004</v>
      </c>
      <c r="I10" s="116">
        <f t="shared" si="5"/>
        <v>194444.17642528005</v>
      </c>
      <c r="J10" s="116">
        <f t="shared" si="5"/>
        <v>206110.82701079687</v>
      </c>
      <c r="K10" s="127">
        <f t="shared" si="5"/>
        <v>218477.4766314447</v>
      </c>
      <c r="L10" s="410"/>
      <c r="M10" s="405"/>
      <c r="N10" s="403"/>
    </row>
    <row r="11" spans="1:14" ht="9" customHeight="1">
      <c r="A11" s="105" t="s">
        <v>127</v>
      </c>
      <c r="B11" s="116">
        <v>33687</v>
      </c>
      <c r="C11" s="116">
        <v>34104</v>
      </c>
      <c r="D11" s="116">
        <v>37468</v>
      </c>
      <c r="E11" s="116">
        <f t="shared" si="4"/>
        <v>39716.08</v>
      </c>
      <c r="F11" s="116">
        <f aca="true" t="shared" si="6" ref="F11:K12">E11*(1.06)</f>
        <v>42099.0448</v>
      </c>
      <c r="G11" s="116">
        <f t="shared" si="6"/>
        <v>44624.987488000006</v>
      </c>
      <c r="H11" s="116">
        <f t="shared" si="6"/>
        <v>47302.48673728001</v>
      </c>
      <c r="I11" s="116">
        <f t="shared" si="6"/>
        <v>50140.63594151681</v>
      </c>
      <c r="J11" s="116">
        <f t="shared" si="6"/>
        <v>53149.074098007826</v>
      </c>
      <c r="K11" s="127">
        <f t="shared" si="6"/>
        <v>56338.0185438883</v>
      </c>
      <c r="L11" s="410"/>
      <c r="M11" s="404"/>
      <c r="N11" s="403"/>
    </row>
    <row r="12" spans="1:14" ht="9" customHeight="1">
      <c r="A12" s="105" t="s">
        <v>147</v>
      </c>
      <c r="B12" s="116">
        <v>50583</v>
      </c>
      <c r="C12" s="116">
        <v>54768</v>
      </c>
      <c r="D12" s="116">
        <v>58400</v>
      </c>
      <c r="E12" s="116">
        <f t="shared" si="4"/>
        <v>61904</v>
      </c>
      <c r="F12" s="116">
        <f t="shared" si="6"/>
        <v>65618.24</v>
      </c>
      <c r="G12" s="116">
        <f t="shared" si="6"/>
        <v>69555.3344</v>
      </c>
      <c r="H12" s="116">
        <f t="shared" si="6"/>
        <v>73728.654464</v>
      </c>
      <c r="I12" s="116">
        <f t="shared" si="6"/>
        <v>78152.37373184001</v>
      </c>
      <c r="J12" s="116">
        <f t="shared" si="6"/>
        <v>82841.51615575042</v>
      </c>
      <c r="K12" s="127">
        <f t="shared" si="6"/>
        <v>87812.00712509545</v>
      </c>
      <c r="L12" s="410"/>
      <c r="M12" s="404"/>
      <c r="N12" s="403"/>
    </row>
    <row r="13" spans="1:14" ht="9" customHeight="1">
      <c r="A13" s="106" t="s">
        <v>2</v>
      </c>
      <c r="B13" s="114">
        <v>21436</v>
      </c>
      <c r="C13" s="114">
        <v>22057</v>
      </c>
      <c r="D13" s="114">
        <v>23621</v>
      </c>
      <c r="E13" s="114">
        <f t="shared" si="4"/>
        <v>25038.260000000002</v>
      </c>
      <c r="F13" s="114">
        <f aca="true" t="shared" si="7" ref="F13:K14">E13*(1.06)</f>
        <v>26540.555600000003</v>
      </c>
      <c r="G13" s="114">
        <f t="shared" si="7"/>
        <v>28132.988936000005</v>
      </c>
      <c r="H13" s="114">
        <f t="shared" si="7"/>
        <v>29820.968272160007</v>
      </c>
      <c r="I13" s="114">
        <f t="shared" si="7"/>
        <v>31610.22636848961</v>
      </c>
      <c r="J13" s="114">
        <f t="shared" si="7"/>
        <v>33506.83995059899</v>
      </c>
      <c r="K13" s="125">
        <f t="shared" si="7"/>
        <v>35517.25034763493</v>
      </c>
      <c r="L13" s="411"/>
      <c r="M13" s="404"/>
      <c r="N13" s="403"/>
    </row>
    <row r="14" spans="1:14" ht="9" customHeight="1">
      <c r="A14" s="106" t="s">
        <v>104</v>
      </c>
      <c r="B14" s="114">
        <v>122</v>
      </c>
      <c r="C14" s="114">
        <v>189</v>
      </c>
      <c r="D14" s="114">
        <v>239</v>
      </c>
      <c r="E14" s="114">
        <f t="shared" si="4"/>
        <v>253.34</v>
      </c>
      <c r="F14" s="114">
        <f t="shared" si="7"/>
        <v>268.54040000000003</v>
      </c>
      <c r="G14" s="114">
        <f t="shared" si="7"/>
        <v>284.65282400000007</v>
      </c>
      <c r="H14" s="114">
        <f t="shared" si="7"/>
        <v>301.7319934400001</v>
      </c>
      <c r="I14" s="114">
        <f t="shared" si="7"/>
        <v>319.83591304640015</v>
      </c>
      <c r="J14" s="114">
        <f t="shared" si="7"/>
        <v>339.02606782918417</v>
      </c>
      <c r="K14" s="125">
        <f t="shared" si="7"/>
        <v>359.36763189893526</v>
      </c>
      <c r="L14" s="412"/>
      <c r="M14" s="403"/>
      <c r="N14" s="403"/>
    </row>
    <row r="15" spans="1:14" ht="9" customHeight="1">
      <c r="A15" s="107" t="s">
        <v>86</v>
      </c>
      <c r="B15" s="115">
        <v>54951</v>
      </c>
      <c r="C15" s="115">
        <v>109791</v>
      </c>
      <c r="D15" s="115">
        <v>146302</v>
      </c>
      <c r="E15" s="115">
        <f t="shared" si="4"/>
        <v>155080.12</v>
      </c>
      <c r="F15" s="115">
        <f aca="true" t="shared" si="8" ref="F15:K15">E15*(1.06)</f>
        <v>164384.9272</v>
      </c>
      <c r="G15" s="115">
        <f t="shared" si="8"/>
        <v>174248.02283200002</v>
      </c>
      <c r="H15" s="115">
        <f t="shared" si="8"/>
        <v>184702.90420192003</v>
      </c>
      <c r="I15" s="115">
        <f t="shared" si="8"/>
        <v>195785.07845403525</v>
      </c>
      <c r="J15" s="115">
        <f t="shared" si="8"/>
        <v>207532.18316127738</v>
      </c>
      <c r="K15" s="126">
        <f t="shared" si="8"/>
        <v>219984.11415095403</v>
      </c>
      <c r="L15" s="413"/>
      <c r="M15" s="403"/>
      <c r="N15" s="403"/>
    </row>
    <row r="16" spans="1:14" ht="9" customHeight="1">
      <c r="A16" s="107" t="s">
        <v>3</v>
      </c>
      <c r="B16" s="119">
        <f>SUM(B17,B18)</f>
        <v>62836</v>
      </c>
      <c r="C16" s="119">
        <f aca="true" t="shared" si="9" ref="C16:K16">SUM(C17,C18)</f>
        <v>35882</v>
      </c>
      <c r="D16" s="119">
        <f t="shared" si="9"/>
        <v>34711</v>
      </c>
      <c r="E16" s="119">
        <f t="shared" si="9"/>
        <v>36793.66</v>
      </c>
      <c r="F16" s="119">
        <f t="shared" si="9"/>
        <v>39001.2796</v>
      </c>
      <c r="G16" s="119">
        <f t="shared" si="9"/>
        <v>41341.356376</v>
      </c>
      <c r="H16" s="119">
        <f t="shared" si="9"/>
        <v>43821.83775856</v>
      </c>
      <c r="I16" s="119">
        <f t="shared" si="9"/>
        <v>46451.148024073605</v>
      </c>
      <c r="J16" s="119">
        <f t="shared" si="9"/>
        <v>49238.21690551803</v>
      </c>
      <c r="K16" s="130">
        <f t="shared" si="9"/>
        <v>52192.50991984911</v>
      </c>
      <c r="L16" s="413"/>
      <c r="M16" s="403"/>
      <c r="N16" s="403"/>
    </row>
    <row r="17" spans="1:14" ht="9" customHeight="1">
      <c r="A17" s="109" t="s">
        <v>13</v>
      </c>
      <c r="B17" s="114">
        <v>62367</v>
      </c>
      <c r="C17" s="114">
        <v>29862</v>
      </c>
      <c r="D17" s="114">
        <v>27218</v>
      </c>
      <c r="E17" s="114">
        <f>D17*(1.06)</f>
        <v>28851.08</v>
      </c>
      <c r="F17" s="114">
        <f aca="true" t="shared" si="10" ref="E17:G21">E17*(1.06)</f>
        <v>30582.144800000002</v>
      </c>
      <c r="G17" s="114">
        <f t="shared" si="10"/>
        <v>32417.073488</v>
      </c>
      <c r="H17" s="114">
        <f aca="true" t="shared" si="11" ref="H17:K21">G17*(1.06)</f>
        <v>34362.09789728</v>
      </c>
      <c r="I17" s="114">
        <f t="shared" si="11"/>
        <v>36423.823771116804</v>
      </c>
      <c r="J17" s="114">
        <f t="shared" si="11"/>
        <v>38609.25319738381</v>
      </c>
      <c r="K17" s="125">
        <f t="shared" si="11"/>
        <v>40925.80838922684</v>
      </c>
      <c r="L17" s="408"/>
      <c r="M17" s="403"/>
      <c r="N17" s="403"/>
    </row>
    <row r="18" spans="1:14" ht="9" customHeight="1">
      <c r="A18" s="106" t="s">
        <v>4</v>
      </c>
      <c r="B18" s="114">
        <v>469</v>
      </c>
      <c r="C18" s="114">
        <v>6020</v>
      </c>
      <c r="D18" s="114">
        <v>7493</v>
      </c>
      <c r="E18" s="114">
        <f aca="true" t="shared" si="12" ref="E18:K20">D18*(1.06)</f>
        <v>7942.580000000001</v>
      </c>
      <c r="F18" s="114">
        <f t="shared" si="10"/>
        <v>8419.134800000002</v>
      </c>
      <c r="G18" s="114">
        <f t="shared" si="10"/>
        <v>8924.282888000002</v>
      </c>
      <c r="H18" s="114">
        <f t="shared" si="11"/>
        <v>9459.739861280003</v>
      </c>
      <c r="I18" s="114">
        <f t="shared" si="11"/>
        <v>10027.324252956803</v>
      </c>
      <c r="J18" s="114">
        <f t="shared" si="11"/>
        <v>10628.963708134212</v>
      </c>
      <c r="K18" s="125">
        <f t="shared" si="11"/>
        <v>11266.701530622266</v>
      </c>
      <c r="L18" s="408"/>
      <c r="M18" s="403"/>
      <c r="N18" s="403"/>
    </row>
    <row r="19" spans="1:14" ht="9" customHeight="1">
      <c r="A19" s="107" t="s">
        <v>267</v>
      </c>
      <c r="B19" s="115">
        <v>0</v>
      </c>
      <c r="C19" s="115">
        <v>0</v>
      </c>
      <c r="D19" s="115">
        <v>0</v>
      </c>
      <c r="E19" s="115">
        <f t="shared" si="12"/>
        <v>0</v>
      </c>
      <c r="F19" s="115">
        <f t="shared" si="12"/>
        <v>0</v>
      </c>
      <c r="G19" s="115">
        <f t="shared" si="12"/>
        <v>0</v>
      </c>
      <c r="H19" s="115">
        <f t="shared" si="12"/>
        <v>0</v>
      </c>
      <c r="I19" s="115">
        <f t="shared" si="12"/>
        <v>0</v>
      </c>
      <c r="J19" s="115">
        <f t="shared" si="12"/>
        <v>0</v>
      </c>
      <c r="K19" s="126">
        <f t="shared" si="12"/>
        <v>0</v>
      </c>
      <c r="L19" s="414"/>
      <c r="M19" s="403"/>
      <c r="N19" s="403"/>
    </row>
    <row r="20" spans="1:14" ht="9" customHeight="1">
      <c r="A20" s="107" t="s">
        <v>205</v>
      </c>
      <c r="B20" s="115">
        <v>0</v>
      </c>
      <c r="C20" s="115">
        <v>0</v>
      </c>
      <c r="D20" s="115">
        <v>0</v>
      </c>
      <c r="E20" s="115">
        <f t="shared" si="12"/>
        <v>0</v>
      </c>
      <c r="F20" s="115">
        <f t="shared" si="12"/>
        <v>0</v>
      </c>
      <c r="G20" s="115">
        <f t="shared" si="12"/>
        <v>0</v>
      </c>
      <c r="H20" s="115">
        <f t="shared" si="12"/>
        <v>0</v>
      </c>
      <c r="I20" s="115">
        <f t="shared" si="12"/>
        <v>0</v>
      </c>
      <c r="J20" s="115">
        <f t="shared" si="12"/>
        <v>0</v>
      </c>
      <c r="K20" s="126">
        <f t="shared" si="12"/>
        <v>0</v>
      </c>
      <c r="L20" s="408"/>
      <c r="M20" s="403"/>
      <c r="N20" s="403"/>
    </row>
    <row r="21" spans="1:14" ht="9" customHeight="1">
      <c r="A21" s="107" t="s">
        <v>95</v>
      </c>
      <c r="B21" s="115">
        <v>32775</v>
      </c>
      <c r="C21" s="115">
        <v>21105</v>
      </c>
      <c r="D21" s="115">
        <v>21815</v>
      </c>
      <c r="E21" s="115">
        <f t="shared" si="10"/>
        <v>23123.9</v>
      </c>
      <c r="F21" s="115">
        <f t="shared" si="10"/>
        <v>24511.334000000003</v>
      </c>
      <c r="G21" s="115">
        <f t="shared" si="10"/>
        <v>25982.014040000005</v>
      </c>
      <c r="H21" s="115">
        <f t="shared" si="11"/>
        <v>27540.934882400008</v>
      </c>
      <c r="I21" s="115">
        <f t="shared" si="11"/>
        <v>29193.39097534401</v>
      </c>
      <c r="J21" s="115">
        <f t="shared" si="11"/>
        <v>30944.994433864653</v>
      </c>
      <c r="K21" s="126">
        <f t="shared" si="11"/>
        <v>32801.69409989654</v>
      </c>
      <c r="L21" s="413"/>
      <c r="M21" s="403"/>
      <c r="N21" s="403"/>
    </row>
    <row r="22" spans="1:14" ht="9" customHeight="1">
      <c r="A22" s="107" t="s">
        <v>14</v>
      </c>
      <c r="B22" s="115">
        <f>SUM(B23,B26,B29)</f>
        <v>571709</v>
      </c>
      <c r="C22" s="115">
        <f aca="true" t="shared" si="13" ref="C22:K22">SUM(C23,C26,C29)</f>
        <v>627178</v>
      </c>
      <c r="D22" s="115">
        <f t="shared" si="13"/>
        <v>660128</v>
      </c>
      <c r="E22" s="115">
        <f t="shared" si="13"/>
        <v>699735.68</v>
      </c>
      <c r="F22" s="115">
        <f t="shared" si="13"/>
        <v>741719.8208000001</v>
      </c>
      <c r="G22" s="115">
        <f t="shared" si="13"/>
        <v>786223.0100479999</v>
      </c>
      <c r="H22" s="115">
        <f t="shared" si="13"/>
        <v>833396.39065088</v>
      </c>
      <c r="I22" s="115">
        <f t="shared" si="13"/>
        <v>883400.1740899329</v>
      </c>
      <c r="J22" s="115">
        <f t="shared" si="13"/>
        <v>936404.1845353289</v>
      </c>
      <c r="K22" s="126">
        <f t="shared" si="13"/>
        <v>992588.4356074487</v>
      </c>
      <c r="L22" s="468"/>
      <c r="M22" s="403"/>
      <c r="N22" s="403"/>
    </row>
    <row r="23" spans="1:12" ht="9" customHeight="1">
      <c r="A23" s="106" t="s">
        <v>96</v>
      </c>
      <c r="B23" s="114">
        <f aca="true" t="shared" si="14" ref="B23:K23">SUM(B24,B25)</f>
        <v>277314</v>
      </c>
      <c r="C23" s="114">
        <f t="shared" si="14"/>
        <v>290600</v>
      </c>
      <c r="D23" s="114">
        <f t="shared" si="14"/>
        <v>326250</v>
      </c>
      <c r="E23" s="114">
        <f t="shared" si="14"/>
        <v>345825</v>
      </c>
      <c r="F23" s="114">
        <f t="shared" si="14"/>
        <v>366574.5</v>
      </c>
      <c r="G23" s="114">
        <f t="shared" si="14"/>
        <v>388568.97</v>
      </c>
      <c r="H23" s="114">
        <f t="shared" si="14"/>
        <v>411883.1082</v>
      </c>
      <c r="I23" s="114">
        <f t="shared" si="14"/>
        <v>436596.094692</v>
      </c>
      <c r="J23" s="114">
        <f t="shared" si="14"/>
        <v>462791.86037352006</v>
      </c>
      <c r="K23" s="125">
        <f t="shared" si="14"/>
        <v>490559.37199593126</v>
      </c>
      <c r="L23" s="435"/>
    </row>
    <row r="24" spans="1:12" ht="9" customHeight="1">
      <c r="A24" s="105" t="s">
        <v>97</v>
      </c>
      <c r="B24" s="116">
        <v>78000</v>
      </c>
      <c r="C24" s="116">
        <v>85200</v>
      </c>
      <c r="D24" s="116">
        <v>89100</v>
      </c>
      <c r="E24" s="116">
        <f>D24*(1.06)</f>
        <v>94446</v>
      </c>
      <c r="F24" s="116">
        <f aca="true" t="shared" si="15" ref="F24:K24">E24*(1.06)</f>
        <v>100112.76000000001</v>
      </c>
      <c r="G24" s="116">
        <f t="shared" si="15"/>
        <v>106119.52560000001</v>
      </c>
      <c r="H24" s="116">
        <f t="shared" si="15"/>
        <v>112486.69713600002</v>
      </c>
      <c r="I24" s="116">
        <f t="shared" si="15"/>
        <v>119235.89896416002</v>
      </c>
      <c r="J24" s="116">
        <f t="shared" si="15"/>
        <v>126390.05290200963</v>
      </c>
      <c r="K24" s="127">
        <f t="shared" si="15"/>
        <v>133973.4560761302</v>
      </c>
      <c r="L24" s="416"/>
    </row>
    <row r="25" spans="1:12" ht="9" customHeight="1">
      <c r="A25" s="105" t="s">
        <v>140</v>
      </c>
      <c r="B25" s="116">
        <v>199314</v>
      </c>
      <c r="C25" s="116">
        <v>205400</v>
      </c>
      <c r="D25" s="116">
        <v>237150</v>
      </c>
      <c r="E25" s="116">
        <f>D25*(1.06)</f>
        <v>251379</v>
      </c>
      <c r="F25" s="116">
        <f aca="true" t="shared" si="16" ref="F25:K25">E25*(1.06)</f>
        <v>266461.74</v>
      </c>
      <c r="G25" s="116">
        <f t="shared" si="16"/>
        <v>282449.4444</v>
      </c>
      <c r="H25" s="116">
        <f t="shared" si="16"/>
        <v>299396.411064</v>
      </c>
      <c r="I25" s="116">
        <f t="shared" si="16"/>
        <v>317360.19572784</v>
      </c>
      <c r="J25" s="116">
        <f t="shared" si="16"/>
        <v>336401.80747151043</v>
      </c>
      <c r="K25" s="127">
        <f t="shared" si="16"/>
        <v>356585.91591980105</v>
      </c>
      <c r="L25" s="416"/>
    </row>
    <row r="26" spans="1:12" ht="9" customHeight="1">
      <c r="A26" s="106" t="s">
        <v>98</v>
      </c>
      <c r="B26" s="114">
        <f>SUM(B27,B28)</f>
        <v>204200</v>
      </c>
      <c r="C26" s="114">
        <f aca="true" t="shared" si="17" ref="C26:K26">SUM(C27,C28)</f>
        <v>249602</v>
      </c>
      <c r="D26" s="114">
        <f t="shared" si="17"/>
        <v>210286</v>
      </c>
      <c r="E26" s="114">
        <f t="shared" si="17"/>
        <v>222903.16</v>
      </c>
      <c r="F26" s="114">
        <f t="shared" si="17"/>
        <v>236277.34960000002</v>
      </c>
      <c r="G26" s="114">
        <f t="shared" si="17"/>
        <v>250453.990576</v>
      </c>
      <c r="H26" s="114">
        <f t="shared" si="17"/>
        <v>265481.23001056</v>
      </c>
      <c r="I26" s="114">
        <f t="shared" si="17"/>
        <v>281410.10381119367</v>
      </c>
      <c r="J26" s="114">
        <f t="shared" si="17"/>
        <v>298294.7100398653</v>
      </c>
      <c r="K26" s="125">
        <f t="shared" si="17"/>
        <v>316192.3926422572</v>
      </c>
      <c r="L26" s="415"/>
    </row>
    <row r="27" spans="1:12" ht="9" customHeight="1">
      <c r="A27" s="105" t="s">
        <v>99</v>
      </c>
      <c r="B27" s="116">
        <v>129708</v>
      </c>
      <c r="C27" s="116">
        <v>159800</v>
      </c>
      <c r="D27" s="116">
        <v>138000</v>
      </c>
      <c r="E27" s="116">
        <f>D27*(1.06)</f>
        <v>146280</v>
      </c>
      <c r="F27" s="116">
        <f aca="true" t="shared" si="18" ref="F27:K27">E27*(1.06)</f>
        <v>155056.80000000002</v>
      </c>
      <c r="G27" s="116">
        <f t="shared" si="18"/>
        <v>164360.208</v>
      </c>
      <c r="H27" s="116">
        <f t="shared" si="18"/>
        <v>174221.82048000002</v>
      </c>
      <c r="I27" s="116">
        <f t="shared" si="18"/>
        <v>184675.12970880003</v>
      </c>
      <c r="J27" s="116">
        <f t="shared" si="18"/>
        <v>195755.63749132803</v>
      </c>
      <c r="K27" s="127">
        <f t="shared" si="18"/>
        <v>207500.9757408077</v>
      </c>
      <c r="L27" s="416"/>
    </row>
    <row r="28" spans="1:12" ht="9" customHeight="1">
      <c r="A28" s="105" t="s">
        <v>194</v>
      </c>
      <c r="B28" s="116">
        <v>74492</v>
      </c>
      <c r="C28" s="116">
        <v>89802</v>
      </c>
      <c r="D28" s="116">
        <v>72286</v>
      </c>
      <c r="E28" s="116">
        <f>D28*(1.06)</f>
        <v>76623.16</v>
      </c>
      <c r="F28" s="116">
        <f aca="true" t="shared" si="19" ref="F28:K28">E28*(1.06)</f>
        <v>81220.54960000001</v>
      </c>
      <c r="G28" s="116">
        <f t="shared" si="19"/>
        <v>86093.78257600001</v>
      </c>
      <c r="H28" s="116">
        <f t="shared" si="19"/>
        <v>91259.40953056002</v>
      </c>
      <c r="I28" s="116">
        <f t="shared" si="19"/>
        <v>96734.97410239362</v>
      </c>
      <c r="J28" s="116">
        <f t="shared" si="19"/>
        <v>102539.07254853724</v>
      </c>
      <c r="K28" s="127">
        <f t="shared" si="19"/>
        <v>108691.41690144948</v>
      </c>
      <c r="L28" s="416"/>
    </row>
    <row r="29" spans="1:12" ht="9" customHeight="1">
      <c r="A29" s="106" t="s">
        <v>100</v>
      </c>
      <c r="B29" s="114">
        <v>90195</v>
      </c>
      <c r="C29" s="114">
        <v>86976</v>
      </c>
      <c r="D29" s="114">
        <v>123592</v>
      </c>
      <c r="E29" s="114">
        <f>D29*(1.06)</f>
        <v>131007.52</v>
      </c>
      <c r="F29" s="114">
        <f aca="true" t="shared" si="20" ref="F29:K29">E29*(1.06)</f>
        <v>138867.9712</v>
      </c>
      <c r="G29" s="114">
        <f t="shared" si="20"/>
        <v>147200.049472</v>
      </c>
      <c r="H29" s="114">
        <f t="shared" si="20"/>
        <v>156032.05244032003</v>
      </c>
      <c r="I29" s="114">
        <f t="shared" si="20"/>
        <v>165393.97558673922</v>
      </c>
      <c r="J29" s="114">
        <f t="shared" si="20"/>
        <v>175317.6141219436</v>
      </c>
      <c r="K29" s="125">
        <f t="shared" si="20"/>
        <v>185836.67096926022</v>
      </c>
      <c r="L29" s="416"/>
    </row>
    <row r="30" spans="1:12" ht="9" customHeight="1">
      <c r="A30" s="108" t="s">
        <v>85</v>
      </c>
      <c r="B30" s="115">
        <f aca="true" t="shared" si="21" ref="B30:K30">SUM(B31,B32)</f>
        <v>100285</v>
      </c>
      <c r="C30" s="115">
        <f t="shared" si="21"/>
        <v>101000</v>
      </c>
      <c r="D30" s="115">
        <f t="shared" si="21"/>
        <v>106280</v>
      </c>
      <c r="E30" s="115">
        <f t="shared" si="21"/>
        <v>112656.8</v>
      </c>
      <c r="F30" s="115">
        <f t="shared" si="21"/>
        <v>119416.20800000001</v>
      </c>
      <c r="G30" s="115">
        <f t="shared" si="21"/>
        <v>126581.18048000001</v>
      </c>
      <c r="H30" s="115">
        <f t="shared" si="21"/>
        <v>134176.05130880003</v>
      </c>
      <c r="I30" s="115">
        <f t="shared" si="21"/>
        <v>142226.61438732804</v>
      </c>
      <c r="J30" s="115">
        <f t="shared" si="21"/>
        <v>150760.21125056772</v>
      </c>
      <c r="K30" s="126">
        <f t="shared" si="21"/>
        <v>159805.82392560178</v>
      </c>
      <c r="L30" s="413"/>
    </row>
    <row r="31" spans="1:12" ht="9" customHeight="1">
      <c r="A31" s="109" t="s">
        <v>138</v>
      </c>
      <c r="B31" s="114">
        <v>47384</v>
      </c>
      <c r="C31" s="114">
        <v>54690</v>
      </c>
      <c r="D31" s="114">
        <v>57100</v>
      </c>
      <c r="E31" s="114">
        <f>D31*(1.06)</f>
        <v>60526</v>
      </c>
      <c r="F31" s="114">
        <f aca="true" t="shared" si="22" ref="F31:K33">E31*(1.06)</f>
        <v>64157.560000000005</v>
      </c>
      <c r="G31" s="114">
        <f t="shared" si="22"/>
        <v>68007.0136</v>
      </c>
      <c r="H31" s="114">
        <f t="shared" si="22"/>
        <v>72087.434416</v>
      </c>
      <c r="I31" s="114">
        <f t="shared" si="22"/>
        <v>76412.68048096001</v>
      </c>
      <c r="J31" s="114">
        <f t="shared" si="22"/>
        <v>80997.44130981762</v>
      </c>
      <c r="K31" s="125">
        <f t="shared" si="22"/>
        <v>85857.28778840668</v>
      </c>
      <c r="L31" s="416"/>
    </row>
    <row r="32" spans="1:12" ht="9" customHeight="1">
      <c r="A32" s="109" t="s">
        <v>139</v>
      </c>
      <c r="B32" s="114">
        <v>52901</v>
      </c>
      <c r="C32" s="114">
        <v>46310</v>
      </c>
      <c r="D32" s="114">
        <v>49180</v>
      </c>
      <c r="E32" s="114">
        <f>D32*(1.06)</f>
        <v>52130.8</v>
      </c>
      <c r="F32" s="114">
        <f t="shared" si="22"/>
        <v>55258.64800000001</v>
      </c>
      <c r="G32" s="114">
        <f t="shared" si="22"/>
        <v>58574.16688000001</v>
      </c>
      <c r="H32" s="114">
        <f t="shared" si="22"/>
        <v>62088.61689280002</v>
      </c>
      <c r="I32" s="114">
        <f t="shared" si="22"/>
        <v>65813.93390636802</v>
      </c>
      <c r="J32" s="114">
        <f t="shared" si="22"/>
        <v>69762.7699407501</v>
      </c>
      <c r="K32" s="125">
        <f t="shared" si="22"/>
        <v>73948.53613719511</v>
      </c>
      <c r="L32" s="416"/>
    </row>
    <row r="33" spans="1:12" ht="9" customHeight="1">
      <c r="A33" s="108" t="s">
        <v>209</v>
      </c>
      <c r="B33" s="402">
        <v>114854</v>
      </c>
      <c r="C33" s="115">
        <v>96263</v>
      </c>
      <c r="D33" s="115">
        <v>98125</v>
      </c>
      <c r="E33" s="114">
        <f>D33*(1.06)</f>
        <v>104012.5</v>
      </c>
      <c r="F33" s="114">
        <f t="shared" si="22"/>
        <v>110253.25</v>
      </c>
      <c r="G33" s="114">
        <f t="shared" si="22"/>
        <v>116868.445</v>
      </c>
      <c r="H33" s="114">
        <f t="shared" si="22"/>
        <v>123880.55170000001</v>
      </c>
      <c r="I33" s="114">
        <f t="shared" si="22"/>
        <v>131313.38480200002</v>
      </c>
      <c r="J33" s="114">
        <f t="shared" si="22"/>
        <v>139192.18789012003</v>
      </c>
      <c r="K33" s="125">
        <f t="shared" si="22"/>
        <v>147543.71916352725</v>
      </c>
      <c r="L33" s="416"/>
    </row>
    <row r="34" spans="1:12" ht="9" customHeight="1">
      <c r="A34" s="110" t="s">
        <v>5</v>
      </c>
      <c r="B34" s="118">
        <f>SUM(B35,B40,B41,B42,B43)</f>
        <v>75392.125</v>
      </c>
      <c r="C34" s="118">
        <f aca="true" t="shared" si="23" ref="C34:K34">SUM(C35,C40,C41,C42,C43)</f>
        <v>36115.625</v>
      </c>
      <c r="D34" s="118">
        <f t="shared" si="23"/>
        <v>39582.875</v>
      </c>
      <c r="E34" s="118">
        <f t="shared" si="23"/>
        <v>37156.265</v>
      </c>
      <c r="F34" s="118">
        <f t="shared" si="23"/>
        <v>32838.0284</v>
      </c>
      <c r="G34" s="118">
        <f t="shared" si="23"/>
        <v>33101.96510400001</v>
      </c>
      <c r="H34" s="118">
        <f t="shared" si="23"/>
        <v>35938.083010240014</v>
      </c>
      <c r="I34" s="118">
        <f t="shared" si="23"/>
        <v>37885.367990854415</v>
      </c>
      <c r="J34" s="118">
        <f t="shared" si="23"/>
        <v>39949.43007030568</v>
      </c>
      <c r="K34" s="129">
        <f t="shared" si="23"/>
        <v>42137.27587452401</v>
      </c>
      <c r="L34" s="407"/>
    </row>
    <row r="35" spans="1:12" ht="9" customHeight="1">
      <c r="A35" s="107" t="s">
        <v>18</v>
      </c>
      <c r="B35" s="119">
        <f aca="true" t="shared" si="24" ref="B35:K35">SUM(B36,B37)</f>
        <v>18474.125</v>
      </c>
      <c r="C35" s="119">
        <f t="shared" si="24"/>
        <v>20352.625</v>
      </c>
      <c r="D35" s="119">
        <f t="shared" si="24"/>
        <v>22936.875</v>
      </c>
      <c r="E35" s="119">
        <f t="shared" si="24"/>
        <v>19511.505</v>
      </c>
      <c r="F35" s="119">
        <f t="shared" si="24"/>
        <v>14134.582800000002</v>
      </c>
      <c r="G35" s="119">
        <f t="shared" si="24"/>
        <v>13276.312768000003</v>
      </c>
      <c r="H35" s="119">
        <f t="shared" si="24"/>
        <v>14922.891534080005</v>
      </c>
      <c r="I35" s="119">
        <f t="shared" si="24"/>
        <v>15609.265026124805</v>
      </c>
      <c r="J35" s="119">
        <f t="shared" si="24"/>
        <v>16336.760927692294</v>
      </c>
      <c r="K35" s="130">
        <f t="shared" si="24"/>
        <v>17107.846583353832</v>
      </c>
      <c r="L35" s="408"/>
    </row>
    <row r="36" spans="1:12" ht="9" customHeight="1">
      <c r="A36" s="14" t="s">
        <v>143</v>
      </c>
      <c r="B36" s="121">
        <v>16490</v>
      </c>
      <c r="C36" s="121">
        <v>10432</v>
      </c>
      <c r="D36" s="121">
        <v>9048</v>
      </c>
      <c r="E36" s="114">
        <f aca="true" t="shared" si="25" ref="E36:K36">D36*(1.06)</f>
        <v>9590.880000000001</v>
      </c>
      <c r="F36" s="114">
        <f t="shared" si="25"/>
        <v>10166.332800000002</v>
      </c>
      <c r="G36" s="114">
        <f t="shared" si="25"/>
        <v>10776.312768000003</v>
      </c>
      <c r="H36" s="114">
        <f t="shared" si="25"/>
        <v>11422.891534080005</v>
      </c>
      <c r="I36" s="114">
        <f t="shared" si="25"/>
        <v>12108.265026124805</v>
      </c>
      <c r="J36" s="114">
        <f t="shared" si="25"/>
        <v>12834.760927692294</v>
      </c>
      <c r="K36" s="125">
        <f t="shared" si="25"/>
        <v>13604.846583353832</v>
      </c>
      <c r="L36" s="376"/>
    </row>
    <row r="37" spans="1:12" ht="9" customHeight="1">
      <c r="A37" s="14" t="s">
        <v>144</v>
      </c>
      <c r="B37" s="121">
        <f>SUM(B38+B39)</f>
        <v>1984.125</v>
      </c>
      <c r="C37" s="121">
        <f>SUM(C38+C39)</f>
        <v>9920.625</v>
      </c>
      <c r="D37" s="121">
        <f>SUM(D38+D39)</f>
        <v>13888.875</v>
      </c>
      <c r="E37" s="121">
        <f aca="true" t="shared" si="26" ref="E37:K37">SUM(E38,E39)</f>
        <v>9920.625</v>
      </c>
      <c r="F37" s="121">
        <f t="shared" si="26"/>
        <v>3968.25</v>
      </c>
      <c r="G37" s="121">
        <f t="shared" si="26"/>
        <v>2500</v>
      </c>
      <c r="H37" s="121">
        <f t="shared" si="26"/>
        <v>3500</v>
      </c>
      <c r="I37" s="121">
        <f t="shared" si="26"/>
        <v>3501</v>
      </c>
      <c r="J37" s="121">
        <f t="shared" si="26"/>
        <v>3502</v>
      </c>
      <c r="K37" s="132">
        <f t="shared" si="26"/>
        <v>3503</v>
      </c>
      <c r="L37" s="376"/>
    </row>
    <row r="38" spans="1:12" ht="9" customHeight="1">
      <c r="A38" s="38" t="s">
        <v>228</v>
      </c>
      <c r="B38" s="189">
        <f>'Anexo 9'!D$10/1000*(1.85)</f>
        <v>1984.125</v>
      </c>
      <c r="C38" s="189">
        <f>'Anexo 9'!D$12/1000*(1.85)</f>
        <v>9920.625</v>
      </c>
      <c r="D38" s="189">
        <f>'Anexo 9'!D$14/1000*(1.85)</f>
        <v>13888.875</v>
      </c>
      <c r="E38" s="189">
        <f>'Anexo 9'!D$16/1000*(1.85)</f>
        <v>9920.625</v>
      </c>
      <c r="F38" s="189">
        <f>'Anexo 9'!D$17/1000*(1.85)</f>
        <v>3968.25</v>
      </c>
      <c r="G38" s="189">
        <f>'Anexo 9'!D$19/1000*(1.85)</f>
        <v>0</v>
      </c>
      <c r="H38" s="120">
        <v>0</v>
      </c>
      <c r="I38" s="120">
        <v>0</v>
      </c>
      <c r="J38" s="120">
        <v>0</v>
      </c>
      <c r="K38" s="131">
        <v>0</v>
      </c>
      <c r="L38" s="376"/>
    </row>
    <row r="39" spans="1:12" ht="9" customHeight="1">
      <c r="A39" s="3" t="s">
        <v>149</v>
      </c>
      <c r="B39" s="117">
        <v>0</v>
      </c>
      <c r="C39" s="117">
        <v>0</v>
      </c>
      <c r="D39" s="117">
        <v>0</v>
      </c>
      <c r="E39" s="117">
        <v>0</v>
      </c>
      <c r="F39" s="117">
        <v>0</v>
      </c>
      <c r="G39" s="117">
        <v>2500</v>
      </c>
      <c r="H39" s="117">
        <v>3500</v>
      </c>
      <c r="I39" s="117">
        <v>3501</v>
      </c>
      <c r="J39" s="117">
        <v>3502</v>
      </c>
      <c r="K39" s="128">
        <v>3503</v>
      </c>
      <c r="L39" s="376"/>
    </row>
    <row r="40" spans="1:12" ht="9" customHeight="1">
      <c r="A40" s="107" t="s">
        <v>15</v>
      </c>
      <c r="B40" s="119">
        <v>307</v>
      </c>
      <c r="C40" s="119">
        <v>201</v>
      </c>
      <c r="D40" s="119">
        <v>192</v>
      </c>
      <c r="E40" s="115">
        <f aca="true" t="shared" si="27" ref="E40:K40">D40*(1.06)</f>
        <v>203.52</v>
      </c>
      <c r="F40" s="115">
        <f t="shared" si="27"/>
        <v>215.73120000000003</v>
      </c>
      <c r="G40" s="115">
        <f t="shared" si="27"/>
        <v>228.67507200000006</v>
      </c>
      <c r="H40" s="115">
        <f t="shared" si="27"/>
        <v>242.39557632000006</v>
      </c>
      <c r="I40" s="115">
        <f t="shared" si="27"/>
        <v>256.93931089920005</v>
      </c>
      <c r="J40" s="115">
        <f t="shared" si="27"/>
        <v>272.3556695531521</v>
      </c>
      <c r="K40" s="126">
        <f t="shared" si="27"/>
        <v>288.69700972634126</v>
      </c>
      <c r="L40" s="471"/>
    </row>
    <row r="41" spans="1:12" ht="9" customHeight="1">
      <c r="A41" s="107" t="s">
        <v>206</v>
      </c>
      <c r="B41" s="119">
        <v>0</v>
      </c>
      <c r="C41" s="119">
        <v>0</v>
      </c>
      <c r="D41" s="119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26">
        <v>0</v>
      </c>
      <c r="L41" s="376"/>
    </row>
    <row r="42" spans="1:12" ht="9" customHeight="1">
      <c r="A42" s="107" t="s">
        <v>20</v>
      </c>
      <c r="B42" s="119">
        <v>55582</v>
      </c>
      <c r="C42" s="119">
        <v>15544</v>
      </c>
      <c r="D42" s="119">
        <v>16437</v>
      </c>
      <c r="E42" s="115">
        <f aca="true" t="shared" si="28" ref="E42:K44">D42*(1.06)</f>
        <v>17423.22</v>
      </c>
      <c r="F42" s="115">
        <f t="shared" si="28"/>
        <v>18468.613200000003</v>
      </c>
      <c r="G42" s="115">
        <f t="shared" si="28"/>
        <v>19576.729992000004</v>
      </c>
      <c r="H42" s="115">
        <f t="shared" si="28"/>
        <v>20751.333791520006</v>
      </c>
      <c r="I42" s="115">
        <f t="shared" si="28"/>
        <v>21996.413819011206</v>
      </c>
      <c r="J42" s="115">
        <f t="shared" si="28"/>
        <v>23316.19864815188</v>
      </c>
      <c r="K42" s="126">
        <f t="shared" si="28"/>
        <v>24715.170567040994</v>
      </c>
      <c r="L42" s="471"/>
    </row>
    <row r="43" spans="1:12" ht="9" customHeight="1">
      <c r="A43" s="107" t="s">
        <v>6</v>
      </c>
      <c r="B43" s="119">
        <v>1029</v>
      </c>
      <c r="C43" s="119">
        <v>18</v>
      </c>
      <c r="D43" s="119">
        <v>17</v>
      </c>
      <c r="E43" s="115">
        <f>D43*(1.06)</f>
        <v>18.02</v>
      </c>
      <c r="F43" s="115">
        <f t="shared" si="28"/>
        <v>19.101200000000002</v>
      </c>
      <c r="G43" s="115">
        <f t="shared" si="28"/>
        <v>20.247272000000002</v>
      </c>
      <c r="H43" s="115">
        <f t="shared" si="28"/>
        <v>21.462108320000002</v>
      </c>
      <c r="I43" s="115">
        <f t="shared" si="28"/>
        <v>22.749834819200004</v>
      </c>
      <c r="J43" s="115">
        <f t="shared" si="28"/>
        <v>24.114824908352006</v>
      </c>
      <c r="K43" s="126">
        <f t="shared" si="28"/>
        <v>25.561714402853127</v>
      </c>
      <c r="L43" s="471"/>
    </row>
    <row r="44" spans="1:12" ht="9" customHeight="1">
      <c r="A44" s="111" t="s">
        <v>179</v>
      </c>
      <c r="B44" s="406">
        <v>53820</v>
      </c>
      <c r="C44" s="137">
        <v>66267</v>
      </c>
      <c r="D44" s="137">
        <v>75125</v>
      </c>
      <c r="E44" s="114">
        <f>D44*(1.06)</f>
        <v>79632.5</v>
      </c>
      <c r="F44" s="114">
        <f t="shared" si="28"/>
        <v>84410.45</v>
      </c>
      <c r="G44" s="230">
        <f t="shared" si="28"/>
        <v>89475.077</v>
      </c>
      <c r="H44" s="114">
        <f t="shared" si="28"/>
        <v>94843.58162000001</v>
      </c>
      <c r="I44" s="114">
        <f t="shared" si="28"/>
        <v>100534.19651720002</v>
      </c>
      <c r="J44" s="230">
        <f t="shared" si="28"/>
        <v>106566.24830823203</v>
      </c>
      <c r="K44" s="125">
        <f t="shared" si="28"/>
        <v>112960.22320672595</v>
      </c>
      <c r="L44" s="376"/>
    </row>
    <row r="45" spans="1:12" ht="9" customHeight="1">
      <c r="A45" s="107" t="s">
        <v>115</v>
      </c>
      <c r="B45" s="119">
        <f>SUM(B46,B54)</f>
        <v>1253730.25</v>
      </c>
      <c r="C45" s="119">
        <f aca="true" t="shared" si="29" ref="C45:K45">SUM(C46,C54)</f>
        <v>1254454.7755362499</v>
      </c>
      <c r="D45" s="119">
        <f t="shared" si="29"/>
        <v>1329952.81273</v>
      </c>
      <c r="E45" s="119">
        <f t="shared" si="29"/>
        <v>1409842.48677485</v>
      </c>
      <c r="F45" s="119">
        <f t="shared" si="29"/>
        <v>1492357.2210594022</v>
      </c>
      <c r="G45" s="119">
        <f t="shared" si="29"/>
        <v>1580475.6152122647</v>
      </c>
      <c r="H45" s="119">
        <f t="shared" si="29"/>
        <v>1690659.7977859648</v>
      </c>
      <c r="I45" s="119">
        <f t="shared" si="29"/>
        <v>1807623.5711995799</v>
      </c>
      <c r="J45" s="119">
        <f t="shared" si="29"/>
        <v>1934182.0532753188</v>
      </c>
      <c r="K45" s="130">
        <f t="shared" si="29"/>
        <v>2068202.9636195302</v>
      </c>
      <c r="L45" s="408"/>
    </row>
    <row r="46" spans="1:12" ht="9" customHeight="1">
      <c r="A46" s="110" t="s">
        <v>11</v>
      </c>
      <c r="B46" s="118">
        <f>SUM(B47,B48,B53)</f>
        <v>1124378</v>
      </c>
      <c r="C46" s="118">
        <f aca="true" t="shared" si="30" ref="C46:K46">SUM(C47,C48,C53)</f>
        <v>1134131.5255362499</v>
      </c>
      <c r="D46" s="118">
        <f t="shared" si="30"/>
        <v>1198092.06273</v>
      </c>
      <c r="E46" s="118">
        <f t="shared" si="30"/>
        <v>1282146.02677485</v>
      </c>
      <c r="F46" s="118">
        <f t="shared" si="30"/>
        <v>1372003.3963594022</v>
      </c>
      <c r="G46" s="118">
        <f t="shared" si="30"/>
        <v>1468073.3019296061</v>
      </c>
      <c r="H46" s="118">
        <f t="shared" si="30"/>
        <v>1570752.5573296177</v>
      </c>
      <c r="I46" s="118">
        <f t="shared" si="30"/>
        <v>1680722.4451308006</v>
      </c>
      <c r="J46" s="118">
        <f t="shared" si="30"/>
        <v>1798297.2396012372</v>
      </c>
      <c r="K46" s="129">
        <f t="shared" si="30"/>
        <v>1924323.4442077752</v>
      </c>
      <c r="L46" s="408"/>
    </row>
    <row r="47" spans="1:12" ht="9" customHeight="1">
      <c r="A47" s="107" t="s">
        <v>7</v>
      </c>
      <c r="B47" s="119">
        <v>647605</v>
      </c>
      <c r="C47" s="119">
        <v>516226.47413</v>
      </c>
      <c r="D47" s="119">
        <v>554458.3681</v>
      </c>
      <c r="E47" s="115">
        <f>D47*(1.07)</f>
        <v>593270.453867</v>
      </c>
      <c r="F47" s="115">
        <f aca="true" t="shared" si="31" ref="F47:K47">E47*(1.07)</f>
        <v>634799.38563769</v>
      </c>
      <c r="G47" s="115">
        <f t="shared" si="31"/>
        <v>679235.3426323283</v>
      </c>
      <c r="H47" s="115">
        <f t="shared" si="31"/>
        <v>726781.8166165913</v>
      </c>
      <c r="I47" s="115">
        <f t="shared" si="31"/>
        <v>777656.5437797527</v>
      </c>
      <c r="J47" s="115">
        <f t="shared" si="31"/>
        <v>832092.5018443355</v>
      </c>
      <c r="K47" s="126">
        <f t="shared" si="31"/>
        <v>890338.976973439</v>
      </c>
      <c r="L47" s="408"/>
    </row>
    <row r="48" spans="1:12" ht="9" customHeight="1">
      <c r="A48" s="107" t="s">
        <v>76</v>
      </c>
      <c r="B48" s="119">
        <f>SUM(B49,B50)</f>
        <v>18191</v>
      </c>
      <c r="C48" s="119">
        <f aca="true" t="shared" si="32" ref="C48:K48">SUM(C49,C50)</f>
        <v>23474.05140625</v>
      </c>
      <c r="D48" s="119">
        <f t="shared" si="32"/>
        <v>27444.11075</v>
      </c>
      <c r="E48" s="119">
        <f t="shared" si="32"/>
        <v>29552.71815625</v>
      </c>
      <c r="F48" s="119">
        <f t="shared" si="32"/>
        <v>31728.5561375</v>
      </c>
      <c r="G48" s="119">
        <f t="shared" si="32"/>
        <v>33979.222892170736</v>
      </c>
      <c r="H48" s="119">
        <f t="shared" si="32"/>
        <v>36271.89275956171</v>
      </c>
      <c r="I48" s="119">
        <f t="shared" si="32"/>
        <v>38828.134040840785</v>
      </c>
      <c r="J48" s="119">
        <f t="shared" si="32"/>
        <v>41470.32673498013</v>
      </c>
      <c r="K48" s="130">
        <f t="shared" si="32"/>
        <v>44518.64744087996</v>
      </c>
      <c r="L48" s="474"/>
    </row>
    <row r="49" spans="1:12" ht="9" customHeight="1">
      <c r="A49" s="185" t="s">
        <v>21</v>
      </c>
      <c r="B49" s="121">
        <v>18191</v>
      </c>
      <c r="C49" s="121">
        <v>23293</v>
      </c>
      <c r="D49" s="121">
        <v>27083</v>
      </c>
      <c r="E49" s="114">
        <f>D49*(1.07)</f>
        <v>28978.81</v>
      </c>
      <c r="F49" s="114">
        <f aca="true" t="shared" si="33" ref="F49:K49">E49*(1.07)</f>
        <v>31007.3267</v>
      </c>
      <c r="G49" s="114">
        <f t="shared" si="33"/>
        <v>33177.839569</v>
      </c>
      <c r="H49" s="114">
        <f t="shared" si="33"/>
        <v>35500.28833883</v>
      </c>
      <c r="I49" s="114">
        <f t="shared" si="33"/>
        <v>37985.308522548105</v>
      </c>
      <c r="J49" s="114">
        <f t="shared" si="33"/>
        <v>40644.28011912647</v>
      </c>
      <c r="K49" s="125">
        <f t="shared" si="33"/>
        <v>43489.379727465326</v>
      </c>
      <c r="L49" s="418"/>
    </row>
    <row r="50" spans="1:12" ht="9" customHeight="1">
      <c r="A50" s="185" t="s">
        <v>22</v>
      </c>
      <c r="B50" s="121">
        <f aca="true" t="shared" si="34" ref="B50:K50">SUM(B51,B52)</f>
        <v>0</v>
      </c>
      <c r="C50" s="121">
        <f t="shared" si="34"/>
        <v>181.05140625</v>
      </c>
      <c r="D50" s="121">
        <f t="shared" si="34"/>
        <v>361.11075</v>
      </c>
      <c r="E50" s="121">
        <f t="shared" si="34"/>
        <v>573.90815625</v>
      </c>
      <c r="F50" s="121">
        <f t="shared" si="34"/>
        <v>721.2294375</v>
      </c>
      <c r="G50" s="121">
        <f t="shared" si="34"/>
        <v>801.3833231707317</v>
      </c>
      <c r="H50" s="121">
        <f t="shared" si="34"/>
        <v>771.6044207317075</v>
      </c>
      <c r="I50" s="121">
        <f t="shared" si="34"/>
        <v>842.8255182926832</v>
      </c>
      <c r="J50" s="121">
        <f t="shared" si="34"/>
        <v>826.0466158536589</v>
      </c>
      <c r="K50" s="132">
        <f t="shared" si="34"/>
        <v>1029.2677134146345</v>
      </c>
      <c r="L50" s="417"/>
    </row>
    <row r="51" spans="1:12" ht="9" customHeight="1">
      <c r="A51" s="123" t="s">
        <v>229</v>
      </c>
      <c r="B51" s="120">
        <v>0</v>
      </c>
      <c r="C51" s="120">
        <f>('Anexo 9'!$J$11+'Anexo 9'!$J$12)*1.85/1000</f>
        <v>181.05140625</v>
      </c>
      <c r="D51" s="120">
        <f>('Anexo 9'!$J$13+'Anexo 9'!$J$14)*1.85/1000</f>
        <v>361.11075</v>
      </c>
      <c r="E51" s="120">
        <f>('Anexo 9'!$J$15+'Anexo 9'!$J$16)*1.85/1000</f>
        <v>573.90815625</v>
      </c>
      <c r="F51" s="120">
        <f>('Anexo 9'!$J$17+'Anexo 9'!$H$18)*1.85/1000</f>
        <v>721.2294375</v>
      </c>
      <c r="G51" s="120">
        <f>('Anexo 9'!$H$19+'Anexo 9'!$H$20)*1.85/1000</f>
        <v>726.3833231707317</v>
      </c>
      <c r="H51" s="120">
        <f>('Anexo 9'!$H$21+'Anexo 9'!$H$22)*1.85/1000</f>
        <v>689.6044207317075</v>
      </c>
      <c r="I51" s="120">
        <f>('Anexo 9'!$H$23+'Anexo 9'!$H$24)*1.85/1000</f>
        <v>652.8255182926832</v>
      </c>
      <c r="J51" s="120">
        <f>('Anexo 9'!$H$25+'Anexo 9'!$H$26)*1.85/1000</f>
        <v>616.0466158536589</v>
      </c>
      <c r="K51" s="131">
        <f>('Anexo 9'!$H$27+'Anexo 9'!$H$28)*1.85/1000</f>
        <v>579.2677134146345</v>
      </c>
      <c r="L51" s="417"/>
    </row>
    <row r="52" spans="1:12" ht="9" customHeight="1">
      <c r="A52" s="105" t="s">
        <v>145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75</v>
      </c>
      <c r="H52" s="117">
        <v>82</v>
      </c>
      <c r="I52" s="117">
        <v>190</v>
      </c>
      <c r="J52" s="117">
        <v>210</v>
      </c>
      <c r="K52" s="128">
        <v>450</v>
      </c>
      <c r="L52" s="417"/>
    </row>
    <row r="53" spans="1:12" ht="9" customHeight="1">
      <c r="A53" s="107" t="s">
        <v>8</v>
      </c>
      <c r="B53" s="187">
        <v>458582</v>
      </c>
      <c r="C53" s="187">
        <v>594431</v>
      </c>
      <c r="D53" s="187">
        <v>616189.58388</v>
      </c>
      <c r="E53" s="135">
        <f>D53*(1.07)</f>
        <v>659322.8547516001</v>
      </c>
      <c r="F53" s="135">
        <f aca="true" t="shared" si="35" ref="F53:K53">E53*(1.07)</f>
        <v>705475.4545842122</v>
      </c>
      <c r="G53" s="135">
        <f t="shared" si="35"/>
        <v>754858.7364051071</v>
      </c>
      <c r="H53" s="135">
        <f t="shared" si="35"/>
        <v>807698.8479534646</v>
      </c>
      <c r="I53" s="135">
        <f t="shared" si="35"/>
        <v>864237.7673102071</v>
      </c>
      <c r="J53" s="135">
        <f t="shared" si="35"/>
        <v>924734.4110219217</v>
      </c>
      <c r="K53" s="149">
        <f t="shared" si="35"/>
        <v>989465.8197934562</v>
      </c>
      <c r="L53" s="418"/>
    </row>
    <row r="54" spans="1:12" ht="9" customHeight="1">
      <c r="A54" s="110" t="s">
        <v>9</v>
      </c>
      <c r="B54" s="204">
        <f>SUM(B55,B60,B61)</f>
        <v>129352.25</v>
      </c>
      <c r="C54" s="204">
        <f aca="true" t="shared" si="36" ref="C54:K54">SUM(C55,C60,C61)</f>
        <v>120323.25</v>
      </c>
      <c r="D54" s="204">
        <f t="shared" si="36"/>
        <v>131860.75</v>
      </c>
      <c r="E54" s="204">
        <f t="shared" si="36"/>
        <v>127696.46</v>
      </c>
      <c r="F54" s="204">
        <f t="shared" si="36"/>
        <v>120353.82470000001</v>
      </c>
      <c r="G54" s="204">
        <f t="shared" si="36"/>
        <v>112402.31328265855</v>
      </c>
      <c r="H54" s="204">
        <f t="shared" si="36"/>
        <v>119907.24045634708</v>
      </c>
      <c r="I54" s="204">
        <f t="shared" si="36"/>
        <v>126901.12606877918</v>
      </c>
      <c r="J54" s="204">
        <f t="shared" si="36"/>
        <v>135884.81367408155</v>
      </c>
      <c r="K54" s="205">
        <f t="shared" si="36"/>
        <v>143879.51941175506</v>
      </c>
      <c r="L54" s="418"/>
    </row>
    <row r="55" spans="1:12" ht="9" customHeight="1">
      <c r="A55" s="16" t="s">
        <v>10</v>
      </c>
      <c r="B55" s="187">
        <f>SUM(B56+B59)</f>
        <v>91758.25</v>
      </c>
      <c r="C55" s="187">
        <f>SUM(C56+C59)</f>
        <v>81859.25</v>
      </c>
      <c r="D55" s="187">
        <f>SUM(D56+D59)</f>
        <v>92398.75</v>
      </c>
      <c r="E55" s="187">
        <f>SUM(E56,E59)</f>
        <v>88985.72</v>
      </c>
      <c r="F55" s="187">
        <f aca="true" t="shared" si="37" ref="F55:K55">SUM(F56,F59)</f>
        <v>81921.08290000001</v>
      </c>
      <c r="G55" s="187">
        <f t="shared" si="37"/>
        <v>79163.50370300001</v>
      </c>
      <c r="H55" s="187">
        <f t="shared" si="37"/>
        <v>84704.94896221001</v>
      </c>
      <c r="I55" s="187">
        <f t="shared" si="37"/>
        <v>90634.29538956471</v>
      </c>
      <c r="J55" s="187">
        <f t="shared" si="37"/>
        <v>96978.69606683424</v>
      </c>
      <c r="K55" s="206">
        <f t="shared" si="37"/>
        <v>103767.20479151265</v>
      </c>
      <c r="L55" s="418"/>
    </row>
    <row r="56" spans="1:12" ht="9" customHeight="1">
      <c r="A56" s="186" t="s">
        <v>230</v>
      </c>
      <c r="B56" s="190">
        <f>SUM(B57,B58)</f>
        <v>3968.25</v>
      </c>
      <c r="C56" s="190">
        <f>SUM(C57,C58)</f>
        <v>19841.25</v>
      </c>
      <c r="D56" s="190">
        <f>SUM(D57,D58)</f>
        <v>27777.75</v>
      </c>
      <c r="E56" s="190">
        <f aca="true" t="shared" si="38" ref="E56:K56">SUM(E57:E58)</f>
        <v>19841.25</v>
      </c>
      <c r="F56" s="190">
        <f t="shared" si="38"/>
        <v>7936.5</v>
      </c>
      <c r="G56" s="190">
        <f t="shared" si="38"/>
        <v>0</v>
      </c>
      <c r="H56" s="190">
        <f t="shared" si="38"/>
        <v>0</v>
      </c>
      <c r="I56" s="190">
        <f t="shared" si="38"/>
        <v>0</v>
      </c>
      <c r="J56" s="190">
        <f t="shared" si="38"/>
        <v>0</v>
      </c>
      <c r="K56" s="191">
        <f t="shared" si="38"/>
        <v>0</v>
      </c>
      <c r="L56" s="417"/>
    </row>
    <row r="57" spans="1:12" ht="9" customHeight="1">
      <c r="A57" s="4" t="s">
        <v>88</v>
      </c>
      <c r="B57" s="199">
        <f>B38</f>
        <v>1984.125</v>
      </c>
      <c r="C57" s="199">
        <f>C38</f>
        <v>9920.625</v>
      </c>
      <c r="D57" s="199">
        <f>D38</f>
        <v>13888.875</v>
      </c>
      <c r="E57" s="199">
        <f aca="true" t="shared" si="39" ref="E57:K57">E38</f>
        <v>9920.625</v>
      </c>
      <c r="F57" s="199">
        <f t="shared" si="39"/>
        <v>3968.25</v>
      </c>
      <c r="G57" s="199">
        <f t="shared" si="39"/>
        <v>0</v>
      </c>
      <c r="H57" s="199">
        <f t="shared" si="39"/>
        <v>0</v>
      </c>
      <c r="I57" s="199">
        <f t="shared" si="39"/>
        <v>0</v>
      </c>
      <c r="J57" s="199">
        <f t="shared" si="39"/>
        <v>0</v>
      </c>
      <c r="K57" s="200">
        <f t="shared" si="39"/>
        <v>0</v>
      </c>
      <c r="L57" s="417"/>
    </row>
    <row r="58" spans="1:12" ht="9" customHeight="1">
      <c r="A58" s="4" t="s">
        <v>244</v>
      </c>
      <c r="B58" s="197">
        <f>B57*0.5/0.5</f>
        <v>1984.125</v>
      </c>
      <c r="C58" s="197">
        <f aca="true" t="shared" si="40" ref="C58:K58">C57*0.5/0.5</f>
        <v>9920.625</v>
      </c>
      <c r="D58" s="197">
        <f t="shared" si="40"/>
        <v>13888.875</v>
      </c>
      <c r="E58" s="197">
        <f t="shared" si="40"/>
        <v>9920.625</v>
      </c>
      <c r="F58" s="197">
        <f t="shared" si="40"/>
        <v>3968.25</v>
      </c>
      <c r="G58" s="197">
        <f t="shared" si="40"/>
        <v>0</v>
      </c>
      <c r="H58" s="197">
        <f t="shared" si="40"/>
        <v>0</v>
      </c>
      <c r="I58" s="197">
        <f t="shared" si="40"/>
        <v>0</v>
      </c>
      <c r="J58" s="197">
        <f t="shared" si="40"/>
        <v>0</v>
      </c>
      <c r="K58" s="198">
        <f t="shared" si="40"/>
        <v>0</v>
      </c>
      <c r="L58" s="417"/>
    </row>
    <row r="59" spans="1:12" ht="9" customHeight="1">
      <c r="A59" s="185" t="s">
        <v>87</v>
      </c>
      <c r="B59" s="137">
        <v>87790</v>
      </c>
      <c r="C59" s="137">
        <v>62018</v>
      </c>
      <c r="D59" s="201">
        <v>64621</v>
      </c>
      <c r="E59" s="202">
        <f aca="true" t="shared" si="41" ref="E59:K60">D59*(1.07)</f>
        <v>69144.47</v>
      </c>
      <c r="F59" s="202">
        <f t="shared" si="41"/>
        <v>73984.58290000001</v>
      </c>
      <c r="G59" s="202">
        <f t="shared" si="41"/>
        <v>79163.50370300001</v>
      </c>
      <c r="H59" s="202">
        <f t="shared" si="41"/>
        <v>84704.94896221001</v>
      </c>
      <c r="I59" s="202">
        <f t="shared" si="41"/>
        <v>90634.29538956471</v>
      </c>
      <c r="J59" s="202">
        <f t="shared" si="41"/>
        <v>96978.69606683424</v>
      </c>
      <c r="K59" s="193">
        <f t="shared" si="41"/>
        <v>103767.20479151265</v>
      </c>
      <c r="L59" s="418"/>
    </row>
    <row r="60" spans="1:12" ht="9" customHeight="1">
      <c r="A60" s="16" t="s">
        <v>23</v>
      </c>
      <c r="B60" s="135">
        <v>10878</v>
      </c>
      <c r="C60" s="187">
        <v>11751</v>
      </c>
      <c r="D60" s="203">
        <v>11482</v>
      </c>
      <c r="E60" s="203">
        <f t="shared" si="41"/>
        <v>12285.740000000002</v>
      </c>
      <c r="F60" s="203">
        <f t="shared" si="41"/>
        <v>13145.741800000002</v>
      </c>
      <c r="G60" s="203">
        <f t="shared" si="41"/>
        <v>14065.943726000003</v>
      </c>
      <c r="H60" s="203">
        <f t="shared" si="41"/>
        <v>15050.559786820004</v>
      </c>
      <c r="I60" s="203">
        <f t="shared" si="41"/>
        <v>16104.098971897405</v>
      </c>
      <c r="J60" s="203">
        <f t="shared" si="41"/>
        <v>17231.385899930225</v>
      </c>
      <c r="K60" s="194">
        <f t="shared" si="41"/>
        <v>18437.58291292534</v>
      </c>
      <c r="L60" s="418"/>
    </row>
    <row r="61" spans="1:12" ht="9" customHeight="1">
      <c r="A61" s="16" t="s">
        <v>24</v>
      </c>
      <c r="B61" s="135">
        <f>B62</f>
        <v>26716</v>
      </c>
      <c r="C61" s="135">
        <f aca="true" t="shared" si="42" ref="C61:K61">C62</f>
        <v>26713</v>
      </c>
      <c r="D61" s="135">
        <f t="shared" si="42"/>
        <v>27980</v>
      </c>
      <c r="E61" s="135">
        <f t="shared" si="42"/>
        <v>26425</v>
      </c>
      <c r="F61" s="135">
        <f t="shared" si="42"/>
        <v>25287</v>
      </c>
      <c r="G61" s="135">
        <f t="shared" si="42"/>
        <v>19172.865853658535</v>
      </c>
      <c r="H61" s="135">
        <f t="shared" si="42"/>
        <v>20151.731707317074</v>
      </c>
      <c r="I61" s="135">
        <f t="shared" si="42"/>
        <v>20162.731707317074</v>
      </c>
      <c r="J61" s="135">
        <f t="shared" si="42"/>
        <v>21674.731707317074</v>
      </c>
      <c r="K61" s="149">
        <f t="shared" si="42"/>
        <v>21674.731707317074</v>
      </c>
      <c r="L61" s="417"/>
    </row>
    <row r="62" spans="1:12" ht="9" customHeight="1">
      <c r="A62" s="14" t="s">
        <v>16</v>
      </c>
      <c r="B62" s="137">
        <f>SUM(B63,B64)</f>
        <v>26716</v>
      </c>
      <c r="C62" s="137">
        <f>SUM(C63:C64)</f>
        <v>26713</v>
      </c>
      <c r="D62" s="137">
        <f aca="true" t="shared" si="43" ref="D62:K62">SUM(D63,D64)</f>
        <v>27980</v>
      </c>
      <c r="E62" s="137">
        <f t="shared" si="43"/>
        <v>26425</v>
      </c>
      <c r="F62" s="137">
        <f t="shared" si="43"/>
        <v>25287</v>
      </c>
      <c r="G62" s="137">
        <f t="shared" si="43"/>
        <v>19172.865853658535</v>
      </c>
      <c r="H62" s="137">
        <f t="shared" si="43"/>
        <v>20151.731707317074</v>
      </c>
      <c r="I62" s="137">
        <f t="shared" si="43"/>
        <v>20162.731707317074</v>
      </c>
      <c r="J62" s="137">
        <f t="shared" si="43"/>
        <v>21674.731707317074</v>
      </c>
      <c r="K62" s="150">
        <f t="shared" si="43"/>
        <v>21674.731707317074</v>
      </c>
      <c r="L62" s="417"/>
    </row>
    <row r="63" spans="1:12" ht="9" customHeight="1">
      <c r="A63" s="3" t="s">
        <v>25</v>
      </c>
      <c r="B63" s="188">
        <v>26716</v>
      </c>
      <c r="C63" s="197">
        <v>26713</v>
      </c>
      <c r="D63" s="188">
        <v>27980</v>
      </c>
      <c r="E63" s="472">
        <v>26425</v>
      </c>
      <c r="F63" s="472">
        <v>25287</v>
      </c>
      <c r="G63" s="472">
        <v>18205</v>
      </c>
      <c r="H63" s="472">
        <v>18216</v>
      </c>
      <c r="I63" s="472">
        <v>18227</v>
      </c>
      <c r="J63" s="472">
        <v>18239</v>
      </c>
      <c r="K63" s="473">
        <v>18239</v>
      </c>
      <c r="L63" s="418"/>
    </row>
    <row r="64" spans="1:12" ht="9" customHeight="1">
      <c r="A64" s="3" t="s">
        <v>26</v>
      </c>
      <c r="B64" s="197">
        <f>SUM(B65,B66)</f>
        <v>0</v>
      </c>
      <c r="C64" s="197">
        <f>SUM(C65,C66)</f>
        <v>0</v>
      </c>
      <c r="D64" s="197">
        <f aca="true" t="shared" si="44" ref="D64:K64">SUM(D65,D66)</f>
        <v>0</v>
      </c>
      <c r="E64" s="197">
        <f t="shared" si="44"/>
        <v>0</v>
      </c>
      <c r="F64" s="197">
        <f t="shared" si="44"/>
        <v>0</v>
      </c>
      <c r="G64" s="197">
        <f t="shared" si="44"/>
        <v>967.8658536585366</v>
      </c>
      <c r="H64" s="197">
        <f>SUM(H65,H66)</f>
        <v>1935.7317073170732</v>
      </c>
      <c r="I64" s="197">
        <f t="shared" si="44"/>
        <v>1935.7317073170732</v>
      </c>
      <c r="J64" s="197">
        <f t="shared" si="44"/>
        <v>3435.7317073170734</v>
      </c>
      <c r="K64" s="198">
        <f t="shared" si="44"/>
        <v>3435.7317073170734</v>
      </c>
      <c r="L64" s="417"/>
    </row>
    <row r="65" spans="1:12" ht="9" customHeight="1">
      <c r="A65" s="38" t="s">
        <v>231</v>
      </c>
      <c r="B65" s="189">
        <v>0</v>
      </c>
      <c r="C65" s="189">
        <v>0</v>
      </c>
      <c r="D65" s="189">
        <v>0</v>
      </c>
      <c r="E65" s="189">
        <v>0</v>
      </c>
      <c r="F65" s="189">
        <v>0</v>
      </c>
      <c r="G65" s="189">
        <f>('Anexo 9'!$G$21)*1.85/1000</f>
        <v>967.8658536585366</v>
      </c>
      <c r="H65" s="189">
        <f>('Anexo 9'!$G$22+'Anexo 9'!$G$23)*1.85/1000</f>
        <v>1935.7317073170732</v>
      </c>
      <c r="I65" s="189">
        <f>('Anexo 9'!$G$23+'Anexo 9'!$G$24)*1.85/1000</f>
        <v>1935.7317073170732</v>
      </c>
      <c r="J65" s="189">
        <f>('Anexo 9'!$G$25+'Anexo 9'!$G$26)*1.85/1000</f>
        <v>1935.7317073170732</v>
      </c>
      <c r="K65" s="208">
        <f>('Anexo 9'!$G$27+'Anexo 9'!$G$28)*1.85/1000</f>
        <v>1935.7317073170732</v>
      </c>
      <c r="L65" s="417"/>
    </row>
    <row r="66" spans="1:12" ht="9" customHeight="1">
      <c r="A66" s="4" t="s">
        <v>146</v>
      </c>
      <c r="B66" s="197">
        <v>0</v>
      </c>
      <c r="C66" s="197">
        <v>0</v>
      </c>
      <c r="D66" s="197">
        <v>0</v>
      </c>
      <c r="E66" s="197">
        <v>0</v>
      </c>
      <c r="F66" s="197">
        <v>0</v>
      </c>
      <c r="G66" s="197">
        <v>0</v>
      </c>
      <c r="H66" s="197">
        <v>0</v>
      </c>
      <c r="I66" s="197">
        <v>0</v>
      </c>
      <c r="J66" s="197">
        <v>1500</v>
      </c>
      <c r="K66" s="198">
        <v>1500</v>
      </c>
      <c r="L66" s="417"/>
    </row>
    <row r="67" spans="1:12" ht="9" customHeight="1" thickBot="1">
      <c r="A67" s="37" t="s">
        <v>27</v>
      </c>
      <c r="B67" s="122">
        <f>+B5-B45</f>
        <v>77531.875</v>
      </c>
      <c r="C67" s="122">
        <f aca="true" t="shared" si="45" ref="C67:K67">+C5-C45</f>
        <v>85662.84946375014</v>
      </c>
      <c r="D67" s="122">
        <f t="shared" si="45"/>
        <v>116394.06227000011</v>
      </c>
      <c r="E67" s="122">
        <f t="shared" si="45"/>
        <v>118483.61822515004</v>
      </c>
      <c r="F67" s="122">
        <f t="shared" si="45"/>
        <v>121120.83774059778</v>
      </c>
      <c r="G67" s="122">
        <f t="shared" si="45"/>
        <v>128104.78211573535</v>
      </c>
      <c r="H67" s="122">
        <f t="shared" si="45"/>
        <v>121285.42338171508</v>
      </c>
      <c r="I67" s="122">
        <f t="shared" si="45"/>
        <v>112829.3632381612</v>
      </c>
      <c r="J67" s="122">
        <f t="shared" si="45"/>
        <v>101288.99722868693</v>
      </c>
      <c r="K67" s="133">
        <f t="shared" si="45"/>
        <v>89187.22991471598</v>
      </c>
      <c r="L67" s="418"/>
    </row>
    <row r="68" spans="1:12" ht="6" customHeight="1" thickBot="1">
      <c r="A68" s="18"/>
      <c r="B68" s="21"/>
      <c r="C68" s="19"/>
      <c r="D68" s="19"/>
      <c r="E68" s="19"/>
      <c r="F68" s="19"/>
      <c r="G68" s="19"/>
      <c r="H68" s="19"/>
      <c r="I68" s="19"/>
      <c r="J68" s="19"/>
      <c r="K68" s="20"/>
      <c r="L68" s="376"/>
    </row>
    <row r="69" spans="1:12" ht="9" customHeight="1" thickBot="1">
      <c r="A69" s="528" t="s">
        <v>31</v>
      </c>
      <c r="B69" s="529"/>
      <c r="C69" s="529"/>
      <c r="D69" s="529"/>
      <c r="E69" s="529"/>
      <c r="F69" s="529"/>
      <c r="G69" s="530"/>
      <c r="H69" s="530"/>
      <c r="I69" s="530"/>
      <c r="J69" s="530"/>
      <c r="K69" s="531"/>
      <c r="L69" s="376"/>
    </row>
    <row r="70" spans="1:12" ht="9" customHeight="1">
      <c r="A70" s="35" t="str">
        <f aca="true" t="shared" si="46" ref="A70:K70">+A5</f>
        <v>RECEITA ORÇAMENTÁRIA</v>
      </c>
      <c r="B70" s="134">
        <f t="shared" si="46"/>
        <v>1331262.125</v>
      </c>
      <c r="C70" s="134">
        <f t="shared" si="46"/>
        <v>1340117.625</v>
      </c>
      <c r="D70" s="134">
        <f t="shared" si="46"/>
        <v>1446346.875</v>
      </c>
      <c r="E70" s="134">
        <f t="shared" si="46"/>
        <v>1528326.105</v>
      </c>
      <c r="F70" s="134">
        <f t="shared" si="46"/>
        <v>1613478.0588</v>
      </c>
      <c r="G70" s="134">
        <f t="shared" si="46"/>
        <v>1708580.397328</v>
      </c>
      <c r="H70" s="134">
        <f t="shared" si="46"/>
        <v>1811945.2211676799</v>
      </c>
      <c r="I70" s="134">
        <f t="shared" si="46"/>
        <v>1920452.934437741</v>
      </c>
      <c r="J70" s="134">
        <f t="shared" si="46"/>
        <v>2035471.0505040057</v>
      </c>
      <c r="K70" s="192">
        <f t="shared" si="46"/>
        <v>2157390.193534246</v>
      </c>
      <c r="L70" s="376"/>
    </row>
    <row r="71" spans="1:12" ht="9" customHeight="1">
      <c r="A71" s="14" t="str">
        <f>+A17</f>
        <v>1.3.1.0. - Aplicações Financeiras</v>
      </c>
      <c r="B71" s="136">
        <f>-B17</f>
        <v>-62367</v>
      </c>
      <c r="C71" s="136">
        <f aca="true" t="shared" si="47" ref="C71:K71">-C17</f>
        <v>-29862</v>
      </c>
      <c r="D71" s="136">
        <f t="shared" si="47"/>
        <v>-27218</v>
      </c>
      <c r="E71" s="136">
        <f t="shared" si="47"/>
        <v>-28851.08</v>
      </c>
      <c r="F71" s="136">
        <f t="shared" si="47"/>
        <v>-30582.144800000002</v>
      </c>
      <c r="G71" s="136">
        <f t="shared" si="47"/>
        <v>-32417.073488</v>
      </c>
      <c r="H71" s="136">
        <f t="shared" si="47"/>
        <v>-34362.09789728</v>
      </c>
      <c r="I71" s="136">
        <f t="shared" si="47"/>
        <v>-36423.823771116804</v>
      </c>
      <c r="J71" s="136">
        <f t="shared" si="47"/>
        <v>-38609.25319738381</v>
      </c>
      <c r="K71" s="193">
        <f t="shared" si="47"/>
        <v>-40925.80838922684</v>
      </c>
      <c r="L71" s="376"/>
    </row>
    <row r="72" spans="1:12" ht="9" customHeight="1">
      <c r="A72" s="16" t="str">
        <f>+A35</f>
        <v>2.1.0.0. - Operações de Crédito</v>
      </c>
      <c r="B72" s="135">
        <f>-B35</f>
        <v>-18474.125</v>
      </c>
      <c r="C72" s="135">
        <f aca="true" t="shared" si="48" ref="C72:K72">-C35</f>
        <v>-20352.625</v>
      </c>
      <c r="D72" s="135">
        <f t="shared" si="48"/>
        <v>-22936.875</v>
      </c>
      <c r="E72" s="135">
        <f t="shared" si="48"/>
        <v>-19511.505</v>
      </c>
      <c r="F72" s="135">
        <f t="shared" si="48"/>
        <v>-14134.582800000002</v>
      </c>
      <c r="G72" s="135">
        <f t="shared" si="48"/>
        <v>-13276.312768000003</v>
      </c>
      <c r="H72" s="135">
        <f t="shared" si="48"/>
        <v>-14922.891534080005</v>
      </c>
      <c r="I72" s="135">
        <f t="shared" si="48"/>
        <v>-15609.265026124805</v>
      </c>
      <c r="J72" s="135">
        <f t="shared" si="48"/>
        <v>-16336.760927692294</v>
      </c>
      <c r="K72" s="194">
        <f t="shared" si="48"/>
        <v>-17107.846583353832</v>
      </c>
      <c r="L72" s="376"/>
    </row>
    <row r="73" spans="1:12" ht="9" customHeight="1">
      <c r="A73" s="16" t="str">
        <f>+A40</f>
        <v>2.2.0.0. - Alienação de Bens</v>
      </c>
      <c r="B73" s="187">
        <f>-B40</f>
        <v>-307</v>
      </c>
      <c r="C73" s="187">
        <f aca="true" t="shared" si="49" ref="C73:K73">-C40</f>
        <v>-201</v>
      </c>
      <c r="D73" s="187">
        <f t="shared" si="49"/>
        <v>-192</v>
      </c>
      <c r="E73" s="187">
        <f t="shared" si="49"/>
        <v>-203.52</v>
      </c>
      <c r="F73" s="187">
        <f t="shared" si="49"/>
        <v>-215.73120000000003</v>
      </c>
      <c r="G73" s="187">
        <f t="shared" si="49"/>
        <v>-228.67507200000006</v>
      </c>
      <c r="H73" s="187">
        <f t="shared" si="49"/>
        <v>-242.39557632000006</v>
      </c>
      <c r="I73" s="187">
        <f t="shared" si="49"/>
        <v>-256.93931089920005</v>
      </c>
      <c r="J73" s="187">
        <f t="shared" si="49"/>
        <v>-272.3556695531521</v>
      </c>
      <c r="K73" s="195">
        <f t="shared" si="49"/>
        <v>-288.69700972634126</v>
      </c>
      <c r="L73" s="376"/>
    </row>
    <row r="74" spans="1:12" ht="9" customHeight="1">
      <c r="A74" s="15" t="s">
        <v>28</v>
      </c>
      <c r="B74" s="136">
        <f aca="true" t="shared" si="50" ref="B74:K74">SUM(B70:B73)</f>
        <v>1250114</v>
      </c>
      <c r="C74" s="136">
        <f t="shared" si="50"/>
        <v>1289702</v>
      </c>
      <c r="D74" s="136">
        <f t="shared" si="50"/>
        <v>1396000</v>
      </c>
      <c r="E74" s="136">
        <f t="shared" si="50"/>
        <v>1479760</v>
      </c>
      <c r="F74" s="136">
        <f t="shared" si="50"/>
        <v>1568545.6</v>
      </c>
      <c r="G74" s="136">
        <f t="shared" si="50"/>
        <v>1662658.3360000001</v>
      </c>
      <c r="H74" s="136">
        <f t="shared" si="50"/>
        <v>1762417.83616</v>
      </c>
      <c r="I74" s="136">
        <f t="shared" si="50"/>
        <v>1868162.9063296001</v>
      </c>
      <c r="J74" s="136">
        <f t="shared" si="50"/>
        <v>1980252.6807093765</v>
      </c>
      <c r="K74" s="193">
        <f t="shared" si="50"/>
        <v>2099067.841551939</v>
      </c>
      <c r="L74" s="376"/>
    </row>
    <row r="75" spans="1:12" ht="9" customHeight="1">
      <c r="A75" s="14" t="str">
        <f>+A45</f>
        <v>DESPESAS ORÇAMENTÁRIAS</v>
      </c>
      <c r="B75" s="136">
        <f>+B45</f>
        <v>1253730.25</v>
      </c>
      <c r="C75" s="136">
        <f aca="true" t="shared" si="51" ref="C75:K75">+C45</f>
        <v>1254454.7755362499</v>
      </c>
      <c r="D75" s="136">
        <f t="shared" si="51"/>
        <v>1329952.81273</v>
      </c>
      <c r="E75" s="136">
        <f t="shared" si="51"/>
        <v>1409842.48677485</v>
      </c>
      <c r="F75" s="136">
        <f t="shared" si="51"/>
        <v>1492357.2210594022</v>
      </c>
      <c r="G75" s="136">
        <f t="shared" si="51"/>
        <v>1580475.6152122647</v>
      </c>
      <c r="H75" s="136">
        <f t="shared" si="51"/>
        <v>1690659.7977859648</v>
      </c>
      <c r="I75" s="136">
        <f t="shared" si="51"/>
        <v>1807623.5711995799</v>
      </c>
      <c r="J75" s="136">
        <f t="shared" si="51"/>
        <v>1934182.0532753188</v>
      </c>
      <c r="K75" s="193">
        <f t="shared" si="51"/>
        <v>2068202.9636195302</v>
      </c>
      <c r="L75" s="376"/>
    </row>
    <row r="76" spans="1:12" ht="9" customHeight="1">
      <c r="A76" s="16" t="str">
        <f>+A48</f>
        <v>3.2.0.0. - Juros e Encargos da Dívida</v>
      </c>
      <c r="B76" s="135">
        <f>-B48</f>
        <v>-18191</v>
      </c>
      <c r="C76" s="135">
        <f aca="true" t="shared" si="52" ref="C76:K76">-C48</f>
        <v>-23474.05140625</v>
      </c>
      <c r="D76" s="135">
        <f t="shared" si="52"/>
        <v>-27444.11075</v>
      </c>
      <c r="E76" s="135">
        <f t="shared" si="52"/>
        <v>-29552.71815625</v>
      </c>
      <c r="F76" s="135">
        <f t="shared" si="52"/>
        <v>-31728.5561375</v>
      </c>
      <c r="G76" s="135">
        <f t="shared" si="52"/>
        <v>-33979.222892170736</v>
      </c>
      <c r="H76" s="135">
        <f t="shared" si="52"/>
        <v>-36271.89275956171</v>
      </c>
      <c r="I76" s="135">
        <f t="shared" si="52"/>
        <v>-38828.134040840785</v>
      </c>
      <c r="J76" s="135">
        <f t="shared" si="52"/>
        <v>-41470.32673498013</v>
      </c>
      <c r="K76" s="194">
        <f t="shared" si="52"/>
        <v>-44518.64744087996</v>
      </c>
      <c r="L76" s="376"/>
    </row>
    <row r="77" spans="1:12" ht="9" customHeight="1">
      <c r="A77" s="14" t="str">
        <f>+A62</f>
        <v>4.3.1.0. - Amortizações </v>
      </c>
      <c r="B77" s="136">
        <f>-B62</f>
        <v>-26716</v>
      </c>
      <c r="C77" s="136">
        <f aca="true" t="shared" si="53" ref="C77:K77">-C62</f>
        <v>-26713</v>
      </c>
      <c r="D77" s="136">
        <f t="shared" si="53"/>
        <v>-27980</v>
      </c>
      <c r="E77" s="136">
        <f t="shared" si="53"/>
        <v>-26425</v>
      </c>
      <c r="F77" s="136">
        <f t="shared" si="53"/>
        <v>-25287</v>
      </c>
      <c r="G77" s="136">
        <f t="shared" si="53"/>
        <v>-19172.865853658535</v>
      </c>
      <c r="H77" s="136">
        <f t="shared" si="53"/>
        <v>-20151.731707317074</v>
      </c>
      <c r="I77" s="136">
        <f t="shared" si="53"/>
        <v>-20162.731707317074</v>
      </c>
      <c r="J77" s="136">
        <f t="shared" si="53"/>
        <v>-21674.731707317074</v>
      </c>
      <c r="K77" s="193">
        <f t="shared" si="53"/>
        <v>-21674.731707317074</v>
      </c>
      <c r="L77" s="376"/>
    </row>
    <row r="78" spans="1:12" ht="9" customHeight="1" thickBot="1">
      <c r="A78" s="231" t="s">
        <v>29</v>
      </c>
      <c r="B78" s="232">
        <f aca="true" t="shared" si="54" ref="B78:K78">SUM(B75:B77)</f>
        <v>1208823.25</v>
      </c>
      <c r="C78" s="232">
        <f t="shared" si="54"/>
        <v>1204267.7241299998</v>
      </c>
      <c r="D78" s="232">
        <f t="shared" si="54"/>
        <v>1274528.70198</v>
      </c>
      <c r="E78" s="232">
        <f t="shared" si="54"/>
        <v>1353864.7686186</v>
      </c>
      <c r="F78" s="232">
        <f t="shared" si="54"/>
        <v>1435341.6649219021</v>
      </c>
      <c r="G78" s="232">
        <f t="shared" si="54"/>
        <v>1527323.5264664353</v>
      </c>
      <c r="H78" s="232">
        <f t="shared" si="54"/>
        <v>1634236.173319086</v>
      </c>
      <c r="I78" s="232">
        <f t="shared" si="54"/>
        <v>1748632.7054514221</v>
      </c>
      <c r="J78" s="232">
        <f t="shared" si="54"/>
        <v>1871036.9948330217</v>
      </c>
      <c r="K78" s="233">
        <f t="shared" si="54"/>
        <v>2002009.584471333</v>
      </c>
      <c r="L78" s="376"/>
    </row>
    <row r="79" spans="1:11" ht="9" customHeight="1" thickBot="1">
      <c r="A79" s="234" t="s">
        <v>30</v>
      </c>
      <c r="B79" s="235">
        <f aca="true" t="shared" si="55" ref="B79:K79">+B74-B78</f>
        <v>41290.75</v>
      </c>
      <c r="C79" s="235">
        <f t="shared" si="55"/>
        <v>85434.27587000025</v>
      </c>
      <c r="D79" s="235">
        <f t="shared" si="55"/>
        <v>121471.2980200001</v>
      </c>
      <c r="E79" s="235">
        <f t="shared" si="55"/>
        <v>125895.23138140002</v>
      </c>
      <c r="F79" s="235">
        <f t="shared" si="55"/>
        <v>133203.93507809797</v>
      </c>
      <c r="G79" s="235">
        <f t="shared" si="55"/>
        <v>135334.80953356484</v>
      </c>
      <c r="H79" s="235">
        <f t="shared" si="55"/>
        <v>128181.66284091398</v>
      </c>
      <c r="I79" s="235">
        <f t="shared" si="55"/>
        <v>119530.200878178</v>
      </c>
      <c r="J79" s="235">
        <f t="shared" si="55"/>
        <v>109215.68587635481</v>
      </c>
      <c r="K79" s="236">
        <f t="shared" si="55"/>
        <v>97058.25708060595</v>
      </c>
    </row>
    <row r="80" spans="1:11" ht="8.25" customHeight="1">
      <c r="A80" s="9" t="s">
        <v>254</v>
      </c>
      <c r="B80" s="6"/>
      <c r="C80" s="6"/>
      <c r="D80" s="6"/>
      <c r="E80" s="6"/>
      <c r="F80" s="6"/>
      <c r="G80" s="6"/>
      <c r="H80" s="526" t="s">
        <v>245</v>
      </c>
      <c r="I80" s="527"/>
      <c r="J80" s="527"/>
      <c r="K80" s="527"/>
    </row>
    <row r="81" spans="1:11" ht="8.25" customHeight="1">
      <c r="A81" s="9" t="s">
        <v>255</v>
      </c>
      <c r="B81" s="6"/>
      <c r="C81" s="6"/>
      <c r="D81" s="6"/>
      <c r="E81" s="6"/>
      <c r="F81" s="6"/>
      <c r="G81" s="6"/>
      <c r="H81" s="2"/>
      <c r="I81" s="2"/>
      <c r="J81" s="2"/>
      <c r="K81" s="2"/>
    </row>
    <row r="82" spans="1:11" ht="8.25" customHeight="1">
      <c r="A82" s="9" t="s">
        <v>256</v>
      </c>
      <c r="B82" s="6"/>
      <c r="C82" s="6"/>
      <c r="D82" s="6"/>
      <c r="E82" s="6"/>
      <c r="F82" s="6"/>
      <c r="G82" s="6"/>
      <c r="H82" s="2"/>
      <c r="I82" s="2"/>
      <c r="J82" s="2"/>
      <c r="K82" s="2"/>
    </row>
    <row r="83" spans="1:7" ht="8.25" customHeight="1">
      <c r="A83" s="22"/>
      <c r="B83" s="5"/>
      <c r="C83" s="5"/>
      <c r="D83" s="23"/>
      <c r="E83" s="23"/>
      <c r="F83" s="23"/>
      <c r="G83" s="23"/>
    </row>
    <row r="84" ht="8.25" customHeight="1">
      <c r="A84" s="9"/>
    </row>
    <row r="85" ht="8.25" customHeight="1">
      <c r="A85" s="9"/>
    </row>
    <row r="86" ht="8.25" customHeight="1">
      <c r="A86" s="22"/>
    </row>
    <row r="87" ht="8.25" customHeight="1"/>
  </sheetData>
  <sheetProtection/>
  <mergeCells count="4">
    <mergeCell ref="A2:K2"/>
    <mergeCell ref="H80:K80"/>
    <mergeCell ref="A69:K69"/>
    <mergeCell ref="A3:K3"/>
  </mergeCells>
  <printOptions horizontalCentered="1" verticalCentered="1"/>
  <pageMargins left="0.3937007874015748" right="0" top="1.1811023622047245" bottom="0.7874015748031497" header="0.2755905511811024" footer="0.4724409448818898"/>
  <pageSetup horizontalDpi="600" verticalDpi="600" orientation="portrait" paperSize="9" scale="95" r:id="rId1"/>
  <headerFooter alignWithMargins="0">
    <oddHeader>&amp;C&amp;"Arial Black,Normal"&amp;14PLANILHA  V &amp;"Arial,Normal"&amp;10
&amp;"Arial,Negrito"&amp;12
PROJEÇÃO DAS RECEITAS, DAS DESPESAS E DO RESULTADO
PRIMÁRIO DO MUNICÍPIO DE LONDRINA - Período 2013-2022
&amp;R&amp;"Arial Black,Regular"&amp;14ANEXO    5 &amp;"Arial,Normal"&amp;12
p. 1 de 1</oddHeader>
    <oddFooter>&amp;R&amp;8__________________________________________________________________________
CONSULTORIA/93-13-JAR - Avaliação Financeira e Orçamentária do Município de Londrina
&amp;6Anexo 5 - Londrina - PR.xls</oddFooter>
  </headerFooter>
  <ignoredErrors>
    <ignoredError sqref="E36:K36 E49:F49 G49:K49 C61:C62 E48:K48 E16:K16 E26:K26 E30:K30" formula="1"/>
    <ignoredError sqref="E4:K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="120" zoomScaleNormal="120" zoomScalePageLayoutView="0" workbookViewId="0" topLeftCell="A22">
      <selection activeCell="A31" sqref="A31"/>
    </sheetView>
  </sheetViews>
  <sheetFormatPr defaultColWidth="9.140625" defaultRowHeight="12.75"/>
  <cols>
    <col min="1" max="1" width="40.00390625" style="0" customWidth="1"/>
    <col min="2" max="3" width="14.7109375" style="0" customWidth="1"/>
    <col min="4" max="5" width="14.57421875" style="0" customWidth="1"/>
    <col min="6" max="6" width="14.7109375" style="0" customWidth="1"/>
    <col min="7" max="7" width="19.7109375" style="0" customWidth="1"/>
    <col min="8" max="8" width="18.7109375" style="0" customWidth="1"/>
  </cols>
  <sheetData>
    <row r="1" spans="1:6" ht="12.75" customHeight="1" thickBot="1">
      <c r="A1" s="541" t="s">
        <v>103</v>
      </c>
      <c r="B1" s="541"/>
      <c r="C1" s="541"/>
      <c r="D1" s="541"/>
      <c r="E1" s="541"/>
      <c r="F1" s="541"/>
    </row>
    <row r="2" spans="1:6" ht="15" customHeight="1" thickBot="1">
      <c r="A2" s="542" t="s">
        <v>12</v>
      </c>
      <c r="B2" s="518" t="s">
        <v>77</v>
      </c>
      <c r="C2" s="519"/>
      <c r="D2" s="519"/>
      <c r="E2" s="519"/>
      <c r="F2" s="520"/>
    </row>
    <row r="3" spans="1:8" ht="15" customHeight="1" thickBot="1">
      <c r="A3" s="543"/>
      <c r="B3" s="183">
        <v>2008</v>
      </c>
      <c r="C3" s="154">
        <v>2009</v>
      </c>
      <c r="D3" s="226">
        <v>2010</v>
      </c>
      <c r="E3" s="154">
        <v>2011</v>
      </c>
      <c r="F3" s="371">
        <v>2012</v>
      </c>
      <c r="G3" s="376"/>
      <c r="H3" s="351"/>
    </row>
    <row r="4" spans="1:8" ht="15" customHeight="1">
      <c r="A4" s="357" t="s">
        <v>108</v>
      </c>
      <c r="B4" s="372">
        <f>SUM(B5+B10)</f>
        <v>141855021.8487871</v>
      </c>
      <c r="C4" s="215">
        <f>SUM(C5+C10)</f>
        <v>290937844.8257845</v>
      </c>
      <c r="D4" s="215">
        <f>SUM(D5+D10)</f>
        <v>317105422.2644743</v>
      </c>
      <c r="E4" s="215">
        <f>SUM(E5+E10)</f>
        <v>377342368.7949364</v>
      </c>
      <c r="F4" s="216">
        <f>SUM(F5+F10)</f>
        <v>166224934.47</v>
      </c>
      <c r="G4" s="377"/>
      <c r="H4" s="375"/>
    </row>
    <row r="5" spans="1:7" ht="15" customHeight="1">
      <c r="A5" s="358" t="s">
        <v>107</v>
      </c>
      <c r="B5" s="353">
        <f>SUM(B6:B9)</f>
        <v>136104987.7923392</v>
      </c>
      <c r="C5" s="178">
        <f>SUM(C6:C9)</f>
        <v>161081913.00730824</v>
      </c>
      <c r="D5" s="178">
        <f>SUM(D6:D9)</f>
        <v>174156939.59966242</v>
      </c>
      <c r="E5" s="178">
        <f>SUM(E6:E9)</f>
        <v>206053871.07612956</v>
      </c>
      <c r="F5" s="179">
        <f>SUM(F6:F9)</f>
        <v>154740258.16</v>
      </c>
      <c r="G5" s="355"/>
    </row>
    <row r="6" spans="1:7" ht="15" customHeight="1">
      <c r="A6" s="359" t="s">
        <v>110</v>
      </c>
      <c r="B6" s="383">
        <f>'Anexo 3'!$B$6*($D$53/$D$49)</f>
        <v>1461.2185026658585</v>
      </c>
      <c r="C6" s="367">
        <f>'Anexo 3'!$C$6*($D$53/$D$50)</f>
        <v>932.0425169738485</v>
      </c>
      <c r="D6" s="367">
        <f>'Anexo 3'!$D$6*($D$53/$D$51)</f>
        <v>0</v>
      </c>
      <c r="E6" s="367">
        <f>'Anexo 3'!$E$6*($D$53/$D$52)</f>
        <v>0</v>
      </c>
      <c r="F6" s="368">
        <f>'Anexo 3'!$F$6*($D$53/$D$53)</f>
        <v>0</v>
      </c>
      <c r="G6" s="378"/>
    </row>
    <row r="7" spans="1:7" ht="15" customHeight="1">
      <c r="A7" s="360" t="s">
        <v>111</v>
      </c>
      <c r="B7" s="383">
        <f>'Anexo 3'!$B$7*($D$53/$D$49)</f>
        <v>79560121.01004916</v>
      </c>
      <c r="C7" s="367">
        <f>'Anexo 3'!$C$7*($D$53/$D$50)</f>
        <v>94834307.2624653</v>
      </c>
      <c r="D7" s="367">
        <f>'Anexo 3'!$D$7*($D$53/$D$51)</f>
        <v>23406348.49728863</v>
      </c>
      <c r="E7" s="367">
        <f>'Anexo 3'!$E$7*($D$53/$D$52)</f>
        <v>30440199.309465807</v>
      </c>
      <c r="F7" s="368">
        <f>'Anexo 3'!$F$7*($D$53/$D$53)</f>
        <v>38693954.55</v>
      </c>
      <c r="G7" s="379"/>
    </row>
    <row r="8" spans="1:7" ht="15" customHeight="1">
      <c r="A8" s="360" t="s">
        <v>210</v>
      </c>
      <c r="B8" s="383">
        <f>'Anexo 3'!$B$8*($D$53/$D$49)</f>
        <v>56543405.56378737</v>
      </c>
      <c r="C8" s="367">
        <f>'Anexo 3'!$C$8*($D$53/$D$50)</f>
        <v>66246673.70232596</v>
      </c>
      <c r="D8" s="367">
        <f>'Anexo 3'!$D$8*($D$53/$D$51)</f>
        <v>51062650.8105131</v>
      </c>
      <c r="E8" s="367">
        <f>'Anexo 3'!$E$8*($D$53/$D$52)</f>
        <v>54625269.62473515</v>
      </c>
      <c r="F8" s="368">
        <f>'Anexo 3'!$F$8*($D$53/$D$53)</f>
        <v>21155817.08</v>
      </c>
      <c r="G8" s="379"/>
    </row>
    <row r="9" spans="1:7" ht="15" customHeight="1">
      <c r="A9" s="360" t="s">
        <v>217</v>
      </c>
      <c r="B9" s="383">
        <f>'Anexo 3'!$B$9*($D$53/$D$49)</f>
        <v>0</v>
      </c>
      <c r="C9" s="367">
        <f>'Anexo 3'!$C$9*($D$53/$D$50)</f>
        <v>0</v>
      </c>
      <c r="D9" s="367">
        <f>'Anexo 3'!$D$9*($D$53/$D$51)</f>
        <v>99687940.29186071</v>
      </c>
      <c r="E9" s="367">
        <f>'Anexo 3'!$E$9*($D$53/$D$52)</f>
        <v>120988402.1419286</v>
      </c>
      <c r="F9" s="368">
        <f>'Anexo 3'!$F$9*($D$53/$D$53)</f>
        <v>94890486.53</v>
      </c>
      <c r="G9" s="380"/>
    </row>
    <row r="10" spans="1:7" ht="15" customHeight="1">
      <c r="A10" s="358" t="s">
        <v>160</v>
      </c>
      <c r="B10" s="353">
        <f>SUM(B11:B15)</f>
        <v>5750034.056447889</v>
      </c>
      <c r="C10" s="178">
        <f>SUM(C11:C15)</f>
        <v>129855931.81847626</v>
      </c>
      <c r="D10" s="178">
        <f>SUM(D11:D15)</f>
        <v>142948482.66481185</v>
      </c>
      <c r="E10" s="178">
        <f>SUM(E11:E15)</f>
        <v>171288497.71880683</v>
      </c>
      <c r="F10" s="179">
        <f>SUM(F11:F15)</f>
        <v>11484676.31</v>
      </c>
      <c r="G10" s="355"/>
    </row>
    <row r="11" spans="1:7" ht="15" customHeight="1">
      <c r="A11" s="360" t="s">
        <v>167</v>
      </c>
      <c r="B11" s="383">
        <f>'Anexo 3'!B11*($D$53/$D$49)</f>
        <v>5750034.056447889</v>
      </c>
      <c r="C11" s="367">
        <f>'Anexo 3'!C11*($D$53/$D$50)</f>
        <v>4854931.592272702</v>
      </c>
      <c r="D11" s="367">
        <f>'Anexo 3'!D11*($D$53/$D$51)</f>
        <v>0</v>
      </c>
      <c r="E11" s="367">
        <f>'Anexo 3'!E11*($D$53/$D$52)</f>
        <v>0</v>
      </c>
      <c r="F11" s="368">
        <f>'Anexo 3'!F11*($D$53/$D$53)</f>
        <v>881647.4</v>
      </c>
      <c r="G11" s="381"/>
    </row>
    <row r="12" spans="1:7" ht="15" customHeight="1">
      <c r="A12" s="360" t="s">
        <v>219</v>
      </c>
      <c r="B12" s="383">
        <f>'Anexo 3'!B12*($D$53/$D$49)</f>
        <v>0</v>
      </c>
      <c r="C12" s="367">
        <f>'Anexo 3'!C12*($D$53/$D$50)</f>
        <v>0</v>
      </c>
      <c r="D12" s="367">
        <f>'Anexo 3'!D12*($D$53/$D$51)</f>
        <v>2898049.116030185</v>
      </c>
      <c r="E12" s="367">
        <f>'Anexo 3'!E12*($D$53/$D$52)</f>
        <v>6261367.437257714</v>
      </c>
      <c r="F12" s="368">
        <f>'Anexo 3'!F12*($D$53/$D$53)</f>
        <v>0</v>
      </c>
      <c r="G12" s="381"/>
    </row>
    <row r="13" spans="1:7" ht="15" customHeight="1">
      <c r="A13" s="360" t="s">
        <v>242</v>
      </c>
      <c r="B13" s="383">
        <f>'Anexo 3'!B13*($D$53/$D$49)</f>
        <v>0</v>
      </c>
      <c r="C13" s="367">
        <f>'Anexo 3'!C13*($D$53/$D$50)</f>
        <v>0</v>
      </c>
      <c r="D13" s="367">
        <f>'Anexo 3'!D13*($D$53/$D$51)</f>
        <v>893995.2277626053</v>
      </c>
      <c r="E13" s="367">
        <f>'Anexo 3'!E13*($D$53/$D$52)</f>
        <v>2529936.8891392993</v>
      </c>
      <c r="F13" s="368">
        <f>'Anexo 3'!F13*($D$53/$D$53)</f>
        <v>77933.45</v>
      </c>
      <c r="G13" s="380"/>
    </row>
    <row r="14" spans="1:7" ht="15" customHeight="1">
      <c r="A14" s="360" t="s">
        <v>220</v>
      </c>
      <c r="B14" s="383">
        <f>'Anexo 3'!B14*($D$53/$D$49)</f>
        <v>0</v>
      </c>
      <c r="C14" s="367">
        <f>'Anexo 3'!C14*($D$53/$D$50)</f>
        <v>0</v>
      </c>
      <c r="D14" s="367">
        <f>'Anexo 3'!D14*($D$53/$D$51)</f>
        <v>134686686.02375507</v>
      </c>
      <c r="E14" s="367">
        <f>'Anexo 3'!E14*($D$53/$D$52)</f>
        <v>162408703.63564</v>
      </c>
      <c r="F14" s="368">
        <f>'Anexo 3'!F14*($D$53/$D$53)</f>
        <v>0</v>
      </c>
      <c r="G14" s="381"/>
    </row>
    <row r="15" spans="1:7" ht="15" customHeight="1">
      <c r="A15" s="360" t="s">
        <v>211</v>
      </c>
      <c r="B15" s="383">
        <f>'Anexo 3'!B15*($D$53/$D$49)</f>
        <v>0</v>
      </c>
      <c r="C15" s="367">
        <f>'Anexo 3'!C15*($D$53/$D$50)</f>
        <v>125001000.22620356</v>
      </c>
      <c r="D15" s="367">
        <f>'Anexo 3'!D15*($D$53/$D$51)</f>
        <v>4469752.297263971</v>
      </c>
      <c r="E15" s="367">
        <f>'Anexo 3'!E15*($D$53/$D$52)</f>
        <v>88489.75676983413</v>
      </c>
      <c r="F15" s="368">
        <f>'Anexo 3'!F15*($D$53/$D$53)</f>
        <v>10525095.46</v>
      </c>
      <c r="G15" s="381"/>
    </row>
    <row r="16" spans="1:8" ht="15" customHeight="1">
      <c r="A16" s="361" t="s">
        <v>178</v>
      </c>
      <c r="B16" s="354">
        <f>SUM(B17+B20+B23)</f>
        <v>1368427745.7137046</v>
      </c>
      <c r="C16" s="176">
        <f>SUM(C17+C20+C23)</f>
        <v>1457642297.9152937</v>
      </c>
      <c r="D16" s="176">
        <f>SUM(D17+D20+D23)</f>
        <v>1388432529.9555373</v>
      </c>
      <c r="E16" s="176">
        <f>SUM(E17+E20+E23)</f>
        <v>1518646031.9153666</v>
      </c>
      <c r="F16" s="177">
        <f>SUM(F17+F20+F23)</f>
        <v>1127825394.38</v>
      </c>
      <c r="G16" s="377"/>
      <c r="H16" s="98"/>
    </row>
    <row r="17" spans="1:7" ht="15" customHeight="1">
      <c r="A17" s="358" t="s">
        <v>160</v>
      </c>
      <c r="B17" s="353">
        <f>SUM(B18+B19)</f>
        <v>210064.94626841668</v>
      </c>
      <c r="C17" s="178">
        <f>SUM(C18+C19)</f>
        <v>236303.3863180115</v>
      </c>
      <c r="D17" s="178">
        <f>SUM(D18+D19)</f>
        <v>1669949.002641212</v>
      </c>
      <c r="E17" s="178">
        <f>SUM(E18+E19)</f>
        <v>2022565.5430550957</v>
      </c>
      <c r="F17" s="179">
        <f>SUM(F18+F19)</f>
        <v>0</v>
      </c>
      <c r="G17" s="355"/>
    </row>
    <row r="18" spans="1:7" ht="15" customHeight="1">
      <c r="A18" s="360" t="s">
        <v>161</v>
      </c>
      <c r="B18" s="383">
        <f>'Anexo 3'!B18*($D$53/$D$49)</f>
        <v>210064.94626841668</v>
      </c>
      <c r="C18" s="367">
        <f>'Anexo 3'!C18*($D$53/$D$50)</f>
        <v>236303.3863180115</v>
      </c>
      <c r="D18" s="367">
        <f>'Anexo 3'!D18*($D$53/$D$51)</f>
        <v>763910.168522052</v>
      </c>
      <c r="E18" s="367">
        <f>'Anexo 3'!E18*($D$53/$D$52)</f>
        <v>1159954.0513006188</v>
      </c>
      <c r="F18" s="368">
        <f>'Anexo 3'!F18*($D$53/$D$53)</f>
        <v>0</v>
      </c>
      <c r="G18" s="380"/>
    </row>
    <row r="19" spans="1:7" ht="15" customHeight="1">
      <c r="A19" s="358" t="s">
        <v>218</v>
      </c>
      <c r="B19" s="383">
        <f>'Anexo 3'!B19*($D$53/$D$49)</f>
        <v>0</v>
      </c>
      <c r="C19" s="367">
        <f>'Anexo 3'!C19*($D$53/$D$50)</f>
        <v>0</v>
      </c>
      <c r="D19" s="367">
        <f>'Anexo 3'!D19*($D$53/$D$51)</f>
        <v>906038.83411916</v>
      </c>
      <c r="E19" s="367">
        <f>'Anexo 3'!E19*($D$53/$D$52)</f>
        <v>862611.491754477</v>
      </c>
      <c r="F19" s="368">
        <f>'Anexo 3'!F19*($D$53/$D$53)</f>
        <v>0</v>
      </c>
      <c r="G19" s="380"/>
    </row>
    <row r="20" spans="1:7" ht="15" customHeight="1">
      <c r="A20" s="358" t="s">
        <v>162</v>
      </c>
      <c r="B20" s="353">
        <f>SUM(B21:B22)</f>
        <v>0</v>
      </c>
      <c r="C20" s="178">
        <f>SUM(C21:C22)</f>
        <v>727937332.7057478</v>
      </c>
      <c r="D20" s="178">
        <f>SUM(D21:D22)</f>
        <v>685353350.014478</v>
      </c>
      <c r="E20" s="178">
        <f>SUM(E21:E22)</f>
        <v>671014491.0841821</v>
      </c>
      <c r="F20" s="179">
        <f>SUM(F21:F22)</f>
        <v>441241952.66999996</v>
      </c>
      <c r="G20" s="355"/>
    </row>
    <row r="21" spans="1:7" ht="15" customHeight="1">
      <c r="A21" s="360" t="s">
        <v>163</v>
      </c>
      <c r="B21" s="383">
        <f>'Anexo 3'!B21*($D$53/$D$49)</f>
        <v>0</v>
      </c>
      <c r="C21" s="367">
        <f>'Anexo 3'!C21*($D$53/$D$50)</f>
        <v>727937332.7057478</v>
      </c>
      <c r="D21" s="367">
        <f>'Anexo 3'!D21*($D$53/$D$51)</f>
        <v>440279344.7823278</v>
      </c>
      <c r="E21" s="367">
        <f>'Anexo 3'!E21*($D$53/$D$52)</f>
        <v>439609543.0166112</v>
      </c>
      <c r="F21" s="368">
        <f>'Anexo 3'!F21*($D$53/$D$53)</f>
        <v>430577556.65</v>
      </c>
      <c r="G21" s="380"/>
    </row>
    <row r="22" spans="1:7" ht="15" customHeight="1">
      <c r="A22" s="360" t="s">
        <v>190</v>
      </c>
      <c r="B22" s="383">
        <f>'Anexo 3'!B22*($D$53/$D$49)</f>
        <v>0</v>
      </c>
      <c r="C22" s="367">
        <f>'Anexo 3'!C22*($D$53/$D$50)</f>
        <v>0</v>
      </c>
      <c r="D22" s="367">
        <f>'Anexo 3'!D22*($D$53/$D$51)</f>
        <v>245074005.23215023</v>
      </c>
      <c r="E22" s="367">
        <f>'Anexo 3'!E22*($D$53/$D$52)</f>
        <v>231404948.06757095</v>
      </c>
      <c r="F22" s="368">
        <f>'Anexo 3'!F22*($D$53/$D$53)</f>
        <v>10664396.02</v>
      </c>
      <c r="G22" s="380"/>
    </row>
    <row r="23" spans="1:7" ht="15" customHeight="1">
      <c r="A23" s="358" t="s">
        <v>191</v>
      </c>
      <c r="B23" s="353">
        <f>SUM(B24:B26)</f>
        <v>1368217680.7674363</v>
      </c>
      <c r="C23" s="178">
        <f>SUM(C24:C26)</f>
        <v>729468661.8232278</v>
      </c>
      <c r="D23" s="178">
        <f>SUM(D24:D26)</f>
        <v>701409230.9384181</v>
      </c>
      <c r="E23" s="178">
        <f>SUM(E24:E26)</f>
        <v>845608975.2881294</v>
      </c>
      <c r="F23" s="179">
        <f>SUM(F24:F26)</f>
        <v>686583441.71</v>
      </c>
      <c r="G23" s="355"/>
    </row>
    <row r="24" spans="1:7" ht="15" customHeight="1">
      <c r="A24" s="360" t="s">
        <v>212</v>
      </c>
      <c r="B24" s="383">
        <f>'Anexo 3'!B24*($D$53/$D$49)</f>
        <v>389686855.54374653</v>
      </c>
      <c r="C24" s="367">
        <f>'Anexo 3'!C24*($D$53/$D$50)</f>
        <v>479584243.1161024</v>
      </c>
      <c r="D24" s="367">
        <f>'Anexo 3'!D24*($D$53/$D$51)</f>
        <v>487294988.7761049</v>
      </c>
      <c r="E24" s="367">
        <f>'Anexo 3'!E24*($D$53/$D$52)</f>
        <v>576157350.0006329</v>
      </c>
      <c r="F24" s="368">
        <f>'Anexo 3'!F24*($D$53/$D$53)</f>
        <v>362979391</v>
      </c>
      <c r="G24" s="380"/>
    </row>
    <row r="25" spans="1:7" ht="15" customHeight="1">
      <c r="A25" s="360" t="s">
        <v>213</v>
      </c>
      <c r="B25" s="383">
        <f>'Anexo 3'!B25*($D$53/$D$49)</f>
        <v>0</v>
      </c>
      <c r="C25" s="367">
        <f>'Anexo 3'!C25*($D$53/$D$50)</f>
        <v>249884418.7071254</v>
      </c>
      <c r="D25" s="367">
        <f>'Anexo 3'!D25*($D$53/$D$51)</f>
        <v>214114242.16231316</v>
      </c>
      <c r="E25" s="367">
        <f>'Anexo 3'!E25*($D$53/$D$52)</f>
        <v>0</v>
      </c>
      <c r="F25" s="368">
        <f>'Anexo 3'!F25*($D$53/$D$53)</f>
        <v>208326689.71</v>
      </c>
      <c r="G25" s="380"/>
    </row>
    <row r="26" spans="1:7" ht="15" customHeight="1">
      <c r="A26" s="360" t="s">
        <v>168</v>
      </c>
      <c r="B26" s="383">
        <f>'Anexo 3'!B26*($D$53/$D$49)</f>
        <v>978530825.2236897</v>
      </c>
      <c r="C26" s="367">
        <f>'Anexo 3'!C26*($D$53/$D$50)</f>
        <v>0</v>
      </c>
      <c r="D26" s="367">
        <f>'Anexo 3'!D26*($D$53/$D$51)</f>
        <v>0</v>
      </c>
      <c r="E26" s="367">
        <f>'Anexo 3'!E26*($D$53/$D$52)</f>
        <v>269451625.28749657</v>
      </c>
      <c r="F26" s="368">
        <f>'Anexo 3'!F26*($D$53/$D$53)</f>
        <v>115277361</v>
      </c>
      <c r="G26" s="380"/>
    </row>
    <row r="27" spans="1:7" ht="15" customHeight="1">
      <c r="A27" s="361" t="s">
        <v>109</v>
      </c>
      <c r="B27" s="354">
        <f>(B4+B16)</f>
        <v>1510282767.5624917</v>
      </c>
      <c r="C27" s="176">
        <f>(C4+C16)</f>
        <v>1748580142.7410781</v>
      </c>
      <c r="D27" s="176">
        <f>(D4+D16)</f>
        <v>1705537952.2200117</v>
      </c>
      <c r="E27" s="176">
        <f>(E4+E16)</f>
        <v>1895988400.710303</v>
      </c>
      <c r="F27" s="177">
        <f>(F4+F16)</f>
        <v>1294050328.8500001</v>
      </c>
      <c r="G27" s="382"/>
    </row>
    <row r="28" spans="1:7" ht="15" customHeight="1">
      <c r="A28" s="361" t="s">
        <v>113</v>
      </c>
      <c r="B28" s="354">
        <f>(B29+B32+B33+B34)</f>
        <v>51576619.05399002</v>
      </c>
      <c r="C28" s="176">
        <f>(C29+C32+C33+C34)</f>
        <v>64040664.19325482</v>
      </c>
      <c r="D28" s="176">
        <f>(D29+D32+D33+D34)</f>
        <v>80226219.4702594</v>
      </c>
      <c r="E28" s="176">
        <f>(E29+E32+E33+E34)</f>
        <v>146303053.83896753</v>
      </c>
      <c r="F28" s="177">
        <f>(F29+F32+F33+F34)</f>
        <v>64330365.02</v>
      </c>
      <c r="G28" s="377"/>
    </row>
    <row r="29" spans="1:8" ht="15" customHeight="1">
      <c r="A29" s="362" t="s">
        <v>189</v>
      </c>
      <c r="B29" s="353">
        <f>(B30+B31)</f>
        <v>44136958.81733339</v>
      </c>
      <c r="C29" s="178">
        <f>(C30+C31)</f>
        <v>59190162.20940679</v>
      </c>
      <c r="D29" s="178">
        <f>(D30+D31)</f>
        <v>74514689.39291099</v>
      </c>
      <c r="E29" s="178">
        <f>(E30+E31)</f>
        <v>139552773.449815</v>
      </c>
      <c r="F29" s="179">
        <f>(F30+F31)</f>
        <v>57915350.59</v>
      </c>
      <c r="G29" s="355"/>
      <c r="H29" s="153"/>
    </row>
    <row r="30" spans="1:7" ht="15" customHeight="1">
      <c r="A30" s="362" t="s">
        <v>265</v>
      </c>
      <c r="B30" s="383">
        <f>'Anexo 3'!B30*($D$53/$D$49)</f>
        <v>9003468.518327126</v>
      </c>
      <c r="C30" s="367">
        <f>'Anexo 3'!C30*($D$53/$D$50)</f>
        <v>20014949.92767567</v>
      </c>
      <c r="D30" s="367">
        <f>'Anexo 3'!D30*($D$53/$D$51)</f>
        <v>12678642.957837664</v>
      </c>
      <c r="E30" s="367">
        <f>'Anexo 3'!E30*($D$53/$D$52)</f>
        <v>18456378.672774415</v>
      </c>
      <c r="F30" s="368">
        <f>'Anexo 3'!F30*($D$53/$D$53)</f>
        <v>13581502.71</v>
      </c>
      <c r="G30" s="355"/>
    </row>
    <row r="31" spans="1:7" ht="15" customHeight="1">
      <c r="A31" s="362" t="s">
        <v>266</v>
      </c>
      <c r="B31" s="383">
        <f>'Anexo 3'!B31*($D$53/$D$49)</f>
        <v>35133490.29900627</v>
      </c>
      <c r="C31" s="367">
        <f>'Anexo 3'!C31*($D$53/$D$50)</f>
        <v>39175212.28173112</v>
      </c>
      <c r="D31" s="367">
        <f>'Anexo 3'!D31*($D$53/$D$51)</f>
        <v>61836046.43507332</v>
      </c>
      <c r="E31" s="367">
        <f>'Anexo 3'!E31*($D$53/$D$52)</f>
        <v>121096394.77704059</v>
      </c>
      <c r="F31" s="368">
        <f>'Anexo 3'!F31*($D$53/$D$53)</f>
        <v>44333847.88</v>
      </c>
      <c r="G31" s="355"/>
    </row>
    <row r="32" spans="1:7" ht="15" customHeight="1">
      <c r="A32" s="362" t="s">
        <v>125</v>
      </c>
      <c r="B32" s="384">
        <f>'Anexo 3'!B32*($D$53/$D$49)</f>
        <v>0</v>
      </c>
      <c r="C32" s="369">
        <f>'Anexo 3'!C32*($D$53/$D$50)</f>
        <v>0</v>
      </c>
      <c r="D32" s="369">
        <f>'Anexo 3'!D32*($D$53/$D$51)</f>
        <v>3896453.159430145</v>
      </c>
      <c r="E32" s="369">
        <f>'Anexo 3'!E32*($D$53/$D$52)</f>
        <v>3978181.138247176</v>
      </c>
      <c r="F32" s="370">
        <f>'Anexo 3'!F32*($D$53/$D$53)</f>
        <v>4902196.11</v>
      </c>
      <c r="G32" s="355"/>
    </row>
    <row r="33" spans="1:7" ht="15" customHeight="1">
      <c r="A33" s="362" t="s">
        <v>164</v>
      </c>
      <c r="B33" s="384">
        <f>'Anexo 3'!B33*($D$53/$D$49)</f>
        <v>7439450.224630504</v>
      </c>
      <c r="C33" s="369">
        <f>'Anexo 3'!C33*($D$53/$D$50)</f>
        <v>4421304.931640408</v>
      </c>
      <c r="D33" s="369">
        <f>'Anexo 3'!D33*($D$53/$D$51)</f>
        <v>1815076.9179182667</v>
      </c>
      <c r="E33" s="369">
        <f>'Anexo 3'!E33*($D$53/$D$52)</f>
        <v>2591553.0658503044</v>
      </c>
      <c r="F33" s="370">
        <f>'Anexo 3'!F33*($D$53/$D$53)</f>
        <v>1033271</v>
      </c>
      <c r="G33" s="355"/>
    </row>
    <row r="34" spans="1:7" ht="15" customHeight="1">
      <c r="A34" s="362" t="s">
        <v>214</v>
      </c>
      <c r="B34" s="384">
        <f>'Anexo 3'!B34*($D$53/$D$49)</f>
        <v>210.0120261266499</v>
      </c>
      <c r="C34" s="369">
        <f>'Anexo 3'!C34*($D$53/$D$50)</f>
        <v>429197.05220761686</v>
      </c>
      <c r="D34" s="369">
        <f>'Anexo 3'!D34*($D$53/$D$51)</f>
        <v>0</v>
      </c>
      <c r="E34" s="369">
        <f>'Anexo 3'!E34*($D$53/$D$52)</f>
        <v>180546.1850550489</v>
      </c>
      <c r="F34" s="370">
        <f>'Anexo 3'!F34*($D$53/$D$53)</f>
        <v>479547.32</v>
      </c>
      <c r="G34" s="355"/>
    </row>
    <row r="35" spans="1:7" ht="15" customHeight="1">
      <c r="A35" s="361" t="s">
        <v>165</v>
      </c>
      <c r="B35" s="354">
        <f>(B36+B37+B38)</f>
        <v>1159495096.9906068</v>
      </c>
      <c r="C35" s="176">
        <f>(C36+C37+C38)</f>
        <v>1368480666.4385362</v>
      </c>
      <c r="D35" s="176">
        <f>(D36+D37+D38)</f>
        <v>1301570154.3006673</v>
      </c>
      <c r="E35" s="176">
        <f>(E36+E37+E38)</f>
        <v>2106263709.6572158</v>
      </c>
      <c r="F35" s="177">
        <f>(F36+F37+F38)</f>
        <v>374688376.46</v>
      </c>
      <c r="G35" s="377"/>
    </row>
    <row r="36" spans="1:7" ht="15" customHeight="1">
      <c r="A36" s="358" t="s">
        <v>215</v>
      </c>
      <c r="B36" s="384">
        <f>'Anexo 3'!B36*($D$53/$D$49)</f>
        <v>32826300.19717018</v>
      </c>
      <c r="C36" s="369">
        <f>'Anexo 3'!C36*($D$53/$D$50)</f>
        <v>46556691.37194475</v>
      </c>
      <c r="D36" s="369">
        <f>'Anexo 3'!D36*($D$53/$D$51)</f>
        <v>48150677.97806848</v>
      </c>
      <c r="E36" s="369">
        <f>'Anexo 3'!E36*($D$53/$D$52)</f>
        <v>57524832.089807205</v>
      </c>
      <c r="F36" s="370">
        <f>'Anexo 3'!F36*($D$53/$D$53)</f>
        <v>59284912</v>
      </c>
      <c r="G36" s="377"/>
    </row>
    <row r="37" spans="1:7" ht="15" customHeight="1">
      <c r="A37" s="361" t="s">
        <v>243</v>
      </c>
      <c r="B37" s="384">
        <f>'Anexo 3'!B37*($D$53/$D$49)</f>
        <v>397358429.7473108</v>
      </c>
      <c r="C37" s="369">
        <f>'Anexo 3'!C37*($D$53/$D$50)</f>
        <v>0</v>
      </c>
      <c r="D37" s="369">
        <f>'Anexo 3'!D37*($D$53/$D$51)</f>
        <v>0</v>
      </c>
      <c r="E37" s="369">
        <f>'Anexo 3'!E37*($D$53/$D$52)</f>
        <v>0</v>
      </c>
      <c r="F37" s="370">
        <f>'Anexo 3'!F37*($D$53/$D$53)</f>
        <v>0</v>
      </c>
      <c r="G37" s="355"/>
    </row>
    <row r="38" spans="1:7" ht="15" customHeight="1">
      <c r="A38" s="358" t="s">
        <v>216</v>
      </c>
      <c r="B38" s="353">
        <f>(B39+B40+B41)</f>
        <v>729310367.0461257</v>
      </c>
      <c r="C38" s="178">
        <f>(C39+C40+C41)</f>
        <v>1321923975.0665915</v>
      </c>
      <c r="D38" s="178">
        <f>(D39+D40+D41)</f>
        <v>1253419476.3225987</v>
      </c>
      <c r="E38" s="178">
        <f>(E39+E40+E41)</f>
        <v>2048738877.5674086</v>
      </c>
      <c r="F38" s="179">
        <f>(F39+F40+F41)</f>
        <v>315403464.46</v>
      </c>
      <c r="G38" s="355"/>
    </row>
    <row r="39" spans="1:7" ht="15" customHeight="1">
      <c r="A39" s="363" t="s">
        <v>112</v>
      </c>
      <c r="B39" s="383">
        <f>'Anexo 3'!B39*($D$53/$D$49)</f>
        <v>0</v>
      </c>
      <c r="C39" s="367">
        <f>'Anexo 3'!C39*($D$53/$D$50)</f>
        <v>0</v>
      </c>
      <c r="D39" s="367">
        <f>'Anexo 3'!D39*($D$53/$D$51)</f>
        <v>75830904.51920074</v>
      </c>
      <c r="E39" s="367">
        <f>'Anexo 3'!E39*($D$53/$D$52)</f>
        <v>93127653.97794783</v>
      </c>
      <c r="F39" s="368">
        <f>'Anexo 3'!F39*($D$53/$D$53)</f>
        <v>78594266.26</v>
      </c>
      <c r="G39" s="380"/>
    </row>
    <row r="40" spans="1:7" ht="15" customHeight="1">
      <c r="A40" s="363" t="s">
        <v>166</v>
      </c>
      <c r="B40" s="383">
        <f>'Anexo 3'!B40*($D$53/$D$49)</f>
        <v>0</v>
      </c>
      <c r="C40" s="367">
        <f>'Anexo 3'!C40*($D$53/$D$50)</f>
        <v>0</v>
      </c>
      <c r="D40" s="367">
        <f>'Anexo 3'!D40*($D$53/$D$51)</f>
        <v>0</v>
      </c>
      <c r="E40" s="367">
        <f>'Anexo 3'!E40*($D$53/$D$52)</f>
        <v>0</v>
      </c>
      <c r="F40" s="368">
        <f>'Anexo 3'!F40*($D$53/$D$53)</f>
        <v>0</v>
      </c>
      <c r="G40" s="380"/>
    </row>
    <row r="41" spans="1:7" ht="15" customHeight="1">
      <c r="A41" s="364" t="s">
        <v>169</v>
      </c>
      <c r="B41" s="383">
        <f>'Anexo 3'!B41*($D$53/$D$49)</f>
        <v>729310367.0461257</v>
      </c>
      <c r="C41" s="367">
        <f>'Anexo 3'!C41*($D$53/$D$50)</f>
        <v>1321923975.0665915</v>
      </c>
      <c r="D41" s="367">
        <f>'Anexo 3'!D41*($D$53/$D$51)</f>
        <v>1177588571.803398</v>
      </c>
      <c r="E41" s="367">
        <f>'Anexo 3'!E41*($D$53/$D$52)</f>
        <v>1955611223.5894606</v>
      </c>
      <c r="F41" s="368">
        <f>'Anexo 3'!F41*($D$53/$D$53)</f>
        <v>236809198.2</v>
      </c>
      <c r="G41" s="380"/>
    </row>
    <row r="42" spans="1:7" ht="15" customHeight="1" thickBot="1">
      <c r="A42" s="365" t="s">
        <v>32</v>
      </c>
      <c r="B42" s="373">
        <f>SUM(B28+B35)</f>
        <v>1211071716.044597</v>
      </c>
      <c r="C42" s="175">
        <f>SUM(C28+C35)</f>
        <v>1432521330.6317909</v>
      </c>
      <c r="D42" s="175">
        <f>SUM(D28+D35)</f>
        <v>1381796373.7709267</v>
      </c>
      <c r="E42" s="175">
        <f>SUM(E28+E35)</f>
        <v>2252566763.4961834</v>
      </c>
      <c r="F42" s="217">
        <f>SUM(F28+F35)</f>
        <v>439018741.47999996</v>
      </c>
      <c r="G42" s="382"/>
    </row>
    <row r="43" spans="1:7" ht="15" customHeight="1" thickBot="1">
      <c r="A43" s="366" t="s">
        <v>90</v>
      </c>
      <c r="B43" s="374">
        <f>SUM(B27-B42)</f>
        <v>299211051.51789474</v>
      </c>
      <c r="C43" s="385">
        <f>SUM(C27-C42)</f>
        <v>316058812.10928726</v>
      </c>
      <c r="D43" s="385">
        <f>SUM(D27-D42)</f>
        <v>323741578.449085</v>
      </c>
      <c r="E43" s="385">
        <f>SUM(E27-E42)</f>
        <v>-356578362.7858803</v>
      </c>
      <c r="F43" s="386">
        <f>SUM(F27-F42)</f>
        <v>855031587.3700001</v>
      </c>
      <c r="G43" s="377"/>
    </row>
    <row r="44" spans="1:6" ht="12" customHeight="1">
      <c r="A44" s="33" t="s">
        <v>91</v>
      </c>
      <c r="B44" s="34"/>
      <c r="C44" s="31"/>
      <c r="D44" s="31"/>
      <c r="E44" s="544" t="s">
        <v>245</v>
      </c>
      <c r="F44" s="544"/>
    </row>
    <row r="45" spans="1:6" ht="6" customHeight="1" thickBot="1">
      <c r="A45" s="33"/>
      <c r="B45" s="34"/>
      <c r="C45" s="31"/>
      <c r="D45" s="31"/>
      <c r="E45" s="31"/>
      <c r="F45" s="31"/>
    </row>
    <row r="46" spans="2:4" ht="13.5" customHeight="1" thickBot="1">
      <c r="B46" s="535" t="s">
        <v>33</v>
      </c>
      <c r="C46" s="492"/>
      <c r="D46" s="536"/>
    </row>
    <row r="47" spans="2:4" ht="13.5" customHeight="1">
      <c r="B47" s="537" t="s">
        <v>34</v>
      </c>
      <c r="C47" s="539" t="s">
        <v>35</v>
      </c>
      <c r="D47" s="539" t="s">
        <v>36</v>
      </c>
    </row>
    <row r="48" spans="2:4" ht="12.75" customHeight="1" thickBot="1">
      <c r="B48" s="538"/>
      <c r="C48" s="540"/>
      <c r="D48" s="540"/>
    </row>
    <row r="49" spans="2:4" ht="14.25" customHeight="1">
      <c r="B49" s="251" t="s">
        <v>173</v>
      </c>
      <c r="C49" s="252" t="s">
        <v>174</v>
      </c>
      <c r="D49" s="253">
        <v>404.185</v>
      </c>
    </row>
    <row r="50" spans="2:4" ht="13.5" customHeight="1">
      <c r="B50" s="251" t="s">
        <v>181</v>
      </c>
      <c r="C50" s="254" t="s">
        <v>195</v>
      </c>
      <c r="D50" s="253">
        <v>398.407</v>
      </c>
    </row>
    <row r="51" spans="2:4" ht="13.5" customHeight="1">
      <c r="B51" s="251" t="s">
        <v>182</v>
      </c>
      <c r="C51" s="254" t="s">
        <v>196</v>
      </c>
      <c r="D51" s="253">
        <v>443.27</v>
      </c>
    </row>
    <row r="52" spans="2:4" ht="13.5" customHeight="1">
      <c r="B52" s="251" t="s">
        <v>207</v>
      </c>
      <c r="C52" s="252" t="s">
        <v>208</v>
      </c>
      <c r="D52" s="253">
        <v>465.586</v>
      </c>
    </row>
    <row r="53" spans="2:4" ht="13.5" customHeight="1" thickBot="1">
      <c r="B53" s="255" t="s">
        <v>248</v>
      </c>
      <c r="C53" s="256" t="s">
        <v>249</v>
      </c>
      <c r="D53" s="257">
        <v>503.283</v>
      </c>
    </row>
  </sheetData>
  <sheetProtection/>
  <mergeCells count="8">
    <mergeCell ref="B46:D46"/>
    <mergeCell ref="B47:B48"/>
    <mergeCell ref="C47:C48"/>
    <mergeCell ref="D47:D48"/>
    <mergeCell ref="A1:F1"/>
    <mergeCell ref="A2:A3"/>
    <mergeCell ref="B2:F2"/>
    <mergeCell ref="E44:F44"/>
  </mergeCells>
  <printOptions horizontalCentered="1" verticalCentered="1"/>
  <pageMargins left="0.1968503937007874" right="0.11811023622047245" top="1.220472440944882" bottom="0.984251968503937" header="0.3937007874015748" footer="0.5118110236220472"/>
  <pageSetup horizontalDpi="300" verticalDpi="300" orientation="portrait" paperSize="9" scale="90" r:id="rId1"/>
  <headerFooter alignWithMargins="0">
    <oddHeader>&amp;C&amp;"Arial Black,Regular"&amp;14PLANILHA IV&amp;"Arial,Normal"&amp;10
&amp;12
&amp;"Arial,Negrito"BALANÇO PATRIMONIAL CONSOLIDADO DO MUNICÍPIO DE LONDRINA
 Período de 2008 - 2012 (preços de 2012)
&amp;R&amp;"Arial Black,Regular"&amp;14ANEXO  4&amp;"Arial,Normal"&amp;10
&amp;12p. 1 de 1</oddHeader>
    <oddFooter>&amp;R&amp;8__________________________________________________________________________
CONSULTORIA/93-13-JAR - Avaliação Financeira e Orçamentária do Município de Londrina
&amp;6Anexo 4 - Londrina - PR.xls</oddFooter>
  </headerFooter>
  <ignoredErrors>
    <ignoredError sqref="C49:C53 B49:B53" numberStoredAsText="1"/>
    <ignoredError sqref="B25:B26 C24:C26 D24" formula="1"/>
    <ignoredError sqref="D4:D5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83"/>
  <sheetViews>
    <sheetView zoomScale="150" zoomScaleNormal="150" zoomScalePageLayoutView="0" workbookViewId="0" topLeftCell="A13">
      <selection activeCell="A19" sqref="A19"/>
    </sheetView>
  </sheetViews>
  <sheetFormatPr defaultColWidth="9.140625" defaultRowHeight="12.75"/>
  <cols>
    <col min="1" max="1" width="27.8515625" style="0" customWidth="1"/>
    <col min="2" max="11" width="7.28125" style="0" customWidth="1"/>
    <col min="12" max="12" width="10.140625" style="0" customWidth="1"/>
  </cols>
  <sheetData>
    <row r="1" spans="1:11" ht="13.5" customHeight="1">
      <c r="A1" s="1" t="s">
        <v>227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.75" customHeight="1" thickBot="1">
      <c r="A2" s="525" t="s">
        <v>236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</row>
    <row r="3" spans="1:11" ht="12" customHeight="1" thickBot="1">
      <c r="A3" s="532" t="s">
        <v>114</v>
      </c>
      <c r="B3" s="533"/>
      <c r="C3" s="533"/>
      <c r="D3" s="533"/>
      <c r="E3" s="533"/>
      <c r="F3" s="533"/>
      <c r="G3" s="533"/>
      <c r="H3" s="533"/>
      <c r="I3" s="533"/>
      <c r="J3" s="533"/>
      <c r="K3" s="534"/>
    </row>
    <row r="4" spans="1:11" ht="12" customHeight="1">
      <c r="A4" s="24" t="s">
        <v>12</v>
      </c>
      <c r="B4" s="25" t="s">
        <v>251</v>
      </c>
      <c r="C4" s="25" t="s">
        <v>221</v>
      </c>
      <c r="D4" s="25" t="s">
        <v>252</v>
      </c>
      <c r="E4" s="25" t="s">
        <v>142</v>
      </c>
      <c r="F4" s="25" t="s">
        <v>156</v>
      </c>
      <c r="G4" s="25" t="s">
        <v>177</v>
      </c>
      <c r="H4" s="25" t="s">
        <v>183</v>
      </c>
      <c r="I4" s="25" t="s">
        <v>184</v>
      </c>
      <c r="J4" s="25" t="s">
        <v>222</v>
      </c>
      <c r="K4" s="207" t="s">
        <v>253</v>
      </c>
    </row>
    <row r="5" spans="1:12" ht="12" customHeight="1">
      <c r="A5" s="17" t="s">
        <v>89</v>
      </c>
      <c r="B5" s="113">
        <f>+B6+B34+B33</f>
        <v>1331262.125</v>
      </c>
      <c r="C5" s="113">
        <f aca="true" t="shared" si="0" ref="C5:K5">+C6+C34+C33</f>
        <v>1338133.5</v>
      </c>
      <c r="D5" s="113">
        <f t="shared" si="0"/>
        <v>1446346.875</v>
      </c>
      <c r="E5" s="113">
        <f t="shared" si="0"/>
        <v>1530310.23</v>
      </c>
      <c r="F5" s="113">
        <f t="shared" si="0"/>
        <v>1613478.0588</v>
      </c>
      <c r="G5" s="113">
        <f t="shared" si="0"/>
        <v>1708580.397328</v>
      </c>
      <c r="H5" s="113">
        <f t="shared" si="0"/>
        <v>1811945.2211676799</v>
      </c>
      <c r="I5" s="113">
        <f t="shared" si="0"/>
        <v>1920452.934437741</v>
      </c>
      <c r="J5" s="113">
        <f t="shared" si="0"/>
        <v>2035471.0505040057</v>
      </c>
      <c r="K5" s="124">
        <f t="shared" si="0"/>
        <v>2157390.193534246</v>
      </c>
      <c r="L5" s="475"/>
    </row>
    <row r="6" spans="1:12" ht="12.75">
      <c r="A6" s="112" t="s">
        <v>0</v>
      </c>
      <c r="B6" s="118">
        <f>SUM(B7,B15,B16,B19,B20,B21,B22,B30-B44)</f>
        <v>1141016</v>
      </c>
      <c r="C6" s="118">
        <f aca="true" t="shared" si="1" ref="C6:K6">SUM(C7,C15,C16,C19,C20,C21,C22,C30-C44)</f>
        <v>1207739</v>
      </c>
      <c r="D6" s="118">
        <f t="shared" si="1"/>
        <v>1308639</v>
      </c>
      <c r="E6" s="118">
        <f t="shared" si="1"/>
        <v>1387157.34</v>
      </c>
      <c r="F6" s="118">
        <f t="shared" si="1"/>
        <v>1470386.7804</v>
      </c>
      <c r="G6" s="118">
        <f t="shared" si="1"/>
        <v>1558609.987224</v>
      </c>
      <c r="H6" s="118">
        <f t="shared" si="1"/>
        <v>1652126.58645744</v>
      </c>
      <c r="I6" s="118">
        <f t="shared" si="1"/>
        <v>1751254.1816448867</v>
      </c>
      <c r="J6" s="118">
        <f t="shared" si="1"/>
        <v>1856329.43254358</v>
      </c>
      <c r="K6" s="129">
        <f t="shared" si="1"/>
        <v>1967709.198496195</v>
      </c>
      <c r="L6" s="476"/>
    </row>
    <row r="7" spans="1:12" ht="9" customHeight="1">
      <c r="A7" s="16" t="s">
        <v>17</v>
      </c>
      <c r="B7" s="115">
        <f>SUM(B8,B13,B14)</f>
        <v>372280</v>
      </c>
      <c r="C7" s="115">
        <f aca="true" t="shared" si="2" ref="C7:K7">SUM(C8,C13,C14)</f>
        <v>379050</v>
      </c>
      <c r="D7" s="115">
        <f t="shared" si="2"/>
        <v>414528</v>
      </c>
      <c r="E7" s="115">
        <f t="shared" si="2"/>
        <v>439399.68000000005</v>
      </c>
      <c r="F7" s="115">
        <f t="shared" si="2"/>
        <v>465763.66080000007</v>
      </c>
      <c r="G7" s="115">
        <f t="shared" si="2"/>
        <v>493709.480448</v>
      </c>
      <c r="H7" s="115">
        <f t="shared" si="2"/>
        <v>523332.0492748801</v>
      </c>
      <c r="I7" s="115">
        <f t="shared" si="2"/>
        <v>554731.972231373</v>
      </c>
      <c r="J7" s="115">
        <f t="shared" si="2"/>
        <v>588015.8905652554</v>
      </c>
      <c r="K7" s="126">
        <f t="shared" si="2"/>
        <v>623296.8439991707</v>
      </c>
      <c r="L7" s="476"/>
    </row>
    <row r="8" spans="1:12" ht="9" customHeight="1">
      <c r="A8" s="14" t="s">
        <v>1</v>
      </c>
      <c r="B8" s="114">
        <f>SUM(B9,B10,B11,B12)</f>
        <v>350722</v>
      </c>
      <c r="C8" s="114">
        <f aca="true" t="shared" si="3" ref="C8:K8">SUM(C9,C10,C11,C12)</f>
        <v>356804</v>
      </c>
      <c r="D8" s="114">
        <f t="shared" si="3"/>
        <v>390668</v>
      </c>
      <c r="E8" s="114">
        <f t="shared" si="3"/>
        <v>414108.08</v>
      </c>
      <c r="F8" s="114">
        <f t="shared" si="3"/>
        <v>438954.56480000005</v>
      </c>
      <c r="G8" s="114">
        <f t="shared" si="3"/>
        <v>465291.83868800005</v>
      </c>
      <c r="H8" s="114">
        <f t="shared" si="3"/>
        <v>493209.3490092801</v>
      </c>
      <c r="I8" s="114">
        <f t="shared" si="3"/>
        <v>522801.90994983696</v>
      </c>
      <c r="J8" s="114">
        <f t="shared" si="3"/>
        <v>554170.0245468272</v>
      </c>
      <c r="K8" s="125">
        <f t="shared" si="3"/>
        <v>587420.2260196368</v>
      </c>
      <c r="L8" s="477"/>
    </row>
    <row r="9" spans="1:12" ht="9" customHeight="1">
      <c r="A9" s="105" t="s">
        <v>94</v>
      </c>
      <c r="B9" s="116">
        <v>127952</v>
      </c>
      <c r="C9" s="116">
        <v>131952</v>
      </c>
      <c r="D9" s="116">
        <v>149500</v>
      </c>
      <c r="E9" s="116">
        <f aca="true" t="shared" si="4" ref="E9:K15">D9*(1.06)</f>
        <v>158470</v>
      </c>
      <c r="F9" s="116">
        <f t="shared" si="4"/>
        <v>167978.2</v>
      </c>
      <c r="G9" s="116">
        <f t="shared" si="4"/>
        <v>178056.89200000002</v>
      </c>
      <c r="H9" s="116">
        <f t="shared" si="4"/>
        <v>188740.30552000002</v>
      </c>
      <c r="I9" s="116">
        <f t="shared" si="4"/>
        <v>200064.72385120005</v>
      </c>
      <c r="J9" s="116">
        <f t="shared" si="4"/>
        <v>212068.60728227207</v>
      </c>
      <c r="K9" s="127">
        <f t="shared" si="4"/>
        <v>224792.7237192084</v>
      </c>
      <c r="L9" s="478"/>
    </row>
    <row r="10" spans="1:12" ht="9" customHeight="1">
      <c r="A10" s="105" t="s">
        <v>148</v>
      </c>
      <c r="B10" s="116">
        <v>138500</v>
      </c>
      <c r="C10" s="116">
        <v>135980</v>
      </c>
      <c r="D10" s="116">
        <v>145300</v>
      </c>
      <c r="E10" s="116">
        <f t="shared" si="4"/>
        <v>154018</v>
      </c>
      <c r="F10" s="116">
        <f t="shared" si="4"/>
        <v>163259.08000000002</v>
      </c>
      <c r="G10" s="116">
        <f t="shared" si="4"/>
        <v>173054.62480000002</v>
      </c>
      <c r="H10" s="116">
        <f t="shared" si="4"/>
        <v>183437.90228800004</v>
      </c>
      <c r="I10" s="116">
        <f t="shared" si="4"/>
        <v>194444.17642528005</v>
      </c>
      <c r="J10" s="116">
        <f t="shared" si="4"/>
        <v>206110.82701079687</v>
      </c>
      <c r="K10" s="127">
        <f t="shared" si="4"/>
        <v>218477.4766314447</v>
      </c>
      <c r="L10" s="478"/>
    </row>
    <row r="11" spans="1:12" ht="9" customHeight="1">
      <c r="A11" s="105" t="s">
        <v>127</v>
      </c>
      <c r="B11" s="116">
        <v>33687</v>
      </c>
      <c r="C11" s="116">
        <v>34104</v>
      </c>
      <c r="D11" s="116">
        <v>37468</v>
      </c>
      <c r="E11" s="116">
        <f t="shared" si="4"/>
        <v>39716.08</v>
      </c>
      <c r="F11" s="116">
        <f t="shared" si="4"/>
        <v>42099.0448</v>
      </c>
      <c r="G11" s="116">
        <f t="shared" si="4"/>
        <v>44624.987488000006</v>
      </c>
      <c r="H11" s="116">
        <f t="shared" si="4"/>
        <v>47302.48673728001</v>
      </c>
      <c r="I11" s="116">
        <f t="shared" si="4"/>
        <v>50140.63594151681</v>
      </c>
      <c r="J11" s="116">
        <f t="shared" si="4"/>
        <v>53149.074098007826</v>
      </c>
      <c r="K11" s="127">
        <f t="shared" si="4"/>
        <v>56338.0185438883</v>
      </c>
      <c r="L11" s="478"/>
    </row>
    <row r="12" spans="1:12" ht="9" customHeight="1">
      <c r="A12" s="105" t="s">
        <v>147</v>
      </c>
      <c r="B12" s="116">
        <v>50583</v>
      </c>
      <c r="C12" s="116">
        <v>54768</v>
      </c>
      <c r="D12" s="116">
        <v>58400</v>
      </c>
      <c r="E12" s="116">
        <f t="shared" si="4"/>
        <v>61904</v>
      </c>
      <c r="F12" s="116">
        <f t="shared" si="4"/>
        <v>65618.24</v>
      </c>
      <c r="G12" s="116">
        <f t="shared" si="4"/>
        <v>69555.3344</v>
      </c>
      <c r="H12" s="116">
        <f t="shared" si="4"/>
        <v>73728.654464</v>
      </c>
      <c r="I12" s="116">
        <f t="shared" si="4"/>
        <v>78152.37373184001</v>
      </c>
      <c r="J12" s="116">
        <f t="shared" si="4"/>
        <v>82841.51615575042</v>
      </c>
      <c r="K12" s="127">
        <f t="shared" si="4"/>
        <v>87812.00712509545</v>
      </c>
      <c r="L12" s="478"/>
    </row>
    <row r="13" spans="1:12" ht="9" customHeight="1">
      <c r="A13" s="106" t="s">
        <v>2</v>
      </c>
      <c r="B13" s="114">
        <v>21436</v>
      </c>
      <c r="C13" s="114">
        <v>22057</v>
      </c>
      <c r="D13" s="114">
        <v>23621</v>
      </c>
      <c r="E13" s="114">
        <f t="shared" si="4"/>
        <v>25038.260000000002</v>
      </c>
      <c r="F13" s="114">
        <f t="shared" si="4"/>
        <v>26540.555600000003</v>
      </c>
      <c r="G13" s="114">
        <f t="shared" si="4"/>
        <v>28132.988936000005</v>
      </c>
      <c r="H13" s="114">
        <f t="shared" si="4"/>
        <v>29820.968272160007</v>
      </c>
      <c r="I13" s="114">
        <f t="shared" si="4"/>
        <v>31610.22636848961</v>
      </c>
      <c r="J13" s="114">
        <f t="shared" si="4"/>
        <v>33506.83995059899</v>
      </c>
      <c r="K13" s="125">
        <f t="shared" si="4"/>
        <v>35517.25034763493</v>
      </c>
      <c r="L13" s="477"/>
    </row>
    <row r="14" spans="1:12" ht="9" customHeight="1">
      <c r="A14" s="106" t="s">
        <v>104</v>
      </c>
      <c r="B14" s="114">
        <v>122</v>
      </c>
      <c r="C14" s="114">
        <v>189</v>
      </c>
      <c r="D14" s="114">
        <v>239</v>
      </c>
      <c r="E14" s="114">
        <f t="shared" si="4"/>
        <v>253.34</v>
      </c>
      <c r="F14" s="114">
        <f t="shared" si="4"/>
        <v>268.54040000000003</v>
      </c>
      <c r="G14" s="114">
        <f t="shared" si="4"/>
        <v>284.65282400000007</v>
      </c>
      <c r="H14" s="114">
        <f t="shared" si="4"/>
        <v>301.7319934400001</v>
      </c>
      <c r="I14" s="114">
        <f t="shared" si="4"/>
        <v>319.83591304640015</v>
      </c>
      <c r="J14" s="114">
        <f t="shared" si="4"/>
        <v>339.02606782918417</v>
      </c>
      <c r="K14" s="125">
        <f t="shared" si="4"/>
        <v>359.36763189893526</v>
      </c>
      <c r="L14" s="477"/>
    </row>
    <row r="15" spans="1:12" ht="9" customHeight="1">
      <c r="A15" s="107" t="s">
        <v>86</v>
      </c>
      <c r="B15" s="115">
        <v>54951</v>
      </c>
      <c r="C15" s="115">
        <v>109791</v>
      </c>
      <c r="D15" s="115">
        <v>146302</v>
      </c>
      <c r="E15" s="115">
        <f t="shared" si="4"/>
        <v>155080.12</v>
      </c>
      <c r="F15" s="115">
        <f t="shared" si="4"/>
        <v>164384.9272</v>
      </c>
      <c r="G15" s="115">
        <f t="shared" si="4"/>
        <v>174248.02283200002</v>
      </c>
      <c r="H15" s="115">
        <f t="shared" si="4"/>
        <v>184702.90420192003</v>
      </c>
      <c r="I15" s="115">
        <f t="shared" si="4"/>
        <v>195785.07845403525</v>
      </c>
      <c r="J15" s="115">
        <f t="shared" si="4"/>
        <v>207532.18316127738</v>
      </c>
      <c r="K15" s="126">
        <f t="shared" si="4"/>
        <v>219984.11415095403</v>
      </c>
      <c r="L15" s="476"/>
    </row>
    <row r="16" spans="1:12" ht="9" customHeight="1">
      <c r="A16" s="107" t="s">
        <v>3</v>
      </c>
      <c r="B16" s="119">
        <f>SUM(B17,B18)</f>
        <v>62836</v>
      </c>
      <c r="C16" s="119">
        <f aca="true" t="shared" si="5" ref="C16:K16">SUM(C17,C18)</f>
        <v>35882</v>
      </c>
      <c r="D16" s="119">
        <f t="shared" si="5"/>
        <v>34711</v>
      </c>
      <c r="E16" s="119">
        <f t="shared" si="5"/>
        <v>36793.66</v>
      </c>
      <c r="F16" s="119">
        <f t="shared" si="5"/>
        <v>39001.2796</v>
      </c>
      <c r="G16" s="119">
        <f t="shared" si="5"/>
        <v>41341.356376</v>
      </c>
      <c r="H16" s="119">
        <f t="shared" si="5"/>
        <v>43821.83775856</v>
      </c>
      <c r="I16" s="119">
        <f t="shared" si="5"/>
        <v>46451.148024073605</v>
      </c>
      <c r="J16" s="119">
        <f t="shared" si="5"/>
        <v>49238.21690551803</v>
      </c>
      <c r="K16" s="130">
        <f t="shared" si="5"/>
        <v>52192.50991984911</v>
      </c>
      <c r="L16" s="476"/>
    </row>
    <row r="17" spans="1:12" ht="9" customHeight="1">
      <c r="A17" s="109" t="s">
        <v>13</v>
      </c>
      <c r="B17" s="114">
        <v>62367</v>
      </c>
      <c r="C17" s="114">
        <v>29862</v>
      </c>
      <c r="D17" s="114">
        <v>27218</v>
      </c>
      <c r="E17" s="114">
        <f>D17*(1.06)</f>
        <v>28851.08</v>
      </c>
      <c r="F17" s="114">
        <f aca="true" t="shared" si="6" ref="E17:K21">E17*(1.06)</f>
        <v>30582.144800000002</v>
      </c>
      <c r="G17" s="114">
        <f t="shared" si="6"/>
        <v>32417.073488</v>
      </c>
      <c r="H17" s="114">
        <f t="shared" si="6"/>
        <v>34362.09789728</v>
      </c>
      <c r="I17" s="114">
        <f t="shared" si="6"/>
        <v>36423.823771116804</v>
      </c>
      <c r="J17" s="114">
        <f t="shared" si="6"/>
        <v>38609.25319738381</v>
      </c>
      <c r="K17" s="125">
        <f t="shared" si="6"/>
        <v>40925.80838922684</v>
      </c>
      <c r="L17" s="477"/>
    </row>
    <row r="18" spans="1:12" ht="9" customHeight="1">
      <c r="A18" s="106" t="s">
        <v>4</v>
      </c>
      <c r="B18" s="114">
        <v>469</v>
      </c>
      <c r="C18" s="114">
        <v>6020</v>
      </c>
      <c r="D18" s="114">
        <v>7493</v>
      </c>
      <c r="E18" s="114">
        <f aca="true" t="shared" si="7" ref="E18:K20">D18*(1.06)</f>
        <v>7942.580000000001</v>
      </c>
      <c r="F18" s="114">
        <f t="shared" si="6"/>
        <v>8419.134800000002</v>
      </c>
      <c r="G18" s="114">
        <f t="shared" si="6"/>
        <v>8924.282888000002</v>
      </c>
      <c r="H18" s="114">
        <f t="shared" si="6"/>
        <v>9459.739861280003</v>
      </c>
      <c r="I18" s="114">
        <f t="shared" si="6"/>
        <v>10027.324252956803</v>
      </c>
      <c r="J18" s="114">
        <f t="shared" si="6"/>
        <v>10628.963708134212</v>
      </c>
      <c r="K18" s="125">
        <f t="shared" si="6"/>
        <v>11266.701530622266</v>
      </c>
      <c r="L18" s="477"/>
    </row>
    <row r="19" spans="1:12" ht="9" customHeight="1">
      <c r="A19" s="107" t="s">
        <v>267</v>
      </c>
      <c r="B19" s="115">
        <v>0</v>
      </c>
      <c r="C19" s="115">
        <v>0</v>
      </c>
      <c r="D19" s="115">
        <v>0</v>
      </c>
      <c r="E19" s="115">
        <f t="shared" si="7"/>
        <v>0</v>
      </c>
      <c r="F19" s="115">
        <f t="shared" si="7"/>
        <v>0</v>
      </c>
      <c r="G19" s="115">
        <f t="shared" si="7"/>
        <v>0</v>
      </c>
      <c r="H19" s="115">
        <f t="shared" si="7"/>
        <v>0</v>
      </c>
      <c r="I19" s="115">
        <f t="shared" si="7"/>
        <v>0</v>
      </c>
      <c r="J19" s="115">
        <f t="shared" si="7"/>
        <v>0</v>
      </c>
      <c r="K19" s="126">
        <f t="shared" si="7"/>
        <v>0</v>
      </c>
      <c r="L19" s="476"/>
    </row>
    <row r="20" spans="1:12" ht="9" customHeight="1">
      <c r="A20" s="107" t="s">
        <v>205</v>
      </c>
      <c r="B20" s="115">
        <v>0</v>
      </c>
      <c r="C20" s="115">
        <v>0</v>
      </c>
      <c r="D20" s="115">
        <v>0</v>
      </c>
      <c r="E20" s="115">
        <f t="shared" si="7"/>
        <v>0</v>
      </c>
      <c r="F20" s="115">
        <f t="shared" si="7"/>
        <v>0</v>
      </c>
      <c r="G20" s="115">
        <f t="shared" si="7"/>
        <v>0</v>
      </c>
      <c r="H20" s="115">
        <f t="shared" si="7"/>
        <v>0</v>
      </c>
      <c r="I20" s="115">
        <f t="shared" si="7"/>
        <v>0</v>
      </c>
      <c r="J20" s="115">
        <f t="shared" si="7"/>
        <v>0</v>
      </c>
      <c r="K20" s="126">
        <f t="shared" si="7"/>
        <v>0</v>
      </c>
      <c r="L20" s="476"/>
    </row>
    <row r="21" spans="1:12" ht="9" customHeight="1">
      <c r="A21" s="107" t="s">
        <v>95</v>
      </c>
      <c r="B21" s="115">
        <v>32775</v>
      </c>
      <c r="C21" s="115">
        <v>21105</v>
      </c>
      <c r="D21" s="115">
        <v>21815</v>
      </c>
      <c r="E21" s="115">
        <f t="shared" si="6"/>
        <v>23123.9</v>
      </c>
      <c r="F21" s="115">
        <f t="shared" si="6"/>
        <v>24511.334000000003</v>
      </c>
      <c r="G21" s="115">
        <f t="shared" si="6"/>
        <v>25982.014040000005</v>
      </c>
      <c r="H21" s="115">
        <f t="shared" si="6"/>
        <v>27540.934882400008</v>
      </c>
      <c r="I21" s="115">
        <f t="shared" si="6"/>
        <v>29193.39097534401</v>
      </c>
      <c r="J21" s="115">
        <f t="shared" si="6"/>
        <v>30944.994433864653</v>
      </c>
      <c r="K21" s="126">
        <f t="shared" si="6"/>
        <v>32801.69409989654</v>
      </c>
      <c r="L21" s="476"/>
    </row>
    <row r="22" spans="1:12" ht="9" customHeight="1">
      <c r="A22" s="107" t="s">
        <v>14</v>
      </c>
      <c r="B22" s="115">
        <f>SUM(B23,B26,B29)</f>
        <v>571709</v>
      </c>
      <c r="C22" s="115">
        <f aca="true" t="shared" si="8" ref="C22:K22">SUM(C23,C26,C29)</f>
        <v>627178</v>
      </c>
      <c r="D22" s="115">
        <f t="shared" si="8"/>
        <v>660128</v>
      </c>
      <c r="E22" s="115">
        <f t="shared" si="8"/>
        <v>699735.68</v>
      </c>
      <c r="F22" s="115">
        <f t="shared" si="8"/>
        <v>741719.8208000001</v>
      </c>
      <c r="G22" s="115">
        <f t="shared" si="8"/>
        <v>786223.0100479999</v>
      </c>
      <c r="H22" s="115">
        <f t="shared" si="8"/>
        <v>833396.39065088</v>
      </c>
      <c r="I22" s="115">
        <f t="shared" si="8"/>
        <v>883400.1740899329</v>
      </c>
      <c r="J22" s="115">
        <f t="shared" si="8"/>
        <v>936404.1845353289</v>
      </c>
      <c r="K22" s="126">
        <f t="shared" si="8"/>
        <v>992588.4356074487</v>
      </c>
      <c r="L22" s="476"/>
    </row>
    <row r="23" spans="1:12" ht="9" customHeight="1">
      <c r="A23" s="106" t="s">
        <v>96</v>
      </c>
      <c r="B23" s="114">
        <f aca="true" t="shared" si="9" ref="B23:K23">SUM(B24,B25)</f>
        <v>277314</v>
      </c>
      <c r="C23" s="114">
        <f t="shared" si="9"/>
        <v>290600</v>
      </c>
      <c r="D23" s="114">
        <f t="shared" si="9"/>
        <v>326250</v>
      </c>
      <c r="E23" s="114">
        <f t="shared" si="9"/>
        <v>345825</v>
      </c>
      <c r="F23" s="114">
        <f t="shared" si="9"/>
        <v>366574.5</v>
      </c>
      <c r="G23" s="114">
        <f t="shared" si="9"/>
        <v>388568.97</v>
      </c>
      <c r="H23" s="114">
        <f t="shared" si="9"/>
        <v>411883.1082</v>
      </c>
      <c r="I23" s="114">
        <f t="shared" si="9"/>
        <v>436596.094692</v>
      </c>
      <c r="J23" s="114">
        <f t="shared" si="9"/>
        <v>462791.86037352006</v>
      </c>
      <c r="K23" s="125">
        <f t="shared" si="9"/>
        <v>490559.37199593126</v>
      </c>
      <c r="L23" s="477"/>
    </row>
    <row r="24" spans="1:12" ht="9" customHeight="1">
      <c r="A24" s="105" t="s">
        <v>97</v>
      </c>
      <c r="B24" s="116">
        <v>78000</v>
      </c>
      <c r="C24" s="116">
        <v>85200</v>
      </c>
      <c r="D24" s="116">
        <v>89100</v>
      </c>
      <c r="E24" s="116">
        <f>D24*(1.06)</f>
        <v>94446</v>
      </c>
      <c r="F24" s="116">
        <f aca="true" t="shared" si="10" ref="F24:K25">E24*(1.06)</f>
        <v>100112.76000000001</v>
      </c>
      <c r="G24" s="116">
        <f t="shared" si="10"/>
        <v>106119.52560000001</v>
      </c>
      <c r="H24" s="116">
        <f t="shared" si="10"/>
        <v>112486.69713600002</v>
      </c>
      <c r="I24" s="116">
        <f t="shared" si="10"/>
        <v>119235.89896416002</v>
      </c>
      <c r="J24" s="116">
        <f t="shared" si="10"/>
        <v>126390.05290200963</v>
      </c>
      <c r="K24" s="127">
        <f t="shared" si="10"/>
        <v>133973.4560761302</v>
      </c>
      <c r="L24" s="478"/>
    </row>
    <row r="25" spans="1:12" ht="9" customHeight="1">
      <c r="A25" s="105" t="s">
        <v>140</v>
      </c>
      <c r="B25" s="116">
        <v>199314</v>
      </c>
      <c r="C25" s="116">
        <v>205400</v>
      </c>
      <c r="D25" s="116">
        <v>237150</v>
      </c>
      <c r="E25" s="116">
        <f>D25*(1.06)</f>
        <v>251379</v>
      </c>
      <c r="F25" s="116">
        <f t="shared" si="10"/>
        <v>266461.74</v>
      </c>
      <c r="G25" s="116">
        <f t="shared" si="10"/>
        <v>282449.4444</v>
      </c>
      <c r="H25" s="116">
        <f t="shared" si="10"/>
        <v>299396.411064</v>
      </c>
      <c r="I25" s="116">
        <f t="shared" si="10"/>
        <v>317360.19572784</v>
      </c>
      <c r="J25" s="116">
        <f t="shared" si="10"/>
        <v>336401.80747151043</v>
      </c>
      <c r="K25" s="127">
        <f t="shared" si="10"/>
        <v>356585.91591980105</v>
      </c>
      <c r="L25" s="478"/>
    </row>
    <row r="26" spans="1:12" ht="9" customHeight="1">
      <c r="A26" s="106" t="s">
        <v>98</v>
      </c>
      <c r="B26" s="114">
        <f>SUM(B27,B28)</f>
        <v>204200</v>
      </c>
      <c r="C26" s="114">
        <f aca="true" t="shared" si="11" ref="C26:K26">SUM(C27,C28)</f>
        <v>249602</v>
      </c>
      <c r="D26" s="114">
        <f t="shared" si="11"/>
        <v>210286</v>
      </c>
      <c r="E26" s="114">
        <f t="shared" si="11"/>
        <v>222903.16</v>
      </c>
      <c r="F26" s="114">
        <f t="shared" si="11"/>
        <v>236277.34960000002</v>
      </c>
      <c r="G26" s="114">
        <f t="shared" si="11"/>
        <v>250453.990576</v>
      </c>
      <c r="H26" s="114">
        <f t="shared" si="11"/>
        <v>265481.23001056</v>
      </c>
      <c r="I26" s="114">
        <f t="shared" si="11"/>
        <v>281410.10381119367</v>
      </c>
      <c r="J26" s="114">
        <f t="shared" si="11"/>
        <v>298294.7100398653</v>
      </c>
      <c r="K26" s="125">
        <f t="shared" si="11"/>
        <v>316192.3926422572</v>
      </c>
      <c r="L26" s="477"/>
    </row>
    <row r="27" spans="1:12" ht="9" customHeight="1">
      <c r="A27" s="105" t="s">
        <v>99</v>
      </c>
      <c r="B27" s="116">
        <v>129708</v>
      </c>
      <c r="C27" s="116">
        <v>159800</v>
      </c>
      <c r="D27" s="116">
        <v>138000</v>
      </c>
      <c r="E27" s="116">
        <f>D27*(1.06)</f>
        <v>146280</v>
      </c>
      <c r="F27" s="116">
        <f aca="true" t="shared" si="12" ref="F27:K28">E27*(1.06)</f>
        <v>155056.80000000002</v>
      </c>
      <c r="G27" s="116">
        <f t="shared" si="12"/>
        <v>164360.208</v>
      </c>
      <c r="H27" s="116">
        <f t="shared" si="12"/>
        <v>174221.82048000002</v>
      </c>
      <c r="I27" s="116">
        <f t="shared" si="12"/>
        <v>184675.12970880003</v>
      </c>
      <c r="J27" s="116">
        <f t="shared" si="12"/>
        <v>195755.63749132803</v>
      </c>
      <c r="K27" s="127">
        <f t="shared" si="12"/>
        <v>207500.9757408077</v>
      </c>
      <c r="L27" s="478"/>
    </row>
    <row r="28" spans="1:12" ht="9" customHeight="1">
      <c r="A28" s="105" t="s">
        <v>194</v>
      </c>
      <c r="B28" s="116">
        <v>74492</v>
      </c>
      <c r="C28" s="116">
        <v>89802</v>
      </c>
      <c r="D28" s="116">
        <v>72286</v>
      </c>
      <c r="E28" s="116">
        <f>D28*(1.06)</f>
        <v>76623.16</v>
      </c>
      <c r="F28" s="116">
        <f t="shared" si="12"/>
        <v>81220.54960000001</v>
      </c>
      <c r="G28" s="116">
        <f t="shared" si="12"/>
        <v>86093.78257600001</v>
      </c>
      <c r="H28" s="116">
        <f t="shared" si="12"/>
        <v>91259.40953056002</v>
      </c>
      <c r="I28" s="116">
        <f t="shared" si="12"/>
        <v>96734.97410239362</v>
      </c>
      <c r="J28" s="116">
        <f t="shared" si="12"/>
        <v>102539.07254853724</v>
      </c>
      <c r="K28" s="127">
        <f t="shared" si="12"/>
        <v>108691.41690144948</v>
      </c>
      <c r="L28" s="478"/>
    </row>
    <row r="29" spans="1:12" ht="9" customHeight="1">
      <c r="A29" s="106" t="s">
        <v>100</v>
      </c>
      <c r="B29" s="114">
        <v>90195</v>
      </c>
      <c r="C29" s="114">
        <v>86976</v>
      </c>
      <c r="D29" s="114">
        <v>123592</v>
      </c>
      <c r="E29" s="114">
        <f>D29*(1.06)</f>
        <v>131007.52</v>
      </c>
      <c r="F29" s="114">
        <f aca="true" t="shared" si="13" ref="F29:K29">E29*(1.06)</f>
        <v>138867.9712</v>
      </c>
      <c r="G29" s="114">
        <f t="shared" si="13"/>
        <v>147200.049472</v>
      </c>
      <c r="H29" s="114">
        <f t="shared" si="13"/>
        <v>156032.05244032003</v>
      </c>
      <c r="I29" s="114">
        <f t="shared" si="13"/>
        <v>165393.97558673922</v>
      </c>
      <c r="J29" s="114">
        <f t="shared" si="13"/>
        <v>175317.6141219436</v>
      </c>
      <c r="K29" s="125">
        <f t="shared" si="13"/>
        <v>185836.67096926022</v>
      </c>
      <c r="L29" s="477"/>
    </row>
    <row r="30" spans="1:12" ht="9" customHeight="1">
      <c r="A30" s="108" t="s">
        <v>85</v>
      </c>
      <c r="B30" s="115">
        <f aca="true" t="shared" si="14" ref="B30:K30">SUM(B31,B32)</f>
        <v>100285</v>
      </c>
      <c r="C30" s="115">
        <f t="shared" si="14"/>
        <v>101000</v>
      </c>
      <c r="D30" s="115">
        <f t="shared" si="14"/>
        <v>106280</v>
      </c>
      <c r="E30" s="115">
        <f t="shared" si="14"/>
        <v>112656.8</v>
      </c>
      <c r="F30" s="115">
        <f t="shared" si="14"/>
        <v>119416.20800000001</v>
      </c>
      <c r="G30" s="115">
        <f t="shared" si="14"/>
        <v>126581.18048000001</v>
      </c>
      <c r="H30" s="115">
        <f t="shared" si="14"/>
        <v>134176.05130880003</v>
      </c>
      <c r="I30" s="115">
        <f t="shared" si="14"/>
        <v>142226.61438732804</v>
      </c>
      <c r="J30" s="115">
        <f t="shared" si="14"/>
        <v>150760.21125056772</v>
      </c>
      <c r="K30" s="126">
        <f t="shared" si="14"/>
        <v>159805.82392560178</v>
      </c>
      <c r="L30" s="476"/>
    </row>
    <row r="31" spans="1:12" ht="9" customHeight="1">
      <c r="A31" s="109" t="s">
        <v>138</v>
      </c>
      <c r="B31" s="114">
        <v>47384</v>
      </c>
      <c r="C31" s="114">
        <v>54690</v>
      </c>
      <c r="D31" s="114">
        <v>57100</v>
      </c>
      <c r="E31" s="114">
        <f>D31*(1.06)</f>
        <v>60526</v>
      </c>
      <c r="F31" s="114">
        <f aca="true" t="shared" si="15" ref="F31:K33">E31*(1.06)</f>
        <v>64157.560000000005</v>
      </c>
      <c r="G31" s="114">
        <f t="shared" si="15"/>
        <v>68007.0136</v>
      </c>
      <c r="H31" s="114">
        <f t="shared" si="15"/>
        <v>72087.434416</v>
      </c>
      <c r="I31" s="114">
        <f t="shared" si="15"/>
        <v>76412.68048096001</v>
      </c>
      <c r="J31" s="114">
        <f t="shared" si="15"/>
        <v>80997.44130981762</v>
      </c>
      <c r="K31" s="125">
        <f t="shared" si="15"/>
        <v>85857.28778840668</v>
      </c>
      <c r="L31" s="477"/>
    </row>
    <row r="32" spans="1:12" ht="9" customHeight="1">
      <c r="A32" s="109" t="s">
        <v>139</v>
      </c>
      <c r="B32" s="114">
        <v>52901</v>
      </c>
      <c r="C32" s="114">
        <v>46310</v>
      </c>
      <c r="D32" s="114">
        <v>49180</v>
      </c>
      <c r="E32" s="114">
        <f>D32*(1.06)</f>
        <v>52130.8</v>
      </c>
      <c r="F32" s="114">
        <f t="shared" si="15"/>
        <v>55258.64800000001</v>
      </c>
      <c r="G32" s="114">
        <f t="shared" si="15"/>
        <v>58574.16688000001</v>
      </c>
      <c r="H32" s="114">
        <f t="shared" si="15"/>
        <v>62088.61689280002</v>
      </c>
      <c r="I32" s="114">
        <f t="shared" si="15"/>
        <v>65813.93390636802</v>
      </c>
      <c r="J32" s="114">
        <f t="shared" si="15"/>
        <v>69762.7699407501</v>
      </c>
      <c r="K32" s="125">
        <f t="shared" si="15"/>
        <v>73948.53613719511</v>
      </c>
      <c r="L32" s="477"/>
    </row>
    <row r="33" spans="1:12" ht="9" customHeight="1">
      <c r="A33" s="109" t="s">
        <v>209</v>
      </c>
      <c r="B33" s="402">
        <v>114854</v>
      </c>
      <c r="C33" s="115">
        <v>96263</v>
      </c>
      <c r="D33" s="115">
        <v>98125</v>
      </c>
      <c r="E33" s="114">
        <f>D33*(1.06)</f>
        <v>104012.5</v>
      </c>
      <c r="F33" s="114">
        <f t="shared" si="15"/>
        <v>110253.25</v>
      </c>
      <c r="G33" s="114">
        <f t="shared" si="15"/>
        <v>116868.445</v>
      </c>
      <c r="H33" s="114">
        <f t="shared" si="15"/>
        <v>123880.55170000001</v>
      </c>
      <c r="I33" s="114">
        <f t="shared" si="15"/>
        <v>131313.38480200002</v>
      </c>
      <c r="J33" s="114">
        <f t="shared" si="15"/>
        <v>139192.18789012003</v>
      </c>
      <c r="K33" s="125">
        <f t="shared" si="15"/>
        <v>147543.71916352725</v>
      </c>
      <c r="L33" s="479"/>
    </row>
    <row r="34" spans="1:12" ht="9" customHeight="1">
      <c r="A34" s="110" t="s">
        <v>5</v>
      </c>
      <c r="B34" s="118">
        <f>SUM(B35,B40,B41,B42,B43)</f>
        <v>75392.125</v>
      </c>
      <c r="C34" s="118">
        <f aca="true" t="shared" si="16" ref="C34:K34">SUM(C35,C40,C41,C42,C43)</f>
        <v>34131.5</v>
      </c>
      <c r="D34" s="118">
        <f t="shared" si="16"/>
        <v>39582.875</v>
      </c>
      <c r="E34" s="118">
        <f t="shared" si="16"/>
        <v>39140.39</v>
      </c>
      <c r="F34" s="118">
        <f t="shared" si="16"/>
        <v>32838.0284</v>
      </c>
      <c r="G34" s="118">
        <f t="shared" si="16"/>
        <v>33101.96510400001</v>
      </c>
      <c r="H34" s="118">
        <f t="shared" si="16"/>
        <v>35938.083010240014</v>
      </c>
      <c r="I34" s="118">
        <f t="shared" si="16"/>
        <v>37885.367990854415</v>
      </c>
      <c r="J34" s="118">
        <f t="shared" si="16"/>
        <v>39949.43007030568</v>
      </c>
      <c r="K34" s="129">
        <f t="shared" si="16"/>
        <v>42137.27587452401</v>
      </c>
      <c r="L34" s="476"/>
    </row>
    <row r="35" spans="1:12" ht="9" customHeight="1">
      <c r="A35" s="107" t="s">
        <v>18</v>
      </c>
      <c r="B35" s="119">
        <f>SUM(B36,B37)</f>
        <v>18474.125</v>
      </c>
      <c r="C35" s="119">
        <f aca="true" t="shared" si="17" ref="C35:K35">SUM(C36,C37)</f>
        <v>18368.5</v>
      </c>
      <c r="D35" s="119">
        <f t="shared" si="17"/>
        <v>22936.875</v>
      </c>
      <c r="E35" s="119">
        <f t="shared" si="17"/>
        <v>21495.63</v>
      </c>
      <c r="F35" s="119">
        <f t="shared" si="17"/>
        <v>14134.582800000002</v>
      </c>
      <c r="G35" s="119">
        <f t="shared" si="17"/>
        <v>13276.312768000003</v>
      </c>
      <c r="H35" s="119">
        <f t="shared" si="17"/>
        <v>14922.891534080005</v>
      </c>
      <c r="I35" s="119">
        <f t="shared" si="17"/>
        <v>15609.265026124805</v>
      </c>
      <c r="J35" s="119">
        <f t="shared" si="17"/>
        <v>16336.760927692294</v>
      </c>
      <c r="K35" s="130">
        <f t="shared" si="17"/>
        <v>17107.846583353832</v>
      </c>
      <c r="L35" s="476"/>
    </row>
    <row r="36" spans="1:12" ht="9" customHeight="1">
      <c r="A36" s="14" t="s">
        <v>143</v>
      </c>
      <c r="B36" s="121">
        <v>16490</v>
      </c>
      <c r="C36" s="121">
        <v>10432</v>
      </c>
      <c r="D36" s="121">
        <v>9048</v>
      </c>
      <c r="E36" s="114">
        <f aca="true" t="shared" si="18" ref="E36:K36">D36*(1.06)</f>
        <v>9590.880000000001</v>
      </c>
      <c r="F36" s="114">
        <f t="shared" si="18"/>
        <v>10166.332800000002</v>
      </c>
      <c r="G36" s="114">
        <f t="shared" si="18"/>
        <v>10776.312768000003</v>
      </c>
      <c r="H36" s="114">
        <f t="shared" si="18"/>
        <v>11422.891534080005</v>
      </c>
      <c r="I36" s="114">
        <f t="shared" si="18"/>
        <v>12108.265026124805</v>
      </c>
      <c r="J36" s="114">
        <f t="shared" si="18"/>
        <v>12834.760927692294</v>
      </c>
      <c r="K36" s="125">
        <f t="shared" si="18"/>
        <v>13604.846583353832</v>
      </c>
      <c r="L36" s="477"/>
    </row>
    <row r="37" spans="1:12" ht="9" customHeight="1">
      <c r="A37" s="14" t="s">
        <v>144</v>
      </c>
      <c r="B37" s="121">
        <f>SUM(B38+B39)</f>
        <v>1984.125</v>
      </c>
      <c r="C37" s="121">
        <f>SUM(C38+C39)</f>
        <v>7936.5</v>
      </c>
      <c r="D37" s="121">
        <f>SUM(D38+D39)</f>
        <v>13888.875</v>
      </c>
      <c r="E37" s="121">
        <f aca="true" t="shared" si="19" ref="E37:K37">SUM(E38,E39)</f>
        <v>11904.75</v>
      </c>
      <c r="F37" s="121">
        <f t="shared" si="19"/>
        <v>3968.25</v>
      </c>
      <c r="G37" s="121">
        <f t="shared" si="19"/>
        <v>2500</v>
      </c>
      <c r="H37" s="121">
        <f t="shared" si="19"/>
        <v>3500</v>
      </c>
      <c r="I37" s="121">
        <f t="shared" si="19"/>
        <v>3501</v>
      </c>
      <c r="J37" s="121">
        <f t="shared" si="19"/>
        <v>3502</v>
      </c>
      <c r="K37" s="132">
        <f t="shared" si="19"/>
        <v>3503</v>
      </c>
      <c r="L37" s="477"/>
    </row>
    <row r="38" spans="1:12" ht="9" customHeight="1">
      <c r="A38" s="38" t="s">
        <v>232</v>
      </c>
      <c r="B38" s="189">
        <f>'Anexo 9'!D$10/1000*(1.85)</f>
        <v>1984.125</v>
      </c>
      <c r="C38" s="189">
        <f>'Anexo 10 '!D$12/1000*(1.85)</f>
        <v>7936.5</v>
      </c>
      <c r="D38" s="189">
        <f>'Anexo 10 '!D$14/1000*(1.85)</f>
        <v>13888.875</v>
      </c>
      <c r="E38" s="189">
        <f>'Anexo 10 '!D$16/1000*(1.85)</f>
        <v>11904.75</v>
      </c>
      <c r="F38" s="189">
        <f>'Anexo 10 '!D$17/1000*(1.85)</f>
        <v>3968.25</v>
      </c>
      <c r="G38" s="189">
        <f>'[1]Anexo 10 '!D$19/1000*(1.7)</f>
        <v>0</v>
      </c>
      <c r="H38" s="120">
        <v>0</v>
      </c>
      <c r="I38" s="120">
        <v>0</v>
      </c>
      <c r="J38" s="120">
        <v>0</v>
      </c>
      <c r="K38" s="131">
        <v>0</v>
      </c>
      <c r="L38" s="480"/>
    </row>
    <row r="39" spans="1:12" ht="9" customHeight="1">
      <c r="A39" s="3" t="s">
        <v>149</v>
      </c>
      <c r="B39" s="117">
        <v>0</v>
      </c>
      <c r="C39" s="117">
        <v>0</v>
      </c>
      <c r="D39" s="117">
        <v>0</v>
      </c>
      <c r="E39" s="117">
        <v>0</v>
      </c>
      <c r="F39" s="117">
        <v>0</v>
      </c>
      <c r="G39" s="117">
        <v>2500</v>
      </c>
      <c r="H39" s="117">
        <v>3500</v>
      </c>
      <c r="I39" s="117">
        <v>3501</v>
      </c>
      <c r="J39" s="117">
        <v>3502</v>
      </c>
      <c r="K39" s="128">
        <v>3503</v>
      </c>
      <c r="L39" s="478"/>
    </row>
    <row r="40" spans="1:12" ht="9" customHeight="1">
      <c r="A40" s="107" t="s">
        <v>15</v>
      </c>
      <c r="B40" s="119">
        <v>307</v>
      </c>
      <c r="C40" s="119">
        <v>201</v>
      </c>
      <c r="D40" s="119">
        <v>192</v>
      </c>
      <c r="E40" s="115">
        <f aca="true" t="shared" si="20" ref="E40:K40">D40*(1.06)</f>
        <v>203.52</v>
      </c>
      <c r="F40" s="115">
        <f t="shared" si="20"/>
        <v>215.73120000000003</v>
      </c>
      <c r="G40" s="115">
        <f t="shared" si="20"/>
        <v>228.67507200000006</v>
      </c>
      <c r="H40" s="115">
        <f t="shared" si="20"/>
        <v>242.39557632000006</v>
      </c>
      <c r="I40" s="115">
        <f t="shared" si="20"/>
        <v>256.93931089920005</v>
      </c>
      <c r="J40" s="115">
        <f t="shared" si="20"/>
        <v>272.3556695531521</v>
      </c>
      <c r="K40" s="126">
        <f t="shared" si="20"/>
        <v>288.69700972634126</v>
      </c>
      <c r="L40" s="476"/>
    </row>
    <row r="41" spans="1:12" ht="9" customHeight="1">
      <c r="A41" s="107" t="s">
        <v>206</v>
      </c>
      <c r="B41" s="119">
        <v>0</v>
      </c>
      <c r="C41" s="119">
        <v>0</v>
      </c>
      <c r="D41" s="119">
        <v>0</v>
      </c>
      <c r="E41" s="115">
        <f>D41*(1.06)</f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26">
        <v>0</v>
      </c>
      <c r="L41" s="476"/>
    </row>
    <row r="42" spans="1:12" ht="9" customHeight="1">
      <c r="A42" s="107" t="s">
        <v>20</v>
      </c>
      <c r="B42" s="119">
        <v>55582</v>
      </c>
      <c r="C42" s="119">
        <v>15544</v>
      </c>
      <c r="D42" s="119">
        <v>16437</v>
      </c>
      <c r="E42" s="115">
        <f>D42*(1.06)</f>
        <v>17423.22</v>
      </c>
      <c r="F42" s="115">
        <f aca="true" t="shared" si="21" ref="F42:K44">E42*(1.06)</f>
        <v>18468.613200000003</v>
      </c>
      <c r="G42" s="115">
        <f t="shared" si="21"/>
        <v>19576.729992000004</v>
      </c>
      <c r="H42" s="115">
        <f t="shared" si="21"/>
        <v>20751.333791520006</v>
      </c>
      <c r="I42" s="115">
        <f t="shared" si="21"/>
        <v>21996.413819011206</v>
      </c>
      <c r="J42" s="115">
        <f t="shared" si="21"/>
        <v>23316.19864815188</v>
      </c>
      <c r="K42" s="126">
        <f t="shared" si="21"/>
        <v>24715.170567040994</v>
      </c>
      <c r="L42" s="476"/>
    </row>
    <row r="43" spans="1:12" ht="9" customHeight="1">
      <c r="A43" s="107" t="s">
        <v>6</v>
      </c>
      <c r="B43" s="119">
        <v>1029</v>
      </c>
      <c r="C43" s="119">
        <v>18</v>
      </c>
      <c r="D43" s="119">
        <v>17</v>
      </c>
      <c r="E43" s="115">
        <f>D43*(1.06)</f>
        <v>18.02</v>
      </c>
      <c r="F43" s="115">
        <f t="shared" si="21"/>
        <v>19.101200000000002</v>
      </c>
      <c r="G43" s="115">
        <f t="shared" si="21"/>
        <v>20.247272000000002</v>
      </c>
      <c r="H43" s="115">
        <f t="shared" si="21"/>
        <v>21.462108320000002</v>
      </c>
      <c r="I43" s="115">
        <f t="shared" si="21"/>
        <v>22.749834819200004</v>
      </c>
      <c r="J43" s="115">
        <f t="shared" si="21"/>
        <v>24.114824908352006</v>
      </c>
      <c r="K43" s="126">
        <f t="shared" si="21"/>
        <v>25.561714402853127</v>
      </c>
      <c r="L43" s="476"/>
    </row>
    <row r="44" spans="1:12" ht="9" customHeight="1">
      <c r="A44" s="111" t="s">
        <v>179</v>
      </c>
      <c r="B44" s="406">
        <v>53820</v>
      </c>
      <c r="C44" s="137">
        <v>66267</v>
      </c>
      <c r="D44" s="137">
        <v>75125</v>
      </c>
      <c r="E44" s="114">
        <f>D44*(1.06)</f>
        <v>79632.5</v>
      </c>
      <c r="F44" s="114">
        <f t="shared" si="21"/>
        <v>84410.45</v>
      </c>
      <c r="G44" s="230">
        <f t="shared" si="21"/>
        <v>89475.077</v>
      </c>
      <c r="H44" s="114">
        <f t="shared" si="21"/>
        <v>94843.58162000001</v>
      </c>
      <c r="I44" s="114">
        <f t="shared" si="21"/>
        <v>100534.19651720002</v>
      </c>
      <c r="J44" s="230">
        <f t="shared" si="21"/>
        <v>106566.24830823203</v>
      </c>
      <c r="K44" s="125">
        <f t="shared" si="21"/>
        <v>112960.22320672595</v>
      </c>
      <c r="L44" s="481"/>
    </row>
    <row r="45" spans="1:12" ht="9" customHeight="1">
      <c r="A45" s="107" t="s">
        <v>115</v>
      </c>
      <c r="B45" s="119">
        <f>SUM(B46,B54)</f>
        <v>1253730.25</v>
      </c>
      <c r="C45" s="119">
        <f aca="true" t="shared" si="22" ref="C45:K45">SUM(C46,C54)</f>
        <v>1254438.1565049998</v>
      </c>
      <c r="D45" s="119">
        <f t="shared" si="22"/>
        <v>1329903.7056362499</v>
      </c>
      <c r="E45" s="119">
        <f t="shared" si="22"/>
        <v>1410825.8977436</v>
      </c>
      <c r="F45" s="119">
        <f t="shared" si="22"/>
        <v>1493324.5040130608</v>
      </c>
      <c r="G45" s="119">
        <f t="shared" si="22"/>
        <v>1581442.8573629232</v>
      </c>
      <c r="H45" s="119">
        <f t="shared" si="22"/>
        <v>1690659.1304237547</v>
      </c>
      <c r="I45" s="119">
        <f t="shared" si="22"/>
        <v>1807622.8571220152</v>
      </c>
      <c r="J45" s="119">
        <f t="shared" si="22"/>
        <v>1934181.2892123247</v>
      </c>
      <c r="K45" s="130">
        <f t="shared" si="22"/>
        <v>2068202.1460721265</v>
      </c>
      <c r="L45" s="476"/>
    </row>
    <row r="46" spans="1:12" ht="9" customHeight="1">
      <c r="A46" s="110" t="s">
        <v>11</v>
      </c>
      <c r="B46" s="118">
        <f>SUM(B47,B48,B53)</f>
        <v>1124378</v>
      </c>
      <c r="C46" s="118">
        <f aca="true" t="shared" si="23" ref="C46:K46">SUM(C47,C48,C53)</f>
        <v>1134115.1565049998</v>
      </c>
      <c r="D46" s="118">
        <f t="shared" si="23"/>
        <v>1198042.9556362499</v>
      </c>
      <c r="E46" s="118">
        <f t="shared" si="23"/>
        <v>1282129.6577436</v>
      </c>
      <c r="F46" s="118">
        <f t="shared" si="23"/>
        <v>1372003.3963594022</v>
      </c>
      <c r="G46" s="118">
        <f t="shared" si="23"/>
        <v>1468073.3019296061</v>
      </c>
      <c r="H46" s="118">
        <f t="shared" si="23"/>
        <v>1570752.5573296177</v>
      </c>
      <c r="I46" s="118">
        <f t="shared" si="23"/>
        <v>1680722.4451308006</v>
      </c>
      <c r="J46" s="118">
        <f t="shared" si="23"/>
        <v>1798297.2396012372</v>
      </c>
      <c r="K46" s="129">
        <f t="shared" si="23"/>
        <v>1924323.4442077752</v>
      </c>
      <c r="L46" s="476"/>
    </row>
    <row r="47" spans="1:12" ht="9" customHeight="1">
      <c r="A47" s="107" t="s">
        <v>7</v>
      </c>
      <c r="B47" s="119">
        <v>647605</v>
      </c>
      <c r="C47" s="119">
        <v>516226.47413</v>
      </c>
      <c r="D47" s="119">
        <v>554458.3681</v>
      </c>
      <c r="E47" s="115">
        <f>D47*(1.07)</f>
        <v>593270.453867</v>
      </c>
      <c r="F47" s="115">
        <f aca="true" t="shared" si="24" ref="F47:K47">E47*(1.07)</f>
        <v>634799.38563769</v>
      </c>
      <c r="G47" s="115">
        <f t="shared" si="24"/>
        <v>679235.3426323283</v>
      </c>
      <c r="H47" s="115">
        <f t="shared" si="24"/>
        <v>726781.8166165913</v>
      </c>
      <c r="I47" s="115">
        <f t="shared" si="24"/>
        <v>777656.5437797527</v>
      </c>
      <c r="J47" s="115">
        <f t="shared" si="24"/>
        <v>832092.5018443355</v>
      </c>
      <c r="K47" s="126">
        <f t="shared" si="24"/>
        <v>890338.976973439</v>
      </c>
      <c r="L47" s="476"/>
    </row>
    <row r="48" spans="1:12" ht="9" customHeight="1">
      <c r="A48" s="107" t="s">
        <v>76</v>
      </c>
      <c r="B48" s="119">
        <f>SUM(B49,B50)</f>
        <v>18191</v>
      </c>
      <c r="C48" s="119">
        <f aca="true" t="shared" si="25" ref="C48:K48">SUM(C49,C50)</f>
        <v>23457.682375</v>
      </c>
      <c r="D48" s="119">
        <f t="shared" si="25"/>
        <v>27395.00365625</v>
      </c>
      <c r="E48" s="119">
        <f t="shared" si="25"/>
        <v>29536.349125</v>
      </c>
      <c r="F48" s="119">
        <f t="shared" si="25"/>
        <v>31728.5561375</v>
      </c>
      <c r="G48" s="119">
        <f t="shared" si="25"/>
        <v>33979.222892170736</v>
      </c>
      <c r="H48" s="119">
        <f t="shared" si="25"/>
        <v>36271.89275956171</v>
      </c>
      <c r="I48" s="119">
        <f t="shared" si="25"/>
        <v>38828.134040840785</v>
      </c>
      <c r="J48" s="119">
        <f t="shared" si="25"/>
        <v>41470.32673498013</v>
      </c>
      <c r="K48" s="130">
        <f t="shared" si="25"/>
        <v>44518.64744087996</v>
      </c>
      <c r="L48" s="476"/>
    </row>
    <row r="49" spans="1:12" ht="9" customHeight="1">
      <c r="A49" s="185" t="s">
        <v>21</v>
      </c>
      <c r="B49" s="121">
        <v>18191</v>
      </c>
      <c r="C49" s="121">
        <v>23293</v>
      </c>
      <c r="D49" s="121">
        <v>27083</v>
      </c>
      <c r="E49" s="114">
        <f>D49*(1.07)</f>
        <v>28978.81</v>
      </c>
      <c r="F49" s="114">
        <f aca="true" t="shared" si="26" ref="F49:K49">E49*(1.07)</f>
        <v>31007.3267</v>
      </c>
      <c r="G49" s="114">
        <f t="shared" si="26"/>
        <v>33177.839569</v>
      </c>
      <c r="H49" s="114">
        <f t="shared" si="26"/>
        <v>35500.28833883</v>
      </c>
      <c r="I49" s="114">
        <f t="shared" si="26"/>
        <v>37985.308522548105</v>
      </c>
      <c r="J49" s="114">
        <f t="shared" si="26"/>
        <v>40644.28011912647</v>
      </c>
      <c r="K49" s="125">
        <f t="shared" si="26"/>
        <v>43489.379727465326</v>
      </c>
      <c r="L49" s="477"/>
    </row>
    <row r="50" spans="1:12" ht="9" customHeight="1">
      <c r="A50" s="185" t="s">
        <v>22</v>
      </c>
      <c r="B50" s="121">
        <f>SUM(B51,B52)</f>
        <v>0</v>
      </c>
      <c r="C50" s="121">
        <f>SUM(C51,C52)</f>
        <v>164.682375</v>
      </c>
      <c r="D50" s="121">
        <f>SUM(D51,D52)</f>
        <v>312.00365625</v>
      </c>
      <c r="E50" s="121">
        <f>SUM(E51,E52)</f>
        <v>557.539125</v>
      </c>
      <c r="F50" s="121">
        <f aca="true" t="shared" si="27" ref="F50:K50">SUM(F51,F52)</f>
        <v>721.2294375</v>
      </c>
      <c r="G50" s="121">
        <f t="shared" si="27"/>
        <v>801.3833231707317</v>
      </c>
      <c r="H50" s="121">
        <f t="shared" si="27"/>
        <v>771.6044207317075</v>
      </c>
      <c r="I50" s="121">
        <f t="shared" si="27"/>
        <v>842.8255182926832</v>
      </c>
      <c r="J50" s="121">
        <f t="shared" si="27"/>
        <v>826.0466158536589</v>
      </c>
      <c r="K50" s="132">
        <f t="shared" si="27"/>
        <v>1029.2677134146345</v>
      </c>
      <c r="L50" s="477"/>
    </row>
    <row r="51" spans="1:12" ht="9" customHeight="1">
      <c r="A51" s="123" t="s">
        <v>233</v>
      </c>
      <c r="B51" s="120">
        <v>0</v>
      </c>
      <c r="C51" s="120">
        <f>('Anexo 10 '!$J$11+'Anexo 10 '!$J$12)*1.85/1000</f>
        <v>164.682375</v>
      </c>
      <c r="D51" s="120">
        <f>('Anexo 10 '!$J$13+'Anexo 10 '!$J$14)*1.85/1000</f>
        <v>312.00365625</v>
      </c>
      <c r="E51" s="120">
        <f>('Anexo 10 '!$J$15+'Anexo 10 '!$J$16)*1.85/1000</f>
        <v>557.539125</v>
      </c>
      <c r="F51" s="120">
        <f>('Anexo 10 '!$J$17+'Anexo 10 '!$H$18)*1.85/1000</f>
        <v>721.2294375</v>
      </c>
      <c r="G51" s="120">
        <f>('Anexo 10 '!$H$19+'Anexo 10 '!$H$20)*1.85/1000</f>
        <v>726.3833231707317</v>
      </c>
      <c r="H51" s="120">
        <f>('Anexo 10 '!$H$21+'Anexo 10 '!$H$22)*1.85/1000</f>
        <v>689.6044207317075</v>
      </c>
      <c r="I51" s="120">
        <f>('Anexo 10 '!$H$23+'Anexo 10 '!$H$24)*1.85/1000</f>
        <v>652.8255182926832</v>
      </c>
      <c r="J51" s="120">
        <f>('Anexo 10 '!$H$25+'Anexo 10 '!$H$26)*1.85/1000</f>
        <v>616.0466158536589</v>
      </c>
      <c r="K51" s="131">
        <f>('Anexo 10 '!$H$27+'Anexo 10 '!$H$28)*1.85/1000</f>
        <v>579.2677134146345</v>
      </c>
      <c r="L51" s="478"/>
    </row>
    <row r="52" spans="1:12" ht="9" customHeight="1">
      <c r="A52" s="105" t="s">
        <v>145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75</v>
      </c>
      <c r="H52" s="117">
        <v>82</v>
      </c>
      <c r="I52" s="117">
        <v>190</v>
      </c>
      <c r="J52" s="117">
        <v>210</v>
      </c>
      <c r="K52" s="128">
        <v>450</v>
      </c>
      <c r="L52" s="478"/>
    </row>
    <row r="53" spans="1:12" ht="9" customHeight="1">
      <c r="A53" s="107" t="s">
        <v>8</v>
      </c>
      <c r="B53" s="187">
        <v>458582</v>
      </c>
      <c r="C53" s="187">
        <v>594431</v>
      </c>
      <c r="D53" s="187">
        <v>616189.58388</v>
      </c>
      <c r="E53" s="135">
        <f>D53*(1.07)</f>
        <v>659322.8547516001</v>
      </c>
      <c r="F53" s="135">
        <f aca="true" t="shared" si="28" ref="F53:K53">E53*(1.07)</f>
        <v>705475.4545842122</v>
      </c>
      <c r="G53" s="135">
        <f t="shared" si="28"/>
        <v>754858.7364051071</v>
      </c>
      <c r="H53" s="135">
        <f t="shared" si="28"/>
        <v>807698.8479534646</v>
      </c>
      <c r="I53" s="135">
        <f t="shared" si="28"/>
        <v>864237.7673102071</v>
      </c>
      <c r="J53" s="135">
        <f t="shared" si="28"/>
        <v>924734.4110219217</v>
      </c>
      <c r="K53" s="149">
        <f t="shared" si="28"/>
        <v>989465.8197934562</v>
      </c>
      <c r="L53" s="482"/>
    </row>
    <row r="54" spans="1:12" ht="9" customHeight="1">
      <c r="A54" s="110" t="s">
        <v>9</v>
      </c>
      <c r="B54" s="204">
        <f>SUM(B55,B60,B61)</f>
        <v>129352.25</v>
      </c>
      <c r="C54" s="204">
        <f aca="true" t="shared" si="29" ref="C54:K54">SUM(C55,C60,C61)</f>
        <v>120323</v>
      </c>
      <c r="D54" s="204">
        <f t="shared" si="29"/>
        <v>131860.75</v>
      </c>
      <c r="E54" s="204">
        <f t="shared" si="29"/>
        <v>128696.24</v>
      </c>
      <c r="F54" s="204">
        <f t="shared" si="29"/>
        <v>121321.10765365855</v>
      </c>
      <c r="G54" s="204">
        <f t="shared" si="29"/>
        <v>113369.55543331707</v>
      </c>
      <c r="H54" s="204">
        <f t="shared" si="29"/>
        <v>119906.57309413709</v>
      </c>
      <c r="I54" s="204">
        <f t="shared" si="29"/>
        <v>126900.4119912145</v>
      </c>
      <c r="J54" s="204">
        <f t="shared" si="29"/>
        <v>135884.04961108734</v>
      </c>
      <c r="K54" s="205">
        <f t="shared" si="29"/>
        <v>143878.70186435126</v>
      </c>
      <c r="L54" s="482"/>
    </row>
    <row r="55" spans="1:12" ht="9" customHeight="1">
      <c r="A55" s="16" t="s">
        <v>10</v>
      </c>
      <c r="B55" s="187">
        <f>SUM(B56+B59)</f>
        <v>91758.25</v>
      </c>
      <c r="C55" s="187">
        <f>SUM(C56+C59)</f>
        <v>81859</v>
      </c>
      <c r="D55" s="187">
        <f>SUM(D56+D59)</f>
        <v>92398.75</v>
      </c>
      <c r="E55" s="187">
        <f>SUM(E56,E59)</f>
        <v>89985.5</v>
      </c>
      <c r="F55" s="187">
        <f aca="true" t="shared" si="30" ref="F55:K55">SUM(F56,F59)</f>
        <v>81920.5</v>
      </c>
      <c r="G55" s="187">
        <f t="shared" si="30"/>
        <v>79162.88</v>
      </c>
      <c r="H55" s="187">
        <f t="shared" si="30"/>
        <v>84704.28160000002</v>
      </c>
      <c r="I55" s="187">
        <f t="shared" si="30"/>
        <v>90633.58131200002</v>
      </c>
      <c r="J55" s="187">
        <f t="shared" si="30"/>
        <v>96977.93200384003</v>
      </c>
      <c r="K55" s="206">
        <f t="shared" si="30"/>
        <v>103766.38724410885</v>
      </c>
      <c r="L55" s="482"/>
    </row>
    <row r="56" spans="1:12" ht="9" customHeight="1">
      <c r="A56" s="186" t="s">
        <v>234</v>
      </c>
      <c r="B56" s="190">
        <f>SUM(B57,B58)</f>
        <v>3968.25</v>
      </c>
      <c r="C56" s="190">
        <f aca="true" t="shared" si="31" ref="C56:K56">SUM(C57:C58)</f>
        <v>15873</v>
      </c>
      <c r="D56" s="190">
        <f t="shared" si="31"/>
        <v>27777.75</v>
      </c>
      <c r="E56" s="190">
        <f t="shared" si="31"/>
        <v>23809.5</v>
      </c>
      <c r="F56" s="190">
        <f t="shared" si="31"/>
        <v>7936.5</v>
      </c>
      <c r="G56" s="190">
        <f t="shared" si="31"/>
        <v>0</v>
      </c>
      <c r="H56" s="190">
        <f t="shared" si="31"/>
        <v>0</v>
      </c>
      <c r="I56" s="190">
        <f t="shared" si="31"/>
        <v>0</v>
      </c>
      <c r="J56" s="190">
        <f t="shared" si="31"/>
        <v>0</v>
      </c>
      <c r="K56" s="191">
        <f t="shared" si="31"/>
        <v>0</v>
      </c>
      <c r="L56" s="483"/>
    </row>
    <row r="57" spans="1:12" ht="9" customHeight="1">
      <c r="A57" s="4" t="s">
        <v>88</v>
      </c>
      <c r="B57" s="199">
        <f>B38</f>
        <v>1984.125</v>
      </c>
      <c r="C57" s="199">
        <f>C38</f>
        <v>7936.5</v>
      </c>
      <c r="D57" s="199">
        <f aca="true" t="shared" si="32" ref="D57:K57">D38</f>
        <v>13888.875</v>
      </c>
      <c r="E57" s="199">
        <f t="shared" si="32"/>
        <v>11904.75</v>
      </c>
      <c r="F57" s="199">
        <f t="shared" si="32"/>
        <v>3968.25</v>
      </c>
      <c r="G57" s="199">
        <f t="shared" si="32"/>
        <v>0</v>
      </c>
      <c r="H57" s="199">
        <f t="shared" si="32"/>
        <v>0</v>
      </c>
      <c r="I57" s="199">
        <f t="shared" si="32"/>
        <v>0</v>
      </c>
      <c r="J57" s="199">
        <f t="shared" si="32"/>
        <v>0</v>
      </c>
      <c r="K57" s="200">
        <f t="shared" si="32"/>
        <v>0</v>
      </c>
      <c r="L57" s="484"/>
    </row>
    <row r="58" spans="1:12" ht="9" customHeight="1">
      <c r="A58" s="4" t="s">
        <v>244</v>
      </c>
      <c r="B58" s="197">
        <f>B57*0.5/0.5</f>
        <v>1984.125</v>
      </c>
      <c r="C58" s="199">
        <f>C57*0.5/0.5</f>
        <v>7936.5</v>
      </c>
      <c r="D58" s="199">
        <f>D57*0.5/0.5</f>
        <v>13888.875</v>
      </c>
      <c r="E58" s="199">
        <f>E57*0.5/0.5</f>
        <v>11904.75</v>
      </c>
      <c r="F58" s="199">
        <f>F57*0.5/0.5</f>
        <v>3968.25</v>
      </c>
      <c r="G58" s="199">
        <f>G57*0.6/0.4</f>
        <v>0</v>
      </c>
      <c r="H58" s="199">
        <v>0</v>
      </c>
      <c r="I58" s="199">
        <v>0</v>
      </c>
      <c r="J58" s="199">
        <v>0</v>
      </c>
      <c r="K58" s="200">
        <v>0</v>
      </c>
      <c r="L58" s="480"/>
    </row>
    <row r="59" spans="1:12" ht="9" customHeight="1">
      <c r="A59" s="185" t="s">
        <v>87</v>
      </c>
      <c r="B59" s="137">
        <v>87790</v>
      </c>
      <c r="C59" s="137">
        <v>65986</v>
      </c>
      <c r="D59" s="201">
        <v>64621</v>
      </c>
      <c r="E59" s="202">
        <v>66176</v>
      </c>
      <c r="F59" s="202">
        <v>73984</v>
      </c>
      <c r="G59" s="202">
        <f aca="true" t="shared" si="33" ref="G59:K60">F59*(1.07)</f>
        <v>79162.88</v>
      </c>
      <c r="H59" s="202">
        <f t="shared" si="33"/>
        <v>84704.28160000002</v>
      </c>
      <c r="I59" s="202">
        <f t="shared" si="33"/>
        <v>90633.58131200002</v>
      </c>
      <c r="J59" s="202">
        <f t="shared" si="33"/>
        <v>96977.93200384003</v>
      </c>
      <c r="K59" s="193">
        <f t="shared" si="33"/>
        <v>103766.38724410885</v>
      </c>
      <c r="L59" s="483"/>
    </row>
    <row r="60" spans="1:12" ht="9" customHeight="1">
      <c r="A60" s="16" t="s">
        <v>23</v>
      </c>
      <c r="B60" s="135">
        <v>10878</v>
      </c>
      <c r="C60" s="187">
        <v>11751</v>
      </c>
      <c r="D60" s="203">
        <v>11482</v>
      </c>
      <c r="E60" s="203">
        <f>D60*(1.07)</f>
        <v>12285.740000000002</v>
      </c>
      <c r="F60" s="203">
        <f>E60*(1.07)</f>
        <v>13145.741800000002</v>
      </c>
      <c r="G60" s="203">
        <f t="shared" si="33"/>
        <v>14065.943726000003</v>
      </c>
      <c r="H60" s="203">
        <f t="shared" si="33"/>
        <v>15050.559786820004</v>
      </c>
      <c r="I60" s="203">
        <f t="shared" si="33"/>
        <v>16104.098971897405</v>
      </c>
      <c r="J60" s="203">
        <f t="shared" si="33"/>
        <v>17231.385899930225</v>
      </c>
      <c r="K60" s="194">
        <f t="shared" si="33"/>
        <v>18437.58291292534</v>
      </c>
      <c r="L60" s="482"/>
    </row>
    <row r="61" spans="1:12" ht="9" customHeight="1">
      <c r="A61" s="16" t="s">
        <v>24</v>
      </c>
      <c r="B61" s="135">
        <f>B62</f>
        <v>26716</v>
      </c>
      <c r="C61" s="135">
        <f aca="true" t="shared" si="34" ref="C61:K61">C62</f>
        <v>26713</v>
      </c>
      <c r="D61" s="135">
        <f t="shared" si="34"/>
        <v>27980</v>
      </c>
      <c r="E61" s="135">
        <f t="shared" si="34"/>
        <v>26425</v>
      </c>
      <c r="F61" s="135">
        <f t="shared" si="34"/>
        <v>26254.865853658535</v>
      </c>
      <c r="G61" s="135">
        <f t="shared" si="34"/>
        <v>20140.731707317074</v>
      </c>
      <c r="H61" s="135">
        <f t="shared" si="34"/>
        <v>20151.731707317074</v>
      </c>
      <c r="I61" s="135">
        <f t="shared" si="34"/>
        <v>20162.731707317074</v>
      </c>
      <c r="J61" s="135">
        <f t="shared" si="34"/>
        <v>21674.731707317074</v>
      </c>
      <c r="K61" s="149">
        <f t="shared" si="34"/>
        <v>21674.731707317074</v>
      </c>
      <c r="L61" s="482"/>
    </row>
    <row r="62" spans="1:12" ht="9" customHeight="1">
      <c r="A62" s="14" t="s">
        <v>16</v>
      </c>
      <c r="B62" s="137">
        <f>SUM(B63,B64)</f>
        <v>26716</v>
      </c>
      <c r="C62" s="137">
        <f aca="true" t="shared" si="35" ref="C62:K62">SUM(C63,C64)</f>
        <v>26713</v>
      </c>
      <c r="D62" s="137">
        <f t="shared" si="35"/>
        <v>27980</v>
      </c>
      <c r="E62" s="137">
        <f t="shared" si="35"/>
        <v>26425</v>
      </c>
      <c r="F62" s="137">
        <f t="shared" si="35"/>
        <v>26254.865853658535</v>
      </c>
      <c r="G62" s="137">
        <f t="shared" si="35"/>
        <v>20140.731707317074</v>
      </c>
      <c r="H62" s="137">
        <f t="shared" si="35"/>
        <v>20151.731707317074</v>
      </c>
      <c r="I62" s="137">
        <f t="shared" si="35"/>
        <v>20162.731707317074</v>
      </c>
      <c r="J62" s="137">
        <f t="shared" si="35"/>
        <v>21674.731707317074</v>
      </c>
      <c r="K62" s="150">
        <f t="shared" si="35"/>
        <v>21674.731707317074</v>
      </c>
      <c r="L62" s="483"/>
    </row>
    <row r="63" spans="1:12" ht="9" customHeight="1">
      <c r="A63" s="3" t="s">
        <v>25</v>
      </c>
      <c r="B63" s="188">
        <v>26716</v>
      </c>
      <c r="C63" s="197">
        <v>26713</v>
      </c>
      <c r="D63" s="188">
        <v>27980</v>
      </c>
      <c r="E63" s="472">
        <v>26425</v>
      </c>
      <c r="F63" s="472">
        <v>25287</v>
      </c>
      <c r="G63" s="472">
        <v>18205</v>
      </c>
      <c r="H63" s="472">
        <v>18216</v>
      </c>
      <c r="I63" s="472">
        <v>18227</v>
      </c>
      <c r="J63" s="472">
        <v>18239</v>
      </c>
      <c r="K63" s="473">
        <v>18239</v>
      </c>
      <c r="L63" s="480"/>
    </row>
    <row r="64" spans="1:12" ht="9" customHeight="1">
      <c r="A64" s="3" t="s">
        <v>26</v>
      </c>
      <c r="B64" s="197">
        <f>SUM(B65,B66)</f>
        <v>0</v>
      </c>
      <c r="C64" s="197">
        <f aca="true" t="shared" si="36" ref="C64:K64">SUM(C65,C66)</f>
        <v>0</v>
      </c>
      <c r="D64" s="197">
        <f t="shared" si="36"/>
        <v>0</v>
      </c>
      <c r="E64" s="197">
        <f t="shared" si="36"/>
        <v>0</v>
      </c>
      <c r="F64" s="197">
        <f t="shared" si="36"/>
        <v>967.8658536585366</v>
      </c>
      <c r="G64" s="197">
        <f t="shared" si="36"/>
        <v>1935.7317073170732</v>
      </c>
      <c r="H64" s="197">
        <f>SUM(H65,H66)</f>
        <v>1935.7317073170732</v>
      </c>
      <c r="I64" s="197">
        <f t="shared" si="36"/>
        <v>1935.7317073170732</v>
      </c>
      <c r="J64" s="197">
        <f t="shared" si="36"/>
        <v>3435.7317073170734</v>
      </c>
      <c r="K64" s="198">
        <f t="shared" si="36"/>
        <v>3435.7317073170734</v>
      </c>
      <c r="L64" s="480"/>
    </row>
    <row r="65" spans="1:12" ht="9" customHeight="1">
      <c r="A65" s="38" t="s">
        <v>235</v>
      </c>
      <c r="B65" s="189">
        <v>0</v>
      </c>
      <c r="C65" s="189">
        <v>0</v>
      </c>
      <c r="D65" s="189">
        <v>0</v>
      </c>
      <c r="E65" s="189">
        <v>0</v>
      </c>
      <c r="F65" s="189">
        <f>('Anexo 10 '!$G$18)*1.85/1000</f>
        <v>967.8658536585366</v>
      </c>
      <c r="G65" s="189">
        <f>('Anexo 10 '!$G$19+'Anexo 10 '!$G$20)*1.85/1000</f>
        <v>1935.7317073170732</v>
      </c>
      <c r="H65" s="189">
        <f>('Anexo 10 '!$G$21+'Anexo 10 '!$G$22)*1.85/1000</f>
        <v>1935.7317073170732</v>
      </c>
      <c r="I65" s="189">
        <f>('Anexo 10 '!$G$23+'Anexo 10 '!$G$24)*1.85/1000</f>
        <v>1935.7317073170732</v>
      </c>
      <c r="J65" s="189">
        <f>('Anexo 10 '!$G$25+'Anexo 10 '!$G$26)*1.85/1000</f>
        <v>1935.7317073170732</v>
      </c>
      <c r="K65" s="208">
        <f>('Anexo 10 '!$G$27+'Anexo 10 '!$G$28)*1.85/1000</f>
        <v>1935.7317073170732</v>
      </c>
      <c r="L65" s="480"/>
    </row>
    <row r="66" spans="1:12" ht="9" customHeight="1">
      <c r="A66" s="4" t="s">
        <v>146</v>
      </c>
      <c r="B66" s="197">
        <v>0</v>
      </c>
      <c r="C66" s="197">
        <v>0</v>
      </c>
      <c r="D66" s="197">
        <v>0</v>
      </c>
      <c r="E66" s="197">
        <v>0</v>
      </c>
      <c r="F66" s="197">
        <v>0</v>
      </c>
      <c r="G66" s="197">
        <v>0</v>
      </c>
      <c r="H66" s="197">
        <v>0</v>
      </c>
      <c r="I66" s="197">
        <v>0</v>
      </c>
      <c r="J66" s="197">
        <v>1500</v>
      </c>
      <c r="K66" s="198">
        <v>1500</v>
      </c>
      <c r="L66" s="480"/>
    </row>
    <row r="67" spans="1:12" ht="9" customHeight="1" thickBot="1">
      <c r="A67" s="37" t="s">
        <v>27</v>
      </c>
      <c r="B67" s="122">
        <f>+B5-B45</f>
        <v>77531.875</v>
      </c>
      <c r="C67" s="122">
        <f aca="true" t="shared" si="37" ref="C67:K67">+C5-C45</f>
        <v>83695.34349500015</v>
      </c>
      <c r="D67" s="122">
        <f t="shared" si="37"/>
        <v>116443.16936375014</v>
      </c>
      <c r="E67" s="122">
        <f t="shared" si="37"/>
        <v>119484.33225640003</v>
      </c>
      <c r="F67" s="122">
        <f t="shared" si="37"/>
        <v>120153.55478693917</v>
      </c>
      <c r="G67" s="122">
        <f t="shared" si="37"/>
        <v>127137.53996507684</v>
      </c>
      <c r="H67" s="122">
        <f t="shared" si="37"/>
        <v>121286.09074392519</v>
      </c>
      <c r="I67" s="122">
        <f t="shared" si="37"/>
        <v>112830.07731572585</v>
      </c>
      <c r="J67" s="122">
        <f t="shared" si="37"/>
        <v>101289.76129168109</v>
      </c>
      <c r="K67" s="133">
        <f t="shared" si="37"/>
        <v>89188.04746211972</v>
      </c>
      <c r="L67" s="477"/>
    </row>
    <row r="68" spans="1:11" ht="6" customHeight="1" thickBot="1">
      <c r="A68" s="18"/>
      <c r="B68" s="21"/>
      <c r="C68" s="19"/>
      <c r="D68" s="19"/>
      <c r="E68" s="19"/>
      <c r="F68" s="19"/>
      <c r="G68" s="19"/>
      <c r="H68" s="19"/>
      <c r="I68" s="19"/>
      <c r="J68" s="19"/>
      <c r="K68" s="20"/>
    </row>
    <row r="69" spans="1:11" ht="9" customHeight="1" thickBot="1">
      <c r="A69" s="528" t="s">
        <v>31</v>
      </c>
      <c r="B69" s="529"/>
      <c r="C69" s="529"/>
      <c r="D69" s="529"/>
      <c r="E69" s="529"/>
      <c r="F69" s="529"/>
      <c r="G69" s="530"/>
      <c r="H69" s="530"/>
      <c r="I69" s="530"/>
      <c r="J69" s="530"/>
      <c r="K69" s="531"/>
    </row>
    <row r="70" spans="1:11" ht="9" customHeight="1">
      <c r="A70" s="35" t="str">
        <f aca="true" t="shared" si="38" ref="A70:K70">+A5</f>
        <v>RECEITA ORÇAMENTÁRIA</v>
      </c>
      <c r="B70" s="134">
        <f t="shared" si="38"/>
        <v>1331262.125</v>
      </c>
      <c r="C70" s="134">
        <f t="shared" si="38"/>
        <v>1338133.5</v>
      </c>
      <c r="D70" s="134">
        <f t="shared" si="38"/>
        <v>1446346.875</v>
      </c>
      <c r="E70" s="134">
        <f t="shared" si="38"/>
        <v>1530310.23</v>
      </c>
      <c r="F70" s="134">
        <f t="shared" si="38"/>
        <v>1613478.0588</v>
      </c>
      <c r="G70" s="134">
        <f t="shared" si="38"/>
        <v>1708580.397328</v>
      </c>
      <c r="H70" s="134">
        <f t="shared" si="38"/>
        <v>1811945.2211676799</v>
      </c>
      <c r="I70" s="134">
        <f t="shared" si="38"/>
        <v>1920452.934437741</v>
      </c>
      <c r="J70" s="134">
        <f t="shared" si="38"/>
        <v>2035471.0505040057</v>
      </c>
      <c r="K70" s="192">
        <f t="shared" si="38"/>
        <v>2157390.193534246</v>
      </c>
    </row>
    <row r="71" spans="1:11" ht="9" customHeight="1">
      <c r="A71" s="14" t="str">
        <f>+A17</f>
        <v>1.3.1.0. - Aplicações Financeiras</v>
      </c>
      <c r="B71" s="136">
        <f>-B17</f>
        <v>-62367</v>
      </c>
      <c r="C71" s="136">
        <f aca="true" t="shared" si="39" ref="C71:K71">-C17</f>
        <v>-29862</v>
      </c>
      <c r="D71" s="136">
        <f t="shared" si="39"/>
        <v>-27218</v>
      </c>
      <c r="E71" s="136">
        <f t="shared" si="39"/>
        <v>-28851.08</v>
      </c>
      <c r="F71" s="136">
        <f t="shared" si="39"/>
        <v>-30582.144800000002</v>
      </c>
      <c r="G71" s="136">
        <f t="shared" si="39"/>
        <v>-32417.073488</v>
      </c>
      <c r="H71" s="136">
        <f t="shared" si="39"/>
        <v>-34362.09789728</v>
      </c>
      <c r="I71" s="136">
        <f t="shared" si="39"/>
        <v>-36423.823771116804</v>
      </c>
      <c r="J71" s="136">
        <f t="shared" si="39"/>
        <v>-38609.25319738381</v>
      </c>
      <c r="K71" s="193">
        <f t="shared" si="39"/>
        <v>-40925.80838922684</v>
      </c>
    </row>
    <row r="72" spans="1:11" ht="9" customHeight="1">
      <c r="A72" s="16" t="str">
        <f>+A35</f>
        <v>2.1.0.0. - Operações de Crédito</v>
      </c>
      <c r="B72" s="135">
        <f>-B35</f>
        <v>-18474.125</v>
      </c>
      <c r="C72" s="135">
        <f aca="true" t="shared" si="40" ref="C72:K72">-C35</f>
        <v>-18368.5</v>
      </c>
      <c r="D72" s="135">
        <f t="shared" si="40"/>
        <v>-22936.875</v>
      </c>
      <c r="E72" s="135">
        <f t="shared" si="40"/>
        <v>-21495.63</v>
      </c>
      <c r="F72" s="135">
        <f t="shared" si="40"/>
        <v>-14134.582800000002</v>
      </c>
      <c r="G72" s="135">
        <f t="shared" si="40"/>
        <v>-13276.312768000003</v>
      </c>
      <c r="H72" s="135">
        <f t="shared" si="40"/>
        <v>-14922.891534080005</v>
      </c>
      <c r="I72" s="135">
        <f t="shared" si="40"/>
        <v>-15609.265026124805</v>
      </c>
      <c r="J72" s="135">
        <f t="shared" si="40"/>
        <v>-16336.760927692294</v>
      </c>
      <c r="K72" s="194">
        <f t="shared" si="40"/>
        <v>-17107.846583353832</v>
      </c>
    </row>
    <row r="73" spans="1:11" ht="9" customHeight="1">
      <c r="A73" s="16" t="str">
        <f>+A40</f>
        <v>2.2.0.0. - Alienação de Bens</v>
      </c>
      <c r="B73" s="187">
        <f>-B40</f>
        <v>-307</v>
      </c>
      <c r="C73" s="187">
        <f aca="true" t="shared" si="41" ref="C73:K73">-C40</f>
        <v>-201</v>
      </c>
      <c r="D73" s="187">
        <f t="shared" si="41"/>
        <v>-192</v>
      </c>
      <c r="E73" s="187">
        <f t="shared" si="41"/>
        <v>-203.52</v>
      </c>
      <c r="F73" s="187">
        <f t="shared" si="41"/>
        <v>-215.73120000000003</v>
      </c>
      <c r="G73" s="187">
        <f t="shared" si="41"/>
        <v>-228.67507200000006</v>
      </c>
      <c r="H73" s="187">
        <f t="shared" si="41"/>
        <v>-242.39557632000006</v>
      </c>
      <c r="I73" s="187">
        <f t="shared" si="41"/>
        <v>-256.93931089920005</v>
      </c>
      <c r="J73" s="187">
        <f t="shared" si="41"/>
        <v>-272.3556695531521</v>
      </c>
      <c r="K73" s="195">
        <f t="shared" si="41"/>
        <v>-288.69700972634126</v>
      </c>
    </row>
    <row r="74" spans="1:11" ht="9" customHeight="1">
      <c r="A74" s="15" t="s">
        <v>28</v>
      </c>
      <c r="B74" s="136">
        <f aca="true" t="shared" si="42" ref="B74:K74">SUM(B70:B73)</f>
        <v>1250114</v>
      </c>
      <c r="C74" s="136">
        <f t="shared" si="42"/>
        <v>1289702</v>
      </c>
      <c r="D74" s="136">
        <f t="shared" si="42"/>
        <v>1396000</v>
      </c>
      <c r="E74" s="136">
        <f t="shared" si="42"/>
        <v>1479760</v>
      </c>
      <c r="F74" s="136">
        <f t="shared" si="42"/>
        <v>1568545.6</v>
      </c>
      <c r="G74" s="136">
        <f t="shared" si="42"/>
        <v>1662658.3360000001</v>
      </c>
      <c r="H74" s="136">
        <f t="shared" si="42"/>
        <v>1762417.83616</v>
      </c>
      <c r="I74" s="136">
        <f t="shared" si="42"/>
        <v>1868162.9063296001</v>
      </c>
      <c r="J74" s="136">
        <f t="shared" si="42"/>
        <v>1980252.6807093765</v>
      </c>
      <c r="K74" s="193">
        <f t="shared" si="42"/>
        <v>2099067.841551939</v>
      </c>
    </row>
    <row r="75" spans="1:11" ht="9" customHeight="1">
      <c r="A75" s="14" t="str">
        <f>+A45</f>
        <v>DESPESAS ORÇAMENTÁRIAS</v>
      </c>
      <c r="B75" s="136">
        <f>+B45</f>
        <v>1253730.25</v>
      </c>
      <c r="C75" s="136">
        <f aca="true" t="shared" si="43" ref="C75:K75">+C45</f>
        <v>1254438.1565049998</v>
      </c>
      <c r="D75" s="136">
        <f t="shared" si="43"/>
        <v>1329903.7056362499</v>
      </c>
      <c r="E75" s="136">
        <f t="shared" si="43"/>
        <v>1410825.8977436</v>
      </c>
      <c r="F75" s="136">
        <f t="shared" si="43"/>
        <v>1493324.5040130608</v>
      </c>
      <c r="G75" s="136">
        <f t="shared" si="43"/>
        <v>1581442.8573629232</v>
      </c>
      <c r="H75" s="136">
        <f t="shared" si="43"/>
        <v>1690659.1304237547</v>
      </c>
      <c r="I75" s="136">
        <f t="shared" si="43"/>
        <v>1807622.8571220152</v>
      </c>
      <c r="J75" s="136">
        <f t="shared" si="43"/>
        <v>1934181.2892123247</v>
      </c>
      <c r="K75" s="193">
        <f t="shared" si="43"/>
        <v>2068202.1460721265</v>
      </c>
    </row>
    <row r="76" spans="1:11" ht="9" customHeight="1">
      <c r="A76" s="16" t="str">
        <f>+A48</f>
        <v>3.2.0.0. - Juros e Encargos da Dívida</v>
      </c>
      <c r="B76" s="135">
        <f>-B48</f>
        <v>-18191</v>
      </c>
      <c r="C76" s="135">
        <f aca="true" t="shared" si="44" ref="C76:K76">-C48</f>
        <v>-23457.682375</v>
      </c>
      <c r="D76" s="135">
        <f t="shared" si="44"/>
        <v>-27395.00365625</v>
      </c>
      <c r="E76" s="135">
        <f t="shared" si="44"/>
        <v>-29536.349125</v>
      </c>
      <c r="F76" s="135">
        <f t="shared" si="44"/>
        <v>-31728.5561375</v>
      </c>
      <c r="G76" s="135">
        <f t="shared" si="44"/>
        <v>-33979.222892170736</v>
      </c>
      <c r="H76" s="135">
        <f t="shared" si="44"/>
        <v>-36271.89275956171</v>
      </c>
      <c r="I76" s="135">
        <f t="shared" si="44"/>
        <v>-38828.134040840785</v>
      </c>
      <c r="J76" s="135">
        <f t="shared" si="44"/>
        <v>-41470.32673498013</v>
      </c>
      <c r="K76" s="194">
        <f t="shared" si="44"/>
        <v>-44518.64744087996</v>
      </c>
    </row>
    <row r="77" spans="1:11" ht="9" customHeight="1">
      <c r="A77" s="14" t="str">
        <f>+A62</f>
        <v>4.3.1.0. - Amortizações </v>
      </c>
      <c r="B77" s="136">
        <f>-B62</f>
        <v>-26716</v>
      </c>
      <c r="C77" s="136">
        <f aca="true" t="shared" si="45" ref="C77:K77">-C62</f>
        <v>-26713</v>
      </c>
      <c r="D77" s="136">
        <f t="shared" si="45"/>
        <v>-27980</v>
      </c>
      <c r="E77" s="136">
        <f t="shared" si="45"/>
        <v>-26425</v>
      </c>
      <c r="F77" s="136">
        <f t="shared" si="45"/>
        <v>-26254.865853658535</v>
      </c>
      <c r="G77" s="136">
        <f t="shared" si="45"/>
        <v>-20140.731707317074</v>
      </c>
      <c r="H77" s="136">
        <f t="shared" si="45"/>
        <v>-20151.731707317074</v>
      </c>
      <c r="I77" s="136">
        <f t="shared" si="45"/>
        <v>-20162.731707317074</v>
      </c>
      <c r="J77" s="136">
        <f t="shared" si="45"/>
        <v>-21674.731707317074</v>
      </c>
      <c r="K77" s="193">
        <f t="shared" si="45"/>
        <v>-21674.731707317074</v>
      </c>
    </row>
    <row r="78" spans="1:11" ht="9" customHeight="1" thickBot="1">
      <c r="A78" s="231" t="s">
        <v>29</v>
      </c>
      <c r="B78" s="232">
        <f aca="true" t="shared" si="46" ref="B78:K78">SUM(B75:B77)</f>
        <v>1208823.25</v>
      </c>
      <c r="C78" s="232">
        <f t="shared" si="46"/>
        <v>1204267.4741299998</v>
      </c>
      <c r="D78" s="232">
        <f t="shared" si="46"/>
        <v>1274528.70198</v>
      </c>
      <c r="E78" s="232">
        <f t="shared" si="46"/>
        <v>1354864.5486186</v>
      </c>
      <c r="F78" s="232">
        <f t="shared" si="46"/>
        <v>1435341.082021902</v>
      </c>
      <c r="G78" s="232">
        <f t="shared" si="46"/>
        <v>1527322.9027634354</v>
      </c>
      <c r="H78" s="232">
        <f t="shared" si="46"/>
        <v>1634235.5059568759</v>
      </c>
      <c r="I78" s="232">
        <f t="shared" si="46"/>
        <v>1748631.9913738573</v>
      </c>
      <c r="J78" s="232">
        <f t="shared" si="46"/>
        <v>1871036.2307700275</v>
      </c>
      <c r="K78" s="233">
        <f t="shared" si="46"/>
        <v>2002008.7669239293</v>
      </c>
    </row>
    <row r="79" spans="1:11" ht="9" customHeight="1" thickBot="1">
      <c r="A79" s="234" t="s">
        <v>30</v>
      </c>
      <c r="B79" s="235">
        <f aca="true" t="shared" si="47" ref="B79:K79">+B74-B78</f>
        <v>41290.75</v>
      </c>
      <c r="C79" s="235">
        <f t="shared" si="47"/>
        <v>85434.52587000025</v>
      </c>
      <c r="D79" s="235">
        <f t="shared" si="47"/>
        <v>121471.2980200001</v>
      </c>
      <c r="E79" s="235">
        <f t="shared" si="47"/>
        <v>124895.4513814</v>
      </c>
      <c r="F79" s="235">
        <f t="shared" si="47"/>
        <v>133204.517978098</v>
      </c>
      <c r="G79" s="235">
        <f t="shared" si="47"/>
        <v>135335.43323656474</v>
      </c>
      <c r="H79" s="235">
        <f t="shared" si="47"/>
        <v>128182.33020312409</v>
      </c>
      <c r="I79" s="235">
        <f t="shared" si="47"/>
        <v>119530.91495574289</v>
      </c>
      <c r="J79" s="235">
        <f t="shared" si="47"/>
        <v>109216.44993934897</v>
      </c>
      <c r="K79" s="236">
        <f t="shared" si="47"/>
        <v>97059.0746280097</v>
      </c>
    </row>
    <row r="80" spans="1:11" ht="8.25" customHeight="1">
      <c r="A80" s="9" t="s">
        <v>257</v>
      </c>
      <c r="B80" s="6"/>
      <c r="C80" s="6"/>
      <c r="D80" s="6"/>
      <c r="E80" s="6"/>
      <c r="F80" s="6"/>
      <c r="G80" s="6"/>
      <c r="H80" s="526" t="s">
        <v>245</v>
      </c>
      <c r="I80" s="526"/>
      <c r="J80" s="526"/>
      <c r="K80" s="526"/>
    </row>
    <row r="81" spans="1:11" ht="8.25" customHeight="1">
      <c r="A81" s="9" t="s">
        <v>258</v>
      </c>
      <c r="B81" s="6"/>
      <c r="C81" s="6"/>
      <c r="D81" s="6"/>
      <c r="E81" s="6"/>
      <c r="F81" s="6"/>
      <c r="G81" s="6"/>
      <c r="H81" s="2"/>
      <c r="I81" s="2"/>
      <c r="J81" s="2"/>
      <c r="K81" s="2"/>
    </row>
    <row r="82" spans="1:11" ht="8.25" customHeight="1">
      <c r="A82" s="9" t="s">
        <v>259</v>
      </c>
      <c r="B82" s="6"/>
      <c r="C82" s="6"/>
      <c r="D82" s="6"/>
      <c r="E82" s="6"/>
      <c r="F82" s="6"/>
      <c r="G82" s="6"/>
      <c r="H82" s="2"/>
      <c r="I82" s="2"/>
      <c r="J82" s="2"/>
      <c r="K82" s="2"/>
    </row>
    <row r="83" spans="1:7" ht="8.25" customHeight="1">
      <c r="A83" s="22"/>
      <c r="B83" s="5"/>
      <c r="C83" s="5"/>
      <c r="D83" s="23"/>
      <c r="E83" s="23"/>
      <c r="F83" s="23"/>
      <c r="G83" s="23"/>
    </row>
  </sheetData>
  <sheetProtection/>
  <mergeCells count="4">
    <mergeCell ref="H80:K80"/>
    <mergeCell ref="A2:K2"/>
    <mergeCell ref="A69:K69"/>
    <mergeCell ref="A3:K3"/>
  </mergeCells>
  <printOptions horizontalCentered="1" verticalCentered="1"/>
  <pageMargins left="0.3937007874015748" right="0" top="1.28" bottom="0.7874015748031497" header="0.16" footer="0.4724409448818898"/>
  <pageSetup horizontalDpi="300" verticalDpi="300" orientation="portrait" paperSize="9" scale="95" r:id="rId1"/>
  <headerFooter alignWithMargins="0">
    <oddHeader>&amp;C&amp;"Arial Black,Normal"&amp;14PLANILHA VI &amp;10
&amp;14
&amp;"Arial,Negrito"&amp;12PROJEÇÃO DAS RECEITAS, DAS DESPESAS E DO RESULTADO
PRIMÁRIO DO MUNICÍPIO DE LONDRINA - Período 2013-2022
&amp;R&amp;"Arial Black,Normal"&amp;14ANEXO 6 &amp;"Arial,Negrito" &amp;"Arial,Normal"&amp;10
&amp;12p. 1 de 1</oddHeader>
    <oddFooter>&amp;R&amp;8_________________________________________________________________________
CONSULTORIA/93-13-JAR - Avaliação Financeira e Orçamentária do Município de Londrina&amp;10
&amp;6Anexo 6 -  Londrina- PR.xls</oddFooter>
  </headerFooter>
  <ignoredErrors>
    <ignoredError sqref="E48:K48 E36:K36 E26:K26 E16:K16 E49:K49 E30:K30" formula="1"/>
    <ignoredError sqref="E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zoomScale="150" zoomScaleNormal="150" zoomScalePageLayoutView="0" workbookViewId="0" topLeftCell="A17">
      <selection activeCell="A20" sqref="A20"/>
    </sheetView>
  </sheetViews>
  <sheetFormatPr defaultColWidth="9.140625" defaultRowHeight="12.75"/>
  <cols>
    <col min="1" max="1" width="27.57421875" style="0" customWidth="1"/>
    <col min="2" max="11" width="7.28125" style="0" customWidth="1"/>
  </cols>
  <sheetData>
    <row r="1" spans="1:11" ht="12" customHeight="1">
      <c r="A1" s="26" t="s">
        <v>237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.75" customHeight="1" thickBot="1">
      <c r="A2" s="525" t="s">
        <v>236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</row>
    <row r="3" spans="1:11" ht="11.25" customHeight="1" thickBot="1">
      <c r="A3" s="532"/>
      <c r="B3" s="533"/>
      <c r="C3" s="533"/>
      <c r="D3" s="533"/>
      <c r="E3" s="533"/>
      <c r="F3" s="533"/>
      <c r="G3" s="533"/>
      <c r="H3" s="533"/>
      <c r="I3" s="533"/>
      <c r="J3" s="533"/>
      <c r="K3" s="534"/>
    </row>
    <row r="4" spans="1:11" ht="12" customHeight="1">
      <c r="A4" s="24" t="s">
        <v>12</v>
      </c>
      <c r="B4" s="25" t="s">
        <v>251</v>
      </c>
      <c r="C4" s="25" t="s">
        <v>221</v>
      </c>
      <c r="D4" s="25" t="s">
        <v>252</v>
      </c>
      <c r="E4" s="25" t="s">
        <v>142</v>
      </c>
      <c r="F4" s="25" t="s">
        <v>261</v>
      </c>
      <c r="G4" s="25" t="s">
        <v>177</v>
      </c>
      <c r="H4" s="25" t="s">
        <v>183</v>
      </c>
      <c r="I4" s="25" t="s">
        <v>184</v>
      </c>
      <c r="J4" s="25" t="s">
        <v>222</v>
      </c>
      <c r="K4" s="207" t="s">
        <v>253</v>
      </c>
    </row>
    <row r="5" spans="1:12" ht="9" customHeight="1">
      <c r="A5" s="17" t="s">
        <v>89</v>
      </c>
      <c r="B5" s="113">
        <f>+B6+B34+B33</f>
        <v>1331262.125</v>
      </c>
      <c r="C5" s="113">
        <f aca="true" t="shared" si="0" ref="C5:K5">+C6+C34+C33</f>
        <v>1336097.5</v>
      </c>
      <c r="D5" s="113">
        <f t="shared" si="0"/>
        <v>1443159.625</v>
      </c>
      <c r="E5" s="113">
        <f t="shared" si="0"/>
        <v>1531395.865</v>
      </c>
      <c r="F5" s="113">
        <f t="shared" si="0"/>
        <v>1616612.9569</v>
      </c>
      <c r="G5" s="113">
        <f t="shared" si="0"/>
        <v>1711784.3418140002</v>
      </c>
      <c r="H5" s="113">
        <f t="shared" si="0"/>
        <v>1813238.2298228398</v>
      </c>
      <c r="I5" s="113">
        <f t="shared" si="0"/>
        <v>1921823.523612211</v>
      </c>
      <c r="J5" s="113">
        <f t="shared" si="0"/>
        <v>2036923.8750289434</v>
      </c>
      <c r="K5" s="124">
        <f t="shared" si="0"/>
        <v>2158930.1875306806</v>
      </c>
      <c r="L5" s="475"/>
    </row>
    <row r="6" spans="1:12" ht="9" customHeight="1">
      <c r="A6" s="112" t="s">
        <v>0</v>
      </c>
      <c r="B6" s="118">
        <f>SUM(B7,B15,B16,B19,B20,B21,B22,B30-B44)</f>
        <v>1141016</v>
      </c>
      <c r="C6" s="118">
        <f aca="true" t="shared" si="1" ref="C6:K6">SUM(C7,C15,C16,C19,C20,C21,C22,C30-C44)</f>
        <v>1207739</v>
      </c>
      <c r="D6" s="118">
        <f t="shared" si="1"/>
        <v>1308639</v>
      </c>
      <c r="E6" s="118">
        <f t="shared" si="1"/>
        <v>1387157.34</v>
      </c>
      <c r="F6" s="118">
        <f t="shared" si="1"/>
        <v>1470386.7804</v>
      </c>
      <c r="G6" s="118">
        <f t="shared" si="1"/>
        <v>1558609.987224</v>
      </c>
      <c r="H6" s="118">
        <f t="shared" si="1"/>
        <v>1652126.58645744</v>
      </c>
      <c r="I6" s="118">
        <f t="shared" si="1"/>
        <v>1751254.1816448867</v>
      </c>
      <c r="J6" s="118">
        <f t="shared" si="1"/>
        <v>1856329.43254358</v>
      </c>
      <c r="K6" s="129">
        <f t="shared" si="1"/>
        <v>1967709.198496195</v>
      </c>
      <c r="L6" s="476"/>
    </row>
    <row r="7" spans="1:12" ht="9" customHeight="1">
      <c r="A7" s="16" t="s">
        <v>17</v>
      </c>
      <c r="B7" s="115">
        <f>SUM(B8,B13,B14)</f>
        <v>372280</v>
      </c>
      <c r="C7" s="115">
        <f aca="true" t="shared" si="2" ref="C7:K7">SUM(C8,C13,C14)</f>
        <v>379050</v>
      </c>
      <c r="D7" s="115">
        <f t="shared" si="2"/>
        <v>414528</v>
      </c>
      <c r="E7" s="115">
        <f t="shared" si="2"/>
        <v>439399.68000000005</v>
      </c>
      <c r="F7" s="115">
        <f t="shared" si="2"/>
        <v>465763.66080000007</v>
      </c>
      <c r="G7" s="115">
        <f t="shared" si="2"/>
        <v>493709.480448</v>
      </c>
      <c r="H7" s="115">
        <f t="shared" si="2"/>
        <v>523332.0492748801</v>
      </c>
      <c r="I7" s="115">
        <f t="shared" si="2"/>
        <v>554731.972231373</v>
      </c>
      <c r="J7" s="115">
        <f t="shared" si="2"/>
        <v>588015.8905652554</v>
      </c>
      <c r="K7" s="126">
        <f t="shared" si="2"/>
        <v>623296.8439991707</v>
      </c>
      <c r="L7" s="476"/>
    </row>
    <row r="8" spans="1:12" ht="9" customHeight="1">
      <c r="A8" s="14" t="s">
        <v>1</v>
      </c>
      <c r="B8" s="114">
        <f>SUM(B9,B10,B11,B12)</f>
        <v>350722</v>
      </c>
      <c r="C8" s="114">
        <f aca="true" t="shared" si="3" ref="C8:K8">SUM(C9,C10,C11,C12)</f>
        <v>356804</v>
      </c>
      <c r="D8" s="114">
        <f t="shared" si="3"/>
        <v>390668</v>
      </c>
      <c r="E8" s="114">
        <f t="shared" si="3"/>
        <v>414108.08</v>
      </c>
      <c r="F8" s="114">
        <f t="shared" si="3"/>
        <v>438954.56480000005</v>
      </c>
      <c r="G8" s="114">
        <f t="shared" si="3"/>
        <v>465291.83868800005</v>
      </c>
      <c r="H8" s="114">
        <f t="shared" si="3"/>
        <v>493209.3490092801</v>
      </c>
      <c r="I8" s="114">
        <f t="shared" si="3"/>
        <v>522801.90994983696</v>
      </c>
      <c r="J8" s="114">
        <f t="shared" si="3"/>
        <v>554170.0245468272</v>
      </c>
      <c r="K8" s="125">
        <f t="shared" si="3"/>
        <v>587420.2260196368</v>
      </c>
      <c r="L8" s="477"/>
    </row>
    <row r="9" spans="1:12" ht="9" customHeight="1">
      <c r="A9" s="105" t="s">
        <v>94</v>
      </c>
      <c r="B9" s="116">
        <v>127952</v>
      </c>
      <c r="C9" s="116">
        <v>131952</v>
      </c>
      <c r="D9" s="116">
        <v>149500</v>
      </c>
      <c r="E9" s="116">
        <f aca="true" t="shared" si="4" ref="E9:K15">D9*(1.06)</f>
        <v>158470</v>
      </c>
      <c r="F9" s="116">
        <f t="shared" si="4"/>
        <v>167978.2</v>
      </c>
      <c r="G9" s="116">
        <f t="shared" si="4"/>
        <v>178056.89200000002</v>
      </c>
      <c r="H9" s="116">
        <f t="shared" si="4"/>
        <v>188740.30552000002</v>
      </c>
      <c r="I9" s="116">
        <f t="shared" si="4"/>
        <v>200064.72385120005</v>
      </c>
      <c r="J9" s="116">
        <f t="shared" si="4"/>
        <v>212068.60728227207</v>
      </c>
      <c r="K9" s="127">
        <f t="shared" si="4"/>
        <v>224792.7237192084</v>
      </c>
      <c r="L9" s="478"/>
    </row>
    <row r="10" spans="1:12" ht="9" customHeight="1">
      <c r="A10" s="105" t="s">
        <v>148</v>
      </c>
      <c r="B10" s="116">
        <v>138500</v>
      </c>
      <c r="C10" s="116">
        <v>135980</v>
      </c>
      <c r="D10" s="116">
        <v>145300</v>
      </c>
      <c r="E10" s="116">
        <f t="shared" si="4"/>
        <v>154018</v>
      </c>
      <c r="F10" s="116">
        <f t="shared" si="4"/>
        <v>163259.08000000002</v>
      </c>
      <c r="G10" s="116">
        <f t="shared" si="4"/>
        <v>173054.62480000002</v>
      </c>
      <c r="H10" s="116">
        <f t="shared" si="4"/>
        <v>183437.90228800004</v>
      </c>
      <c r="I10" s="116">
        <f t="shared" si="4"/>
        <v>194444.17642528005</v>
      </c>
      <c r="J10" s="116">
        <f t="shared" si="4"/>
        <v>206110.82701079687</v>
      </c>
      <c r="K10" s="127">
        <f t="shared" si="4"/>
        <v>218477.4766314447</v>
      </c>
      <c r="L10" s="478"/>
    </row>
    <row r="11" spans="1:12" ht="9" customHeight="1">
      <c r="A11" s="105" t="s">
        <v>127</v>
      </c>
      <c r="B11" s="116">
        <v>33687</v>
      </c>
      <c r="C11" s="116">
        <v>34104</v>
      </c>
      <c r="D11" s="116">
        <v>37468</v>
      </c>
      <c r="E11" s="116">
        <f t="shared" si="4"/>
        <v>39716.08</v>
      </c>
      <c r="F11" s="116">
        <f t="shared" si="4"/>
        <v>42099.0448</v>
      </c>
      <c r="G11" s="116">
        <f t="shared" si="4"/>
        <v>44624.987488000006</v>
      </c>
      <c r="H11" s="116">
        <f t="shared" si="4"/>
        <v>47302.48673728001</v>
      </c>
      <c r="I11" s="116">
        <f t="shared" si="4"/>
        <v>50140.63594151681</v>
      </c>
      <c r="J11" s="116">
        <f t="shared" si="4"/>
        <v>53149.074098007826</v>
      </c>
      <c r="K11" s="127">
        <f t="shared" si="4"/>
        <v>56338.0185438883</v>
      </c>
      <c r="L11" s="478"/>
    </row>
    <row r="12" spans="1:12" ht="9" customHeight="1">
      <c r="A12" s="105" t="s">
        <v>147</v>
      </c>
      <c r="B12" s="116">
        <v>50583</v>
      </c>
      <c r="C12" s="116">
        <v>54768</v>
      </c>
      <c r="D12" s="116">
        <v>58400</v>
      </c>
      <c r="E12" s="116">
        <f t="shared" si="4"/>
        <v>61904</v>
      </c>
      <c r="F12" s="116">
        <f t="shared" si="4"/>
        <v>65618.24</v>
      </c>
      <c r="G12" s="116">
        <f t="shared" si="4"/>
        <v>69555.3344</v>
      </c>
      <c r="H12" s="116">
        <f t="shared" si="4"/>
        <v>73728.654464</v>
      </c>
      <c r="I12" s="116">
        <f t="shared" si="4"/>
        <v>78152.37373184001</v>
      </c>
      <c r="J12" s="116">
        <f t="shared" si="4"/>
        <v>82841.51615575042</v>
      </c>
      <c r="K12" s="127">
        <f t="shared" si="4"/>
        <v>87812.00712509545</v>
      </c>
      <c r="L12" s="478"/>
    </row>
    <row r="13" spans="1:12" ht="9" customHeight="1">
      <c r="A13" s="106" t="s">
        <v>2</v>
      </c>
      <c r="B13" s="114">
        <v>21436</v>
      </c>
      <c r="C13" s="114">
        <v>22057</v>
      </c>
      <c r="D13" s="114">
        <v>23621</v>
      </c>
      <c r="E13" s="114">
        <f t="shared" si="4"/>
        <v>25038.260000000002</v>
      </c>
      <c r="F13" s="114">
        <f t="shared" si="4"/>
        <v>26540.555600000003</v>
      </c>
      <c r="G13" s="114">
        <f t="shared" si="4"/>
        <v>28132.988936000005</v>
      </c>
      <c r="H13" s="114">
        <f t="shared" si="4"/>
        <v>29820.968272160007</v>
      </c>
      <c r="I13" s="114">
        <f t="shared" si="4"/>
        <v>31610.22636848961</v>
      </c>
      <c r="J13" s="114">
        <f t="shared" si="4"/>
        <v>33506.83995059899</v>
      </c>
      <c r="K13" s="125">
        <f t="shared" si="4"/>
        <v>35517.25034763493</v>
      </c>
      <c r="L13" s="477"/>
    </row>
    <row r="14" spans="1:12" ht="9" customHeight="1">
      <c r="A14" s="106" t="s">
        <v>104</v>
      </c>
      <c r="B14" s="114">
        <v>122</v>
      </c>
      <c r="C14" s="114">
        <v>189</v>
      </c>
      <c r="D14" s="114">
        <v>239</v>
      </c>
      <c r="E14" s="114">
        <f t="shared" si="4"/>
        <v>253.34</v>
      </c>
      <c r="F14" s="114">
        <f t="shared" si="4"/>
        <v>268.54040000000003</v>
      </c>
      <c r="G14" s="114">
        <f t="shared" si="4"/>
        <v>284.65282400000007</v>
      </c>
      <c r="H14" s="114">
        <f t="shared" si="4"/>
        <v>301.7319934400001</v>
      </c>
      <c r="I14" s="114">
        <f t="shared" si="4"/>
        <v>319.83591304640015</v>
      </c>
      <c r="J14" s="114">
        <f t="shared" si="4"/>
        <v>339.02606782918417</v>
      </c>
      <c r="K14" s="125">
        <f t="shared" si="4"/>
        <v>359.36763189893526</v>
      </c>
      <c r="L14" s="477"/>
    </row>
    <row r="15" spans="1:12" ht="9" customHeight="1">
      <c r="A15" s="107" t="s">
        <v>86</v>
      </c>
      <c r="B15" s="115">
        <v>54951</v>
      </c>
      <c r="C15" s="115">
        <v>109791</v>
      </c>
      <c r="D15" s="115">
        <v>146302</v>
      </c>
      <c r="E15" s="115">
        <f t="shared" si="4"/>
        <v>155080.12</v>
      </c>
      <c r="F15" s="115">
        <f t="shared" si="4"/>
        <v>164384.9272</v>
      </c>
      <c r="G15" s="115">
        <f t="shared" si="4"/>
        <v>174248.02283200002</v>
      </c>
      <c r="H15" s="115">
        <f t="shared" si="4"/>
        <v>184702.90420192003</v>
      </c>
      <c r="I15" s="115">
        <f t="shared" si="4"/>
        <v>195785.07845403525</v>
      </c>
      <c r="J15" s="115">
        <f t="shared" si="4"/>
        <v>207532.18316127738</v>
      </c>
      <c r="K15" s="126">
        <f t="shared" si="4"/>
        <v>219984.11415095403</v>
      </c>
      <c r="L15" s="476"/>
    </row>
    <row r="16" spans="1:12" ht="9" customHeight="1">
      <c r="A16" s="107" t="s">
        <v>3</v>
      </c>
      <c r="B16" s="119">
        <f>SUM(B17,B18)</f>
        <v>62836</v>
      </c>
      <c r="C16" s="119">
        <f aca="true" t="shared" si="5" ref="C16:K16">SUM(C17,C18)</f>
        <v>35882</v>
      </c>
      <c r="D16" s="119">
        <f t="shared" si="5"/>
        <v>34711</v>
      </c>
      <c r="E16" s="119">
        <f t="shared" si="5"/>
        <v>36793.66</v>
      </c>
      <c r="F16" s="119">
        <f t="shared" si="5"/>
        <v>39001.2796</v>
      </c>
      <c r="G16" s="119">
        <f t="shared" si="5"/>
        <v>41341.356376</v>
      </c>
      <c r="H16" s="119">
        <f t="shared" si="5"/>
        <v>43821.83775856</v>
      </c>
      <c r="I16" s="119">
        <f t="shared" si="5"/>
        <v>46451.148024073605</v>
      </c>
      <c r="J16" s="119">
        <f t="shared" si="5"/>
        <v>49238.21690551803</v>
      </c>
      <c r="K16" s="130">
        <f t="shared" si="5"/>
        <v>52192.50991984911</v>
      </c>
      <c r="L16" s="476"/>
    </row>
    <row r="17" spans="1:12" ht="9" customHeight="1">
      <c r="A17" s="109" t="s">
        <v>13</v>
      </c>
      <c r="B17" s="114">
        <v>62367</v>
      </c>
      <c r="C17" s="114">
        <v>29862</v>
      </c>
      <c r="D17" s="114">
        <v>27218</v>
      </c>
      <c r="E17" s="114">
        <f>D17*(1.06)</f>
        <v>28851.08</v>
      </c>
      <c r="F17" s="114">
        <f aca="true" t="shared" si="6" ref="E17:K21">E17*(1.06)</f>
        <v>30582.144800000002</v>
      </c>
      <c r="G17" s="114">
        <f t="shared" si="6"/>
        <v>32417.073488</v>
      </c>
      <c r="H17" s="114">
        <f t="shared" si="6"/>
        <v>34362.09789728</v>
      </c>
      <c r="I17" s="114">
        <f t="shared" si="6"/>
        <v>36423.823771116804</v>
      </c>
      <c r="J17" s="114">
        <f t="shared" si="6"/>
        <v>38609.25319738381</v>
      </c>
      <c r="K17" s="125">
        <f t="shared" si="6"/>
        <v>40925.80838922684</v>
      </c>
      <c r="L17" s="477"/>
    </row>
    <row r="18" spans="1:12" ht="9" customHeight="1">
      <c r="A18" s="106" t="s">
        <v>4</v>
      </c>
      <c r="B18" s="114">
        <v>469</v>
      </c>
      <c r="C18" s="114">
        <v>6020</v>
      </c>
      <c r="D18" s="114">
        <v>7493</v>
      </c>
      <c r="E18" s="114">
        <f aca="true" t="shared" si="7" ref="E18:K20">D18*(1.06)</f>
        <v>7942.580000000001</v>
      </c>
      <c r="F18" s="114">
        <f t="shared" si="6"/>
        <v>8419.134800000002</v>
      </c>
      <c r="G18" s="114">
        <f t="shared" si="6"/>
        <v>8924.282888000002</v>
      </c>
      <c r="H18" s="114">
        <f t="shared" si="6"/>
        <v>9459.739861280003</v>
      </c>
      <c r="I18" s="114">
        <f t="shared" si="6"/>
        <v>10027.324252956803</v>
      </c>
      <c r="J18" s="114">
        <f t="shared" si="6"/>
        <v>10628.963708134212</v>
      </c>
      <c r="K18" s="125">
        <f t="shared" si="6"/>
        <v>11266.701530622266</v>
      </c>
      <c r="L18" s="477"/>
    </row>
    <row r="19" spans="1:12" ht="9" customHeight="1">
      <c r="A19" s="107" t="s">
        <v>267</v>
      </c>
      <c r="B19" s="115">
        <v>0</v>
      </c>
      <c r="C19" s="115">
        <v>0</v>
      </c>
      <c r="D19" s="115">
        <v>0</v>
      </c>
      <c r="E19" s="115">
        <f t="shared" si="7"/>
        <v>0</v>
      </c>
      <c r="F19" s="115">
        <f t="shared" si="7"/>
        <v>0</v>
      </c>
      <c r="G19" s="115">
        <f t="shared" si="7"/>
        <v>0</v>
      </c>
      <c r="H19" s="115">
        <f t="shared" si="7"/>
        <v>0</v>
      </c>
      <c r="I19" s="115">
        <f t="shared" si="7"/>
        <v>0</v>
      </c>
      <c r="J19" s="115">
        <f t="shared" si="7"/>
        <v>0</v>
      </c>
      <c r="K19" s="126">
        <f t="shared" si="7"/>
        <v>0</v>
      </c>
      <c r="L19" s="476"/>
    </row>
    <row r="20" spans="1:12" ht="9" customHeight="1">
      <c r="A20" s="107" t="s">
        <v>205</v>
      </c>
      <c r="B20" s="115">
        <v>0</v>
      </c>
      <c r="C20" s="115">
        <v>0</v>
      </c>
      <c r="D20" s="115">
        <v>0</v>
      </c>
      <c r="E20" s="115">
        <f t="shared" si="7"/>
        <v>0</v>
      </c>
      <c r="F20" s="115">
        <f t="shared" si="7"/>
        <v>0</v>
      </c>
      <c r="G20" s="115">
        <f t="shared" si="7"/>
        <v>0</v>
      </c>
      <c r="H20" s="115">
        <f t="shared" si="7"/>
        <v>0</v>
      </c>
      <c r="I20" s="115">
        <f t="shared" si="7"/>
        <v>0</v>
      </c>
      <c r="J20" s="115">
        <f t="shared" si="7"/>
        <v>0</v>
      </c>
      <c r="K20" s="126">
        <f t="shared" si="7"/>
        <v>0</v>
      </c>
      <c r="L20" s="476"/>
    </row>
    <row r="21" spans="1:12" ht="9" customHeight="1">
      <c r="A21" s="107" t="s">
        <v>95</v>
      </c>
      <c r="B21" s="115">
        <v>32775</v>
      </c>
      <c r="C21" s="115">
        <v>21105</v>
      </c>
      <c r="D21" s="115">
        <v>21815</v>
      </c>
      <c r="E21" s="115">
        <f t="shared" si="6"/>
        <v>23123.9</v>
      </c>
      <c r="F21" s="115">
        <f t="shared" si="6"/>
        <v>24511.334000000003</v>
      </c>
      <c r="G21" s="115">
        <f t="shared" si="6"/>
        <v>25982.014040000005</v>
      </c>
      <c r="H21" s="115">
        <f t="shared" si="6"/>
        <v>27540.934882400008</v>
      </c>
      <c r="I21" s="115">
        <f t="shared" si="6"/>
        <v>29193.39097534401</v>
      </c>
      <c r="J21" s="115">
        <f t="shared" si="6"/>
        <v>30944.994433864653</v>
      </c>
      <c r="K21" s="126">
        <f t="shared" si="6"/>
        <v>32801.69409989654</v>
      </c>
      <c r="L21" s="476"/>
    </row>
    <row r="22" spans="1:12" ht="9" customHeight="1">
      <c r="A22" s="107" t="s">
        <v>14</v>
      </c>
      <c r="B22" s="115">
        <f>SUM(B23,B26,B29)</f>
        <v>571709</v>
      </c>
      <c r="C22" s="115">
        <f aca="true" t="shared" si="8" ref="C22:K22">SUM(C23,C26,C29)</f>
        <v>627178</v>
      </c>
      <c r="D22" s="115">
        <f t="shared" si="8"/>
        <v>660128</v>
      </c>
      <c r="E22" s="115">
        <f t="shared" si="8"/>
        <v>699735.68</v>
      </c>
      <c r="F22" s="115">
        <f t="shared" si="8"/>
        <v>741719.8208000001</v>
      </c>
      <c r="G22" s="115">
        <f t="shared" si="8"/>
        <v>786223.0100479999</v>
      </c>
      <c r="H22" s="115">
        <f t="shared" si="8"/>
        <v>833396.39065088</v>
      </c>
      <c r="I22" s="115">
        <f t="shared" si="8"/>
        <v>883400.1740899329</v>
      </c>
      <c r="J22" s="115">
        <f t="shared" si="8"/>
        <v>936404.1845353289</v>
      </c>
      <c r="K22" s="126">
        <f t="shared" si="8"/>
        <v>992588.4356074487</v>
      </c>
      <c r="L22" s="476"/>
    </row>
    <row r="23" spans="1:12" ht="9" customHeight="1">
      <c r="A23" s="106" t="s">
        <v>96</v>
      </c>
      <c r="B23" s="114">
        <f>SUM(B24,B25)</f>
        <v>277314</v>
      </c>
      <c r="C23" s="114">
        <f aca="true" t="shared" si="9" ref="C23:K23">SUM(C24,C25)</f>
        <v>290600</v>
      </c>
      <c r="D23" s="114">
        <f t="shared" si="9"/>
        <v>326250</v>
      </c>
      <c r="E23" s="114">
        <f t="shared" si="9"/>
        <v>345825</v>
      </c>
      <c r="F23" s="114">
        <f t="shared" si="9"/>
        <v>366574.5</v>
      </c>
      <c r="G23" s="114">
        <f t="shared" si="9"/>
        <v>388568.97</v>
      </c>
      <c r="H23" s="114">
        <f t="shared" si="9"/>
        <v>411883.1082</v>
      </c>
      <c r="I23" s="114">
        <f t="shared" si="9"/>
        <v>436596.094692</v>
      </c>
      <c r="J23" s="114">
        <f t="shared" si="9"/>
        <v>462791.86037352006</v>
      </c>
      <c r="K23" s="125">
        <f t="shared" si="9"/>
        <v>490559.37199593126</v>
      </c>
      <c r="L23" s="477"/>
    </row>
    <row r="24" spans="1:12" ht="9" customHeight="1">
      <c r="A24" s="105" t="s">
        <v>97</v>
      </c>
      <c r="B24" s="116">
        <v>78000</v>
      </c>
      <c r="C24" s="116">
        <v>85200</v>
      </c>
      <c r="D24" s="116">
        <v>89100</v>
      </c>
      <c r="E24" s="116">
        <f>D24*(1.06)</f>
        <v>94446</v>
      </c>
      <c r="F24" s="116">
        <f aca="true" t="shared" si="10" ref="F24:K25">E24*(1.06)</f>
        <v>100112.76000000001</v>
      </c>
      <c r="G24" s="116">
        <f t="shared" si="10"/>
        <v>106119.52560000001</v>
      </c>
      <c r="H24" s="116">
        <f t="shared" si="10"/>
        <v>112486.69713600002</v>
      </c>
      <c r="I24" s="116">
        <f t="shared" si="10"/>
        <v>119235.89896416002</v>
      </c>
      <c r="J24" s="116">
        <f t="shared" si="10"/>
        <v>126390.05290200963</v>
      </c>
      <c r="K24" s="127">
        <f t="shared" si="10"/>
        <v>133973.4560761302</v>
      </c>
      <c r="L24" s="478"/>
    </row>
    <row r="25" spans="1:12" ht="9" customHeight="1">
      <c r="A25" s="105" t="s">
        <v>140</v>
      </c>
      <c r="B25" s="116">
        <v>199314</v>
      </c>
      <c r="C25" s="116">
        <v>205400</v>
      </c>
      <c r="D25" s="116">
        <v>237150</v>
      </c>
      <c r="E25" s="116">
        <f>D25*(1.06)</f>
        <v>251379</v>
      </c>
      <c r="F25" s="116">
        <f t="shared" si="10"/>
        <v>266461.74</v>
      </c>
      <c r="G25" s="116">
        <f t="shared" si="10"/>
        <v>282449.4444</v>
      </c>
      <c r="H25" s="116">
        <f t="shared" si="10"/>
        <v>299396.411064</v>
      </c>
      <c r="I25" s="116">
        <f t="shared" si="10"/>
        <v>317360.19572784</v>
      </c>
      <c r="J25" s="116">
        <f t="shared" si="10"/>
        <v>336401.80747151043</v>
      </c>
      <c r="K25" s="127">
        <f t="shared" si="10"/>
        <v>356585.91591980105</v>
      </c>
      <c r="L25" s="478"/>
    </row>
    <row r="26" spans="1:12" ht="9" customHeight="1">
      <c r="A26" s="106" t="s">
        <v>98</v>
      </c>
      <c r="B26" s="114">
        <f>SUM(B27,B28)</f>
        <v>204200</v>
      </c>
      <c r="C26" s="114">
        <f aca="true" t="shared" si="11" ref="C26:K26">SUM(C27,C28)</f>
        <v>249602</v>
      </c>
      <c r="D26" s="114">
        <f t="shared" si="11"/>
        <v>210286</v>
      </c>
      <c r="E26" s="114">
        <f t="shared" si="11"/>
        <v>222903.16</v>
      </c>
      <c r="F26" s="114">
        <f t="shared" si="11"/>
        <v>236277.34960000002</v>
      </c>
      <c r="G26" s="114">
        <f t="shared" si="11"/>
        <v>250453.990576</v>
      </c>
      <c r="H26" s="114">
        <f t="shared" si="11"/>
        <v>265481.23001056</v>
      </c>
      <c r="I26" s="114">
        <f t="shared" si="11"/>
        <v>281410.10381119367</v>
      </c>
      <c r="J26" s="114">
        <f t="shared" si="11"/>
        <v>298294.7100398653</v>
      </c>
      <c r="K26" s="125">
        <f t="shared" si="11"/>
        <v>316192.3926422572</v>
      </c>
      <c r="L26" s="477"/>
    </row>
    <row r="27" spans="1:12" ht="9" customHeight="1">
      <c r="A27" s="105" t="s">
        <v>99</v>
      </c>
      <c r="B27" s="116">
        <v>129708</v>
      </c>
      <c r="C27" s="116">
        <v>159800</v>
      </c>
      <c r="D27" s="116">
        <v>138000</v>
      </c>
      <c r="E27" s="116">
        <f>D27*(1.06)</f>
        <v>146280</v>
      </c>
      <c r="F27" s="116">
        <f aca="true" t="shared" si="12" ref="F27:K28">E27*(1.06)</f>
        <v>155056.80000000002</v>
      </c>
      <c r="G27" s="116">
        <f t="shared" si="12"/>
        <v>164360.208</v>
      </c>
      <c r="H27" s="116">
        <f t="shared" si="12"/>
        <v>174221.82048000002</v>
      </c>
      <c r="I27" s="116">
        <f t="shared" si="12"/>
        <v>184675.12970880003</v>
      </c>
      <c r="J27" s="116">
        <f t="shared" si="12"/>
        <v>195755.63749132803</v>
      </c>
      <c r="K27" s="127">
        <f t="shared" si="12"/>
        <v>207500.9757408077</v>
      </c>
      <c r="L27" s="478"/>
    </row>
    <row r="28" spans="1:12" ht="9" customHeight="1">
      <c r="A28" s="105" t="s">
        <v>194</v>
      </c>
      <c r="B28" s="116">
        <v>74492</v>
      </c>
      <c r="C28" s="116">
        <v>89802</v>
      </c>
      <c r="D28" s="116">
        <v>72286</v>
      </c>
      <c r="E28" s="116">
        <f>D28*(1.06)</f>
        <v>76623.16</v>
      </c>
      <c r="F28" s="116">
        <f t="shared" si="12"/>
        <v>81220.54960000001</v>
      </c>
      <c r="G28" s="116">
        <f t="shared" si="12"/>
        <v>86093.78257600001</v>
      </c>
      <c r="H28" s="116">
        <f t="shared" si="12"/>
        <v>91259.40953056002</v>
      </c>
      <c r="I28" s="116">
        <f t="shared" si="12"/>
        <v>96734.97410239362</v>
      </c>
      <c r="J28" s="116">
        <f t="shared" si="12"/>
        <v>102539.07254853724</v>
      </c>
      <c r="K28" s="127">
        <f t="shared" si="12"/>
        <v>108691.41690144948</v>
      </c>
      <c r="L28" s="478"/>
    </row>
    <row r="29" spans="1:12" ht="9" customHeight="1">
      <c r="A29" s="106" t="s">
        <v>100</v>
      </c>
      <c r="B29" s="114">
        <v>90195</v>
      </c>
      <c r="C29" s="114">
        <v>86976</v>
      </c>
      <c r="D29" s="114">
        <v>123592</v>
      </c>
      <c r="E29" s="114">
        <f>D29*(1.06)</f>
        <v>131007.52</v>
      </c>
      <c r="F29" s="114">
        <f aca="true" t="shared" si="13" ref="F29:K29">E29*(1.06)</f>
        <v>138867.9712</v>
      </c>
      <c r="G29" s="114">
        <f t="shared" si="13"/>
        <v>147200.049472</v>
      </c>
      <c r="H29" s="114">
        <f t="shared" si="13"/>
        <v>156032.05244032003</v>
      </c>
      <c r="I29" s="114">
        <f t="shared" si="13"/>
        <v>165393.97558673922</v>
      </c>
      <c r="J29" s="114">
        <f t="shared" si="13"/>
        <v>175317.6141219436</v>
      </c>
      <c r="K29" s="125">
        <f t="shared" si="13"/>
        <v>185836.67096926022</v>
      </c>
      <c r="L29" s="477"/>
    </row>
    <row r="30" spans="1:12" ht="9" customHeight="1">
      <c r="A30" s="108" t="s">
        <v>85</v>
      </c>
      <c r="B30" s="115">
        <f>SUM(B31,B32)</f>
        <v>100285</v>
      </c>
      <c r="C30" s="115">
        <f aca="true" t="shared" si="14" ref="C30:K30">SUM(C31,C32)</f>
        <v>101000</v>
      </c>
      <c r="D30" s="115">
        <f t="shared" si="14"/>
        <v>106280</v>
      </c>
      <c r="E30" s="115">
        <f t="shared" si="14"/>
        <v>112656.8</v>
      </c>
      <c r="F30" s="115">
        <f t="shared" si="14"/>
        <v>119416.20800000001</v>
      </c>
      <c r="G30" s="115">
        <f t="shared" si="14"/>
        <v>126581.18048000001</v>
      </c>
      <c r="H30" s="115">
        <f t="shared" si="14"/>
        <v>134176.05130880003</v>
      </c>
      <c r="I30" s="115">
        <f t="shared" si="14"/>
        <v>142226.61438732804</v>
      </c>
      <c r="J30" s="115">
        <f t="shared" si="14"/>
        <v>150760.21125056772</v>
      </c>
      <c r="K30" s="126">
        <f t="shared" si="14"/>
        <v>159805.82392560178</v>
      </c>
      <c r="L30" s="476"/>
    </row>
    <row r="31" spans="1:12" ht="9" customHeight="1">
      <c r="A31" s="109" t="s">
        <v>138</v>
      </c>
      <c r="B31" s="114">
        <v>47384</v>
      </c>
      <c r="C31" s="114">
        <v>54690</v>
      </c>
      <c r="D31" s="114">
        <v>57100</v>
      </c>
      <c r="E31" s="114">
        <f>D31*(1.06)</f>
        <v>60526</v>
      </c>
      <c r="F31" s="114">
        <f aca="true" t="shared" si="15" ref="F31:K33">E31*(1.06)</f>
        <v>64157.560000000005</v>
      </c>
      <c r="G31" s="114">
        <f t="shared" si="15"/>
        <v>68007.0136</v>
      </c>
      <c r="H31" s="114">
        <f t="shared" si="15"/>
        <v>72087.434416</v>
      </c>
      <c r="I31" s="114">
        <f t="shared" si="15"/>
        <v>76412.68048096001</v>
      </c>
      <c r="J31" s="114">
        <f t="shared" si="15"/>
        <v>80997.44130981762</v>
      </c>
      <c r="K31" s="125">
        <f t="shared" si="15"/>
        <v>85857.28778840668</v>
      </c>
      <c r="L31" s="477"/>
    </row>
    <row r="32" spans="1:12" ht="9" customHeight="1">
      <c r="A32" s="109" t="s">
        <v>139</v>
      </c>
      <c r="B32" s="114">
        <v>52901</v>
      </c>
      <c r="C32" s="114">
        <v>46310</v>
      </c>
      <c r="D32" s="114">
        <v>49180</v>
      </c>
      <c r="E32" s="114">
        <f>D32*(1.06)</f>
        <v>52130.8</v>
      </c>
      <c r="F32" s="114">
        <f t="shared" si="15"/>
        <v>55258.64800000001</v>
      </c>
      <c r="G32" s="114">
        <f t="shared" si="15"/>
        <v>58574.16688000001</v>
      </c>
      <c r="H32" s="114">
        <f t="shared" si="15"/>
        <v>62088.61689280002</v>
      </c>
      <c r="I32" s="114">
        <f t="shared" si="15"/>
        <v>65813.93390636802</v>
      </c>
      <c r="J32" s="114">
        <f t="shared" si="15"/>
        <v>69762.7699407501</v>
      </c>
      <c r="K32" s="125">
        <f t="shared" si="15"/>
        <v>73948.53613719511</v>
      </c>
      <c r="L32" s="477"/>
    </row>
    <row r="33" spans="1:12" ht="9" customHeight="1">
      <c r="A33" s="109" t="s">
        <v>209</v>
      </c>
      <c r="B33" s="402">
        <v>114854</v>
      </c>
      <c r="C33" s="115">
        <v>96263</v>
      </c>
      <c r="D33" s="115">
        <v>98125</v>
      </c>
      <c r="E33" s="114">
        <f>D33*(1.06)</f>
        <v>104012.5</v>
      </c>
      <c r="F33" s="114">
        <f t="shared" si="15"/>
        <v>110253.25</v>
      </c>
      <c r="G33" s="114">
        <f t="shared" si="15"/>
        <v>116868.445</v>
      </c>
      <c r="H33" s="114">
        <f t="shared" si="15"/>
        <v>123880.55170000001</v>
      </c>
      <c r="I33" s="114">
        <f t="shared" si="15"/>
        <v>131313.38480200002</v>
      </c>
      <c r="J33" s="114">
        <f t="shared" si="15"/>
        <v>139192.18789012003</v>
      </c>
      <c r="K33" s="125">
        <f t="shared" si="15"/>
        <v>147543.71916352725</v>
      </c>
      <c r="L33" s="479"/>
    </row>
    <row r="34" spans="1:12" ht="9" customHeight="1">
      <c r="A34" s="110" t="s">
        <v>5</v>
      </c>
      <c r="B34" s="118">
        <f>SUM(B35,B40,B41,B42,B43)</f>
        <v>75392.125</v>
      </c>
      <c r="C34" s="118">
        <f aca="true" t="shared" si="16" ref="C34:K34">SUM(C35,C40,C41,C42,C43)</f>
        <v>32095.5</v>
      </c>
      <c r="D34" s="118">
        <f t="shared" si="16"/>
        <v>36395.625</v>
      </c>
      <c r="E34" s="118">
        <f t="shared" si="16"/>
        <v>40226.024999999994</v>
      </c>
      <c r="F34" s="118">
        <f t="shared" si="16"/>
        <v>35972.92650000001</v>
      </c>
      <c r="G34" s="118">
        <f t="shared" si="16"/>
        <v>36305.90959000001</v>
      </c>
      <c r="H34" s="118">
        <f t="shared" si="16"/>
        <v>37231.09166540001</v>
      </c>
      <c r="I34" s="118">
        <f t="shared" si="16"/>
        <v>39255.95716532401</v>
      </c>
      <c r="J34" s="118">
        <f t="shared" si="16"/>
        <v>41402.25459524346</v>
      </c>
      <c r="K34" s="129">
        <f t="shared" si="16"/>
        <v>43677.269870958065</v>
      </c>
      <c r="L34" s="476"/>
    </row>
    <row r="35" spans="1:12" ht="9" customHeight="1">
      <c r="A35" s="107" t="s">
        <v>18</v>
      </c>
      <c r="B35" s="119">
        <f>SUM(B36,B37)</f>
        <v>18474.125</v>
      </c>
      <c r="C35" s="119">
        <f aca="true" t="shared" si="17" ref="C35:K35">SUM(C36,C37)</f>
        <v>18368.5</v>
      </c>
      <c r="D35" s="119">
        <f t="shared" si="17"/>
        <v>18968.625</v>
      </c>
      <c r="E35" s="119">
        <f t="shared" si="17"/>
        <v>21495.63</v>
      </c>
      <c r="F35" s="119">
        <f t="shared" si="17"/>
        <v>16118.707800000002</v>
      </c>
      <c r="G35" s="119">
        <f t="shared" si="17"/>
        <v>15260.437768000003</v>
      </c>
      <c r="H35" s="119">
        <f t="shared" si="17"/>
        <v>14922.891534080005</v>
      </c>
      <c r="I35" s="119">
        <f t="shared" si="17"/>
        <v>15609.265026124805</v>
      </c>
      <c r="J35" s="119">
        <f t="shared" si="17"/>
        <v>16336.760927692294</v>
      </c>
      <c r="K35" s="130">
        <f t="shared" si="17"/>
        <v>17107.846583353832</v>
      </c>
      <c r="L35" s="476"/>
    </row>
    <row r="36" spans="1:12" ht="9" customHeight="1">
      <c r="A36" s="14" t="s">
        <v>143</v>
      </c>
      <c r="B36" s="121">
        <v>16490</v>
      </c>
      <c r="C36" s="121">
        <v>10432</v>
      </c>
      <c r="D36" s="121">
        <v>9048</v>
      </c>
      <c r="E36" s="114">
        <f aca="true" t="shared" si="18" ref="E36:K36">D36*(1.06)</f>
        <v>9590.880000000001</v>
      </c>
      <c r="F36" s="114">
        <f t="shared" si="18"/>
        <v>10166.332800000002</v>
      </c>
      <c r="G36" s="114">
        <f t="shared" si="18"/>
        <v>10776.312768000003</v>
      </c>
      <c r="H36" s="114">
        <f t="shared" si="18"/>
        <v>11422.891534080005</v>
      </c>
      <c r="I36" s="114">
        <f t="shared" si="18"/>
        <v>12108.265026124805</v>
      </c>
      <c r="J36" s="114">
        <f t="shared" si="18"/>
        <v>12834.760927692294</v>
      </c>
      <c r="K36" s="125">
        <f t="shared" si="18"/>
        <v>13604.846583353832</v>
      </c>
      <c r="L36" s="477"/>
    </row>
    <row r="37" spans="1:12" ht="9" customHeight="1">
      <c r="A37" s="14" t="s">
        <v>144</v>
      </c>
      <c r="B37" s="121">
        <f>SUM(B38+B39)</f>
        <v>1984.125</v>
      </c>
      <c r="C37" s="121">
        <f>SUM(C38+C39)</f>
        <v>7936.5</v>
      </c>
      <c r="D37" s="121">
        <f>SUM(D38+D39)</f>
        <v>9920.625</v>
      </c>
      <c r="E37" s="121">
        <f aca="true" t="shared" si="19" ref="E37:K37">SUM(E38,E39)</f>
        <v>11904.75</v>
      </c>
      <c r="F37" s="121">
        <f t="shared" si="19"/>
        <v>5952.375</v>
      </c>
      <c r="G37" s="121">
        <f t="shared" si="19"/>
        <v>4484.125</v>
      </c>
      <c r="H37" s="121">
        <f t="shared" si="19"/>
        <v>3500</v>
      </c>
      <c r="I37" s="121">
        <f t="shared" si="19"/>
        <v>3501</v>
      </c>
      <c r="J37" s="121">
        <f t="shared" si="19"/>
        <v>3502</v>
      </c>
      <c r="K37" s="132">
        <f t="shared" si="19"/>
        <v>3503</v>
      </c>
      <c r="L37" s="477"/>
    </row>
    <row r="38" spans="1:12" ht="9" customHeight="1">
      <c r="A38" s="38" t="s">
        <v>232</v>
      </c>
      <c r="B38" s="189">
        <f>'Anexo 9'!D$10/1000*(1.85)</f>
        <v>1984.125</v>
      </c>
      <c r="C38" s="189">
        <f>'Anexo 11'!D$12/1000*(1.85)</f>
        <v>7936.5</v>
      </c>
      <c r="D38" s="189">
        <f>'Anexo 11'!D$14/1000*(1.85)</f>
        <v>9920.625</v>
      </c>
      <c r="E38" s="189">
        <f>'Anexo 11'!D$16/1000*(1.85)</f>
        <v>11904.75</v>
      </c>
      <c r="F38" s="189">
        <f>'Anexo 11'!D$18/1000*(1.85)</f>
        <v>5952.375</v>
      </c>
      <c r="G38" s="189">
        <f>'Anexo 11'!D$19/1000*(1.85)</f>
        <v>1984.125</v>
      </c>
      <c r="H38" s="120">
        <v>0</v>
      </c>
      <c r="I38" s="120">
        <v>0</v>
      </c>
      <c r="J38" s="120">
        <v>0</v>
      </c>
      <c r="K38" s="131">
        <v>0</v>
      </c>
      <c r="L38" s="480"/>
    </row>
    <row r="39" spans="1:12" ht="9" customHeight="1">
      <c r="A39" s="3" t="s">
        <v>149</v>
      </c>
      <c r="B39" s="117">
        <v>0</v>
      </c>
      <c r="C39" s="117">
        <v>0</v>
      </c>
      <c r="D39" s="117">
        <v>0</v>
      </c>
      <c r="E39" s="117">
        <v>0</v>
      </c>
      <c r="F39" s="117">
        <v>0</v>
      </c>
      <c r="G39" s="117">
        <v>2500</v>
      </c>
      <c r="H39" s="117">
        <v>3500</v>
      </c>
      <c r="I39" s="117">
        <v>3501</v>
      </c>
      <c r="J39" s="117">
        <v>3502</v>
      </c>
      <c r="K39" s="128">
        <v>3503</v>
      </c>
      <c r="L39" s="478"/>
    </row>
    <row r="40" spans="1:12" ht="9" customHeight="1">
      <c r="A40" s="107" t="s">
        <v>15</v>
      </c>
      <c r="B40" s="119">
        <v>307</v>
      </c>
      <c r="C40" s="119">
        <v>320</v>
      </c>
      <c r="D40" s="119">
        <v>222</v>
      </c>
      <c r="E40" s="115">
        <f aca="true" t="shared" si="20" ref="E40:K40">D40*(1.06)</f>
        <v>235.32000000000002</v>
      </c>
      <c r="F40" s="115">
        <f t="shared" si="20"/>
        <v>249.43920000000003</v>
      </c>
      <c r="G40" s="115">
        <f t="shared" si="20"/>
        <v>264.40555200000006</v>
      </c>
      <c r="H40" s="115">
        <f t="shared" si="20"/>
        <v>280.2698851200001</v>
      </c>
      <c r="I40" s="115">
        <f t="shared" si="20"/>
        <v>297.0860782272001</v>
      </c>
      <c r="J40" s="115">
        <f t="shared" si="20"/>
        <v>314.91124292083214</v>
      </c>
      <c r="K40" s="126">
        <f t="shared" si="20"/>
        <v>333.8059174960821</v>
      </c>
      <c r="L40" s="476"/>
    </row>
    <row r="41" spans="1:12" ht="9" customHeight="1">
      <c r="A41" s="107" t="s">
        <v>206</v>
      </c>
      <c r="B41" s="119">
        <v>0</v>
      </c>
      <c r="C41" s="119">
        <v>0</v>
      </c>
      <c r="D41" s="119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26">
        <v>0</v>
      </c>
      <c r="L41" s="476"/>
    </row>
    <row r="42" spans="1:12" ht="9" customHeight="1">
      <c r="A42" s="107" t="s">
        <v>20</v>
      </c>
      <c r="B42" s="119">
        <v>55582</v>
      </c>
      <c r="C42" s="119">
        <v>13387</v>
      </c>
      <c r="D42" s="119">
        <v>17185</v>
      </c>
      <c r="E42" s="115">
        <f>D42*(1.075)</f>
        <v>18473.875</v>
      </c>
      <c r="F42" s="115">
        <f aca="true" t="shared" si="21" ref="F42:K44">E42*(1.06)</f>
        <v>19582.307500000003</v>
      </c>
      <c r="G42" s="115">
        <f t="shared" si="21"/>
        <v>20757.245950000004</v>
      </c>
      <c r="H42" s="115">
        <f t="shared" si="21"/>
        <v>22002.680707000007</v>
      </c>
      <c r="I42" s="115">
        <f t="shared" si="21"/>
        <v>23322.84154942001</v>
      </c>
      <c r="J42" s="115">
        <f t="shared" si="21"/>
        <v>24722.21204238521</v>
      </c>
      <c r="K42" s="126">
        <f t="shared" si="21"/>
        <v>26205.544764928323</v>
      </c>
      <c r="L42" s="476"/>
    </row>
    <row r="43" spans="1:12" ht="9" customHeight="1">
      <c r="A43" s="107" t="s">
        <v>6</v>
      </c>
      <c r="B43" s="119">
        <v>1029</v>
      </c>
      <c r="C43" s="119">
        <v>20</v>
      </c>
      <c r="D43" s="119">
        <v>20</v>
      </c>
      <c r="E43" s="115">
        <f>D43*(1.06)</f>
        <v>21.200000000000003</v>
      </c>
      <c r="F43" s="115">
        <f t="shared" si="21"/>
        <v>22.472000000000005</v>
      </c>
      <c r="G43" s="115">
        <f t="shared" si="21"/>
        <v>23.820320000000006</v>
      </c>
      <c r="H43" s="115">
        <f t="shared" si="21"/>
        <v>25.249539200000008</v>
      </c>
      <c r="I43" s="115">
        <f t="shared" si="21"/>
        <v>26.76451155200001</v>
      </c>
      <c r="J43" s="115">
        <f t="shared" si="21"/>
        <v>28.370382245120012</v>
      </c>
      <c r="K43" s="126">
        <f t="shared" si="21"/>
        <v>30.072605179827214</v>
      </c>
      <c r="L43" s="476"/>
    </row>
    <row r="44" spans="1:12" ht="9" customHeight="1">
      <c r="A44" s="111" t="s">
        <v>179</v>
      </c>
      <c r="B44" s="406">
        <v>53820</v>
      </c>
      <c r="C44" s="137">
        <v>66267</v>
      </c>
      <c r="D44" s="137">
        <v>75125</v>
      </c>
      <c r="E44" s="114">
        <f>D44*(1.06)</f>
        <v>79632.5</v>
      </c>
      <c r="F44" s="114">
        <f t="shared" si="21"/>
        <v>84410.45</v>
      </c>
      <c r="G44" s="230">
        <f t="shared" si="21"/>
        <v>89475.077</v>
      </c>
      <c r="H44" s="114">
        <f t="shared" si="21"/>
        <v>94843.58162000001</v>
      </c>
      <c r="I44" s="114">
        <f t="shared" si="21"/>
        <v>100534.19651720002</v>
      </c>
      <c r="J44" s="230">
        <f t="shared" si="21"/>
        <v>106566.24830823203</v>
      </c>
      <c r="K44" s="125">
        <f t="shared" si="21"/>
        <v>112960.22320672595</v>
      </c>
      <c r="L44" s="481"/>
    </row>
    <row r="45" spans="1:12" ht="9" customHeight="1">
      <c r="A45" s="107" t="s">
        <v>115</v>
      </c>
      <c r="B45" s="119">
        <f>SUM(B46,B54)</f>
        <v>1253730.25</v>
      </c>
      <c r="C45" s="119">
        <f aca="true" t="shared" si="22" ref="C45:K45">SUM(C46,C54)</f>
        <v>1259376.1565049998</v>
      </c>
      <c r="D45" s="119">
        <f t="shared" si="22"/>
        <v>1335365.8366049998</v>
      </c>
      <c r="E45" s="119">
        <f t="shared" si="22"/>
        <v>1408958.3125873501</v>
      </c>
      <c r="F45" s="119">
        <f t="shared" si="22"/>
        <v>1483457.1702344022</v>
      </c>
      <c r="G45" s="119">
        <f t="shared" si="22"/>
        <v>1574528.354575185</v>
      </c>
      <c r="H45" s="119">
        <f t="shared" si="22"/>
        <v>1680125.732346386</v>
      </c>
      <c r="I45" s="119">
        <f t="shared" si="22"/>
        <v>1797360.0786946954</v>
      </c>
      <c r="J45" s="119">
        <f t="shared" si="22"/>
        <v>1923114.9661256634</v>
      </c>
      <c r="K45" s="130">
        <f t="shared" si="22"/>
        <v>2056271.3540588133</v>
      </c>
      <c r="L45" s="476"/>
    </row>
    <row r="46" spans="1:12" ht="9" customHeight="1">
      <c r="A46" s="110" t="s">
        <v>11</v>
      </c>
      <c r="B46" s="118">
        <f>SUM(B47,B48,B53)</f>
        <v>1124378</v>
      </c>
      <c r="C46" s="118">
        <f aca="true" t="shared" si="23" ref="C46:K46">SUM(C47,C48,C53)</f>
        <v>1134115.1565049998</v>
      </c>
      <c r="D46" s="118">
        <f t="shared" si="23"/>
        <v>1198026.5866049998</v>
      </c>
      <c r="E46" s="118">
        <f t="shared" si="23"/>
        <v>1282047.8125873501</v>
      </c>
      <c r="F46" s="118">
        <f t="shared" si="23"/>
        <v>1371937.9202344022</v>
      </c>
      <c r="G46" s="118">
        <f t="shared" si="23"/>
        <v>1468084.5170751852</v>
      </c>
      <c r="H46" s="118">
        <f t="shared" si="23"/>
        <v>1570787.921658886</v>
      </c>
      <c r="I46" s="118">
        <f t="shared" si="23"/>
        <v>1680755.923362508</v>
      </c>
      <c r="J46" s="118">
        <f t="shared" si="23"/>
        <v>1798328.8317353837</v>
      </c>
      <c r="K46" s="129">
        <f t="shared" si="23"/>
        <v>1924353.1502443606</v>
      </c>
      <c r="L46" s="476"/>
    </row>
    <row r="47" spans="1:12" ht="9" customHeight="1">
      <c r="A47" s="107" t="s">
        <v>7</v>
      </c>
      <c r="B47" s="119">
        <v>647605</v>
      </c>
      <c r="C47" s="119">
        <v>516226.47413</v>
      </c>
      <c r="D47" s="119">
        <v>554458.3681</v>
      </c>
      <c r="E47" s="115">
        <f>D47*(1.07)</f>
        <v>593270.453867</v>
      </c>
      <c r="F47" s="115">
        <f aca="true" t="shared" si="24" ref="F47:K47">E47*(1.07)</f>
        <v>634799.38563769</v>
      </c>
      <c r="G47" s="115">
        <f t="shared" si="24"/>
        <v>679235.3426323283</v>
      </c>
      <c r="H47" s="115">
        <f t="shared" si="24"/>
        <v>726781.8166165913</v>
      </c>
      <c r="I47" s="115">
        <f t="shared" si="24"/>
        <v>777656.5437797527</v>
      </c>
      <c r="J47" s="115">
        <f t="shared" si="24"/>
        <v>832092.5018443355</v>
      </c>
      <c r="K47" s="126">
        <f t="shared" si="24"/>
        <v>890338.976973439</v>
      </c>
      <c r="L47" s="476"/>
    </row>
    <row r="48" spans="1:12" ht="9" customHeight="1">
      <c r="A48" s="107" t="s">
        <v>76</v>
      </c>
      <c r="B48" s="119">
        <f>SUM(B49,B50)</f>
        <v>18191</v>
      </c>
      <c r="C48" s="119">
        <f aca="true" t="shared" si="25" ref="C48:K48">SUM(C49,C50)</f>
        <v>23457.682375</v>
      </c>
      <c r="D48" s="119">
        <f t="shared" si="25"/>
        <v>27378.634625</v>
      </c>
      <c r="E48" s="119">
        <f t="shared" si="25"/>
        <v>29454.503968750003</v>
      </c>
      <c r="F48" s="119">
        <f t="shared" si="25"/>
        <v>31663.080012500002</v>
      </c>
      <c r="G48" s="119">
        <f t="shared" si="25"/>
        <v>33990.438037750006</v>
      </c>
      <c r="H48" s="119">
        <f t="shared" si="25"/>
        <v>36307.25708883</v>
      </c>
      <c r="I48" s="119">
        <f t="shared" si="25"/>
        <v>38861.612272548104</v>
      </c>
      <c r="J48" s="119">
        <f t="shared" si="25"/>
        <v>41501.91886912647</v>
      </c>
      <c r="K48" s="130">
        <f t="shared" si="25"/>
        <v>44548.35347746532</v>
      </c>
      <c r="L48" s="476"/>
    </row>
    <row r="49" spans="1:12" ht="9" customHeight="1">
      <c r="A49" s="185" t="s">
        <v>21</v>
      </c>
      <c r="B49" s="121">
        <v>18191</v>
      </c>
      <c r="C49" s="121">
        <v>23293</v>
      </c>
      <c r="D49" s="121">
        <v>27083</v>
      </c>
      <c r="E49" s="114">
        <f>D49*(1.07)</f>
        <v>28978.81</v>
      </c>
      <c r="F49" s="114">
        <f aca="true" t="shared" si="26" ref="F49:K49">E49*(1.07)</f>
        <v>31007.3267</v>
      </c>
      <c r="G49" s="114">
        <f t="shared" si="26"/>
        <v>33177.839569</v>
      </c>
      <c r="H49" s="114">
        <f t="shared" si="26"/>
        <v>35500.28833883</v>
      </c>
      <c r="I49" s="114">
        <f t="shared" si="26"/>
        <v>37985.308522548105</v>
      </c>
      <c r="J49" s="114">
        <f t="shared" si="26"/>
        <v>40644.28011912647</v>
      </c>
      <c r="K49" s="125">
        <f t="shared" si="26"/>
        <v>43489.379727465326</v>
      </c>
      <c r="L49" s="477"/>
    </row>
    <row r="50" spans="1:12" ht="9" customHeight="1">
      <c r="A50" s="185" t="s">
        <v>22</v>
      </c>
      <c r="B50" s="121">
        <f>SUM(B51,B52)</f>
        <v>0</v>
      </c>
      <c r="C50" s="121">
        <f>SUM(C51,C52)</f>
        <v>164.682375</v>
      </c>
      <c r="D50" s="121">
        <f>SUM(D51,D52)</f>
        <v>295.634625</v>
      </c>
      <c r="E50" s="121">
        <f>SUM(E51,E52)</f>
        <v>475.69396875</v>
      </c>
      <c r="F50" s="121">
        <f aca="true" t="shared" si="27" ref="F50:K50">SUM(F51,F52)</f>
        <v>655.7533125</v>
      </c>
      <c r="G50" s="121">
        <f t="shared" si="27"/>
        <v>812.59846875</v>
      </c>
      <c r="H50" s="121">
        <f t="shared" si="27"/>
        <v>806.96875</v>
      </c>
      <c r="I50" s="121">
        <f t="shared" si="27"/>
        <v>876.30375</v>
      </c>
      <c r="J50" s="121">
        <f t="shared" si="27"/>
        <v>857.63875</v>
      </c>
      <c r="K50" s="132">
        <f t="shared" si="27"/>
        <v>1058.97375</v>
      </c>
      <c r="L50" s="477"/>
    </row>
    <row r="51" spans="1:12" ht="9" customHeight="1">
      <c r="A51" s="123" t="s">
        <v>233</v>
      </c>
      <c r="B51" s="120">
        <v>0</v>
      </c>
      <c r="C51" s="120">
        <f>('Anexo 11'!$J$11+'Anexo 11'!$J$12)*1.85/1000</f>
        <v>164.682375</v>
      </c>
      <c r="D51" s="120">
        <f>('Anexo 11'!$J$13+'Anexo 11'!$J$14)*1.85/1000</f>
        <v>295.634625</v>
      </c>
      <c r="E51" s="120">
        <f>('Anexo 11'!$J$15+'Anexo 11'!$J$16)*1.85/1000</f>
        <v>475.69396875</v>
      </c>
      <c r="F51" s="120">
        <f>('Anexo 11'!$J$17+'Anexo 11'!$J$18)*1.85/1000</f>
        <v>655.7533125</v>
      </c>
      <c r="G51" s="120">
        <f>('Anexo 11'!$J$19+'Anexo 11'!$H$20)*1.85/1000</f>
        <v>737.59846875</v>
      </c>
      <c r="H51" s="120">
        <f>('Anexo 11'!$H$21+'Anexo 11'!$H$22)*1.85/1000</f>
        <v>724.96875</v>
      </c>
      <c r="I51" s="120">
        <f>('Anexo 11'!$H$23+'Anexo 11'!$H$24)*1.85/1000</f>
        <v>686.30375</v>
      </c>
      <c r="J51" s="120">
        <f>('Anexo 11'!$H$25+'Anexo 11'!$H$26)*1.85/1000</f>
        <v>647.63875</v>
      </c>
      <c r="K51" s="131">
        <f>('Anexo 11'!$H$27+'Anexo 11'!$H$28)*1.85/1000</f>
        <v>608.97375</v>
      </c>
      <c r="L51" s="478"/>
    </row>
    <row r="52" spans="1:12" ht="9" customHeight="1">
      <c r="A52" s="105" t="s">
        <v>145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75</v>
      </c>
      <c r="H52" s="117">
        <v>82</v>
      </c>
      <c r="I52" s="117">
        <v>190</v>
      </c>
      <c r="J52" s="117">
        <v>210</v>
      </c>
      <c r="K52" s="128">
        <v>450</v>
      </c>
      <c r="L52" s="478"/>
    </row>
    <row r="53" spans="1:12" ht="9" customHeight="1">
      <c r="A53" s="107" t="s">
        <v>8</v>
      </c>
      <c r="B53" s="187">
        <v>458582</v>
      </c>
      <c r="C53" s="187">
        <v>594431</v>
      </c>
      <c r="D53" s="187">
        <v>616189.58388</v>
      </c>
      <c r="E53" s="135">
        <f aca="true" t="shared" si="28" ref="E53:K53">D53*(1.07)</f>
        <v>659322.8547516001</v>
      </c>
      <c r="F53" s="135">
        <f t="shared" si="28"/>
        <v>705475.4545842122</v>
      </c>
      <c r="G53" s="135">
        <f t="shared" si="28"/>
        <v>754858.7364051071</v>
      </c>
      <c r="H53" s="135">
        <f t="shared" si="28"/>
        <v>807698.8479534646</v>
      </c>
      <c r="I53" s="135">
        <f t="shared" si="28"/>
        <v>864237.7673102071</v>
      </c>
      <c r="J53" s="135">
        <f t="shared" si="28"/>
        <v>924734.4110219217</v>
      </c>
      <c r="K53" s="149">
        <f t="shared" si="28"/>
        <v>989465.8197934562</v>
      </c>
      <c r="L53" s="482"/>
    </row>
    <row r="54" spans="1:12" ht="9" customHeight="1">
      <c r="A54" s="110" t="s">
        <v>9</v>
      </c>
      <c r="B54" s="204">
        <f>SUM(B55,B60,B61)</f>
        <v>129352.25</v>
      </c>
      <c r="C54" s="204">
        <f aca="true" t="shared" si="29" ref="C54:K54">SUM(C55,C60,C61)</f>
        <v>125261</v>
      </c>
      <c r="D54" s="204">
        <f t="shared" si="29"/>
        <v>137339.25</v>
      </c>
      <c r="E54" s="204">
        <f t="shared" si="29"/>
        <v>126910.5</v>
      </c>
      <c r="F54" s="204">
        <f t="shared" si="29"/>
        <v>111519.25</v>
      </c>
      <c r="G54" s="204">
        <f t="shared" si="29"/>
        <v>106443.8375</v>
      </c>
      <c r="H54" s="204">
        <f t="shared" si="29"/>
        <v>109337.8106875</v>
      </c>
      <c r="I54" s="204">
        <f t="shared" si="29"/>
        <v>116604.1553321875</v>
      </c>
      <c r="J54" s="204">
        <f t="shared" si="29"/>
        <v>124786.1343902797</v>
      </c>
      <c r="K54" s="205">
        <f t="shared" si="29"/>
        <v>131918.20381445286</v>
      </c>
      <c r="L54" s="482"/>
    </row>
    <row r="55" spans="1:12" ht="9" customHeight="1">
      <c r="A55" s="16" t="s">
        <v>10</v>
      </c>
      <c r="B55" s="187">
        <f>SUM(B56+B59)</f>
        <v>91758.25</v>
      </c>
      <c r="C55" s="187">
        <f>SUM(C56+C59)</f>
        <v>85827</v>
      </c>
      <c r="D55" s="187">
        <f>SUM(D56+D59)</f>
        <v>96367.25</v>
      </c>
      <c r="E55" s="187">
        <f>SUM(E56,E59)</f>
        <v>88985.5</v>
      </c>
      <c r="F55" s="187">
        <f aca="true" t="shared" si="30" ref="F55:K55">SUM(F56,F59)</f>
        <v>73984.75</v>
      </c>
      <c r="G55" s="187">
        <f t="shared" si="30"/>
        <v>75195.25</v>
      </c>
      <c r="H55" s="187">
        <f t="shared" si="30"/>
        <v>76212.89</v>
      </c>
      <c r="I55" s="187">
        <f t="shared" si="30"/>
        <v>81547.7923</v>
      </c>
      <c r="J55" s="187">
        <f t="shared" si="30"/>
        <v>87256.137761</v>
      </c>
      <c r="K55" s="206">
        <f t="shared" si="30"/>
        <v>93364.06740427001</v>
      </c>
      <c r="L55" s="482"/>
    </row>
    <row r="56" spans="1:12" ht="9" customHeight="1">
      <c r="A56" s="186" t="s">
        <v>234</v>
      </c>
      <c r="B56" s="190">
        <f>SUM(B57,B58)</f>
        <v>3968.25</v>
      </c>
      <c r="C56" s="190">
        <f aca="true" t="shared" si="31" ref="C56:K56">SUM(C57:C58)</f>
        <v>15873</v>
      </c>
      <c r="D56" s="190">
        <f t="shared" si="31"/>
        <v>19841.25</v>
      </c>
      <c r="E56" s="190">
        <f t="shared" si="31"/>
        <v>23809.5</v>
      </c>
      <c r="F56" s="190">
        <f t="shared" si="31"/>
        <v>11904.75</v>
      </c>
      <c r="G56" s="190">
        <f t="shared" si="31"/>
        <v>3968.25</v>
      </c>
      <c r="H56" s="190">
        <f t="shared" si="31"/>
        <v>0</v>
      </c>
      <c r="I56" s="190">
        <f t="shared" si="31"/>
        <v>0</v>
      </c>
      <c r="J56" s="190">
        <f t="shared" si="31"/>
        <v>0</v>
      </c>
      <c r="K56" s="191">
        <f t="shared" si="31"/>
        <v>0</v>
      </c>
      <c r="L56" s="483"/>
    </row>
    <row r="57" spans="1:12" ht="9" customHeight="1">
      <c r="A57" s="4" t="s">
        <v>88</v>
      </c>
      <c r="B57" s="199">
        <f>B38</f>
        <v>1984.125</v>
      </c>
      <c r="C57" s="199">
        <f>C38</f>
        <v>7936.5</v>
      </c>
      <c r="D57" s="199">
        <f aca="true" t="shared" si="32" ref="D57:K57">D38</f>
        <v>9920.625</v>
      </c>
      <c r="E57" s="199">
        <f t="shared" si="32"/>
        <v>11904.75</v>
      </c>
      <c r="F57" s="199">
        <f t="shared" si="32"/>
        <v>5952.375</v>
      </c>
      <c r="G57" s="199">
        <f t="shared" si="32"/>
        <v>1984.125</v>
      </c>
      <c r="H57" s="199">
        <f t="shared" si="32"/>
        <v>0</v>
      </c>
      <c r="I57" s="199">
        <f t="shared" si="32"/>
        <v>0</v>
      </c>
      <c r="J57" s="199">
        <f t="shared" si="32"/>
        <v>0</v>
      </c>
      <c r="K57" s="200">
        <f t="shared" si="32"/>
        <v>0</v>
      </c>
      <c r="L57" s="484"/>
    </row>
    <row r="58" spans="1:12" ht="9" customHeight="1">
      <c r="A58" s="4" t="s">
        <v>244</v>
      </c>
      <c r="B58" s="197">
        <f aca="true" t="shared" si="33" ref="B58:G58">B57*0.5/0.5</f>
        <v>1984.125</v>
      </c>
      <c r="C58" s="199">
        <f t="shared" si="33"/>
        <v>7936.5</v>
      </c>
      <c r="D58" s="199">
        <f t="shared" si="33"/>
        <v>9920.625</v>
      </c>
      <c r="E58" s="199">
        <f t="shared" si="33"/>
        <v>11904.75</v>
      </c>
      <c r="F58" s="199">
        <f t="shared" si="33"/>
        <v>5952.375</v>
      </c>
      <c r="G58" s="199">
        <f t="shared" si="33"/>
        <v>1984.125</v>
      </c>
      <c r="H58" s="199">
        <v>0</v>
      </c>
      <c r="I58" s="199">
        <v>0</v>
      </c>
      <c r="J58" s="199">
        <v>0</v>
      </c>
      <c r="K58" s="200">
        <v>0</v>
      </c>
      <c r="L58" s="480"/>
    </row>
    <row r="59" spans="1:12" ht="9" customHeight="1">
      <c r="A59" s="185" t="s">
        <v>87</v>
      </c>
      <c r="B59" s="137">
        <v>87790</v>
      </c>
      <c r="C59" s="137">
        <v>69954</v>
      </c>
      <c r="D59" s="201">
        <v>76526</v>
      </c>
      <c r="E59" s="202">
        <v>65176</v>
      </c>
      <c r="F59" s="202">
        <v>62080</v>
      </c>
      <c r="G59" s="201">
        <v>71227</v>
      </c>
      <c r="H59" s="201">
        <f>G59*(1.07)</f>
        <v>76212.89</v>
      </c>
      <c r="I59" s="201">
        <f>H59*(1.07)</f>
        <v>81547.7923</v>
      </c>
      <c r="J59" s="201">
        <f>I59*(1.07)</f>
        <v>87256.137761</v>
      </c>
      <c r="K59" s="486">
        <f>J59*(1.07)</f>
        <v>93364.06740427001</v>
      </c>
      <c r="L59" s="483"/>
    </row>
    <row r="60" spans="1:12" ht="9" customHeight="1">
      <c r="A60" s="16" t="s">
        <v>23</v>
      </c>
      <c r="B60" s="135">
        <v>10878</v>
      </c>
      <c r="C60" s="187">
        <v>12721</v>
      </c>
      <c r="D60" s="203">
        <v>12992</v>
      </c>
      <c r="E60" s="203">
        <v>11500</v>
      </c>
      <c r="F60" s="203">
        <f aca="true" t="shared" si="34" ref="F60:K60">E60*(1.065)</f>
        <v>12247.5</v>
      </c>
      <c r="G60" s="203">
        <f t="shared" si="34"/>
        <v>13043.5875</v>
      </c>
      <c r="H60" s="203">
        <f t="shared" si="34"/>
        <v>13891.420687499998</v>
      </c>
      <c r="I60" s="203">
        <f t="shared" si="34"/>
        <v>14794.363032187497</v>
      </c>
      <c r="J60" s="203">
        <f t="shared" si="34"/>
        <v>15755.996629279683</v>
      </c>
      <c r="K60" s="194">
        <f t="shared" si="34"/>
        <v>16780.136410182862</v>
      </c>
      <c r="L60" s="482"/>
    </row>
    <row r="61" spans="1:12" ht="9" customHeight="1">
      <c r="A61" s="16" t="s">
        <v>24</v>
      </c>
      <c r="B61" s="135">
        <f>B62</f>
        <v>26716</v>
      </c>
      <c r="C61" s="135">
        <f aca="true" t="shared" si="35" ref="C61:K61">C62</f>
        <v>26713</v>
      </c>
      <c r="D61" s="135">
        <f t="shared" si="35"/>
        <v>27980</v>
      </c>
      <c r="E61" s="135">
        <f t="shared" si="35"/>
        <v>26425</v>
      </c>
      <c r="F61" s="135">
        <f t="shared" si="35"/>
        <v>25287</v>
      </c>
      <c r="G61" s="135">
        <f t="shared" si="35"/>
        <v>18205</v>
      </c>
      <c r="H61" s="135">
        <f t="shared" si="35"/>
        <v>19233.5</v>
      </c>
      <c r="I61" s="135">
        <f t="shared" si="35"/>
        <v>20262</v>
      </c>
      <c r="J61" s="135">
        <f t="shared" si="35"/>
        <v>21774</v>
      </c>
      <c r="K61" s="149">
        <f t="shared" si="35"/>
        <v>21774</v>
      </c>
      <c r="L61" s="482"/>
    </row>
    <row r="62" spans="1:12" ht="9" customHeight="1">
      <c r="A62" s="14" t="s">
        <v>16</v>
      </c>
      <c r="B62" s="137">
        <f>SUM(B63,B64)</f>
        <v>26716</v>
      </c>
      <c r="C62" s="137">
        <f aca="true" t="shared" si="36" ref="C62:K62">SUM(C63,C64)</f>
        <v>26713</v>
      </c>
      <c r="D62" s="137">
        <f t="shared" si="36"/>
        <v>27980</v>
      </c>
      <c r="E62" s="137">
        <f t="shared" si="36"/>
        <v>26425</v>
      </c>
      <c r="F62" s="137">
        <f t="shared" si="36"/>
        <v>25287</v>
      </c>
      <c r="G62" s="137">
        <f t="shared" si="36"/>
        <v>18205</v>
      </c>
      <c r="H62" s="137">
        <f t="shared" si="36"/>
        <v>19233.5</v>
      </c>
      <c r="I62" s="137">
        <f t="shared" si="36"/>
        <v>20262</v>
      </c>
      <c r="J62" s="137">
        <f t="shared" si="36"/>
        <v>21774</v>
      </c>
      <c r="K62" s="150">
        <f t="shared" si="36"/>
        <v>21774</v>
      </c>
      <c r="L62" s="483"/>
    </row>
    <row r="63" spans="1:12" ht="9" customHeight="1">
      <c r="A63" s="3" t="s">
        <v>25</v>
      </c>
      <c r="B63" s="188">
        <v>26716</v>
      </c>
      <c r="C63" s="197">
        <v>26713</v>
      </c>
      <c r="D63" s="188">
        <v>27980</v>
      </c>
      <c r="E63" s="472">
        <v>26425</v>
      </c>
      <c r="F63" s="472">
        <v>25287</v>
      </c>
      <c r="G63" s="472">
        <v>18205</v>
      </c>
      <c r="H63" s="472">
        <v>18216</v>
      </c>
      <c r="I63" s="472">
        <v>18227</v>
      </c>
      <c r="J63" s="472">
        <v>18239</v>
      </c>
      <c r="K63" s="473">
        <v>18239</v>
      </c>
      <c r="L63" s="480"/>
    </row>
    <row r="64" spans="1:12" ht="9" customHeight="1">
      <c r="A64" s="3" t="s">
        <v>26</v>
      </c>
      <c r="B64" s="197">
        <f>SUM(B65,B66)</f>
        <v>0</v>
      </c>
      <c r="C64" s="197">
        <f aca="true" t="shared" si="37" ref="C64:K64">SUM(C65,C66)</f>
        <v>0</v>
      </c>
      <c r="D64" s="197">
        <f t="shared" si="37"/>
        <v>0</v>
      </c>
      <c r="E64" s="197">
        <f t="shared" si="37"/>
        <v>0</v>
      </c>
      <c r="F64" s="197">
        <f t="shared" si="37"/>
        <v>0</v>
      </c>
      <c r="G64" s="197">
        <f t="shared" si="37"/>
        <v>0</v>
      </c>
      <c r="H64" s="197">
        <f>SUM(H65,H66)</f>
        <v>1017.5</v>
      </c>
      <c r="I64" s="197">
        <f t="shared" si="37"/>
        <v>2035</v>
      </c>
      <c r="J64" s="197">
        <f t="shared" si="37"/>
        <v>3535</v>
      </c>
      <c r="K64" s="198">
        <f t="shared" si="37"/>
        <v>3535</v>
      </c>
      <c r="L64" s="480"/>
    </row>
    <row r="65" spans="1:12" ht="9" customHeight="1">
      <c r="A65" s="38" t="s">
        <v>235</v>
      </c>
      <c r="B65" s="189">
        <v>0</v>
      </c>
      <c r="C65" s="189">
        <v>0</v>
      </c>
      <c r="D65" s="189">
        <v>0</v>
      </c>
      <c r="E65" s="189">
        <v>0</v>
      </c>
      <c r="F65" s="189">
        <v>0</v>
      </c>
      <c r="G65" s="189">
        <f>('Anexo 11'!$G$18)*1.85/1000</f>
        <v>0</v>
      </c>
      <c r="H65" s="189">
        <f>('Anexo 11'!$G$20)*1.85/1000</f>
        <v>1017.5</v>
      </c>
      <c r="I65" s="189">
        <f>('Anexo 11'!$G$21+'Anexo 11'!$G$22)*1.85/1000</f>
        <v>2035</v>
      </c>
      <c r="J65" s="189">
        <f>('Anexo 11'!$G$23+'Anexo 11'!$G$24)*1.85/1000</f>
        <v>2035</v>
      </c>
      <c r="K65" s="208">
        <f>('Anexo 11'!$G$25+'Anexo 11'!$G$26)*1.85/1000</f>
        <v>2035</v>
      </c>
      <c r="L65" s="480"/>
    </row>
    <row r="66" spans="1:12" ht="9" customHeight="1">
      <c r="A66" s="4" t="s">
        <v>146</v>
      </c>
      <c r="B66" s="197">
        <v>0</v>
      </c>
      <c r="C66" s="197">
        <v>0</v>
      </c>
      <c r="D66" s="197">
        <v>0</v>
      </c>
      <c r="E66" s="197">
        <v>0</v>
      </c>
      <c r="F66" s="197">
        <v>0</v>
      </c>
      <c r="G66" s="197">
        <v>0</v>
      </c>
      <c r="H66" s="197">
        <v>0</v>
      </c>
      <c r="I66" s="197">
        <v>0</v>
      </c>
      <c r="J66" s="197">
        <v>1500</v>
      </c>
      <c r="K66" s="198">
        <v>1500</v>
      </c>
      <c r="L66" s="480"/>
    </row>
    <row r="67" spans="1:12" ht="9" customHeight="1" thickBot="1">
      <c r="A67" s="37" t="s">
        <v>27</v>
      </c>
      <c r="B67" s="122">
        <f>+B5-B45</f>
        <v>77531.875</v>
      </c>
      <c r="C67" s="122">
        <f aca="true" t="shared" si="38" ref="C67:K67">+C5-C45</f>
        <v>76721.34349500015</v>
      </c>
      <c r="D67" s="122">
        <f t="shared" si="38"/>
        <v>107793.78839500016</v>
      </c>
      <c r="E67" s="122">
        <f t="shared" si="38"/>
        <v>122437.55241264985</v>
      </c>
      <c r="F67" s="122">
        <f t="shared" si="38"/>
        <v>133155.78666559793</v>
      </c>
      <c r="G67" s="122">
        <f t="shared" si="38"/>
        <v>137255.98723881505</v>
      </c>
      <c r="H67" s="122">
        <f t="shared" si="38"/>
        <v>133112.4974764539</v>
      </c>
      <c r="I67" s="122">
        <f t="shared" si="38"/>
        <v>124463.44491751562</v>
      </c>
      <c r="J67" s="122">
        <f t="shared" si="38"/>
        <v>113808.90890328004</v>
      </c>
      <c r="K67" s="133">
        <f t="shared" si="38"/>
        <v>102658.83347186726</v>
      </c>
      <c r="L67" s="477"/>
    </row>
    <row r="68" spans="1:11" ht="6" customHeight="1" thickBot="1">
      <c r="A68" s="18"/>
      <c r="B68" s="21"/>
      <c r="C68" s="19"/>
      <c r="D68" s="19"/>
      <c r="E68" s="19"/>
      <c r="F68" s="19"/>
      <c r="G68" s="19"/>
      <c r="H68" s="19"/>
      <c r="I68" s="19"/>
      <c r="J68" s="19"/>
      <c r="K68" s="20"/>
    </row>
    <row r="69" spans="1:11" ht="9" customHeight="1" thickBot="1">
      <c r="A69" s="528" t="s">
        <v>31</v>
      </c>
      <c r="B69" s="529"/>
      <c r="C69" s="529"/>
      <c r="D69" s="529"/>
      <c r="E69" s="529"/>
      <c r="F69" s="529"/>
      <c r="G69" s="530"/>
      <c r="H69" s="530"/>
      <c r="I69" s="530"/>
      <c r="J69" s="530"/>
      <c r="K69" s="531"/>
    </row>
    <row r="70" spans="1:11" ht="8.25" customHeight="1">
      <c r="A70" s="35" t="str">
        <f aca="true" t="shared" si="39" ref="A70:K70">+A5</f>
        <v>RECEITA ORÇAMENTÁRIA</v>
      </c>
      <c r="B70" s="134">
        <f t="shared" si="39"/>
        <v>1331262.125</v>
      </c>
      <c r="C70" s="134">
        <f t="shared" si="39"/>
        <v>1336097.5</v>
      </c>
      <c r="D70" s="134">
        <f t="shared" si="39"/>
        <v>1443159.625</v>
      </c>
      <c r="E70" s="134">
        <f t="shared" si="39"/>
        <v>1531395.865</v>
      </c>
      <c r="F70" s="134">
        <f t="shared" si="39"/>
        <v>1616612.9569</v>
      </c>
      <c r="G70" s="134">
        <f t="shared" si="39"/>
        <v>1711784.3418140002</v>
      </c>
      <c r="H70" s="134">
        <f t="shared" si="39"/>
        <v>1813238.2298228398</v>
      </c>
      <c r="I70" s="134">
        <f t="shared" si="39"/>
        <v>1921823.523612211</v>
      </c>
      <c r="J70" s="134">
        <f t="shared" si="39"/>
        <v>2036923.8750289434</v>
      </c>
      <c r="K70" s="192">
        <f t="shared" si="39"/>
        <v>2158930.1875306806</v>
      </c>
    </row>
    <row r="71" spans="1:11" ht="8.25" customHeight="1">
      <c r="A71" s="14" t="str">
        <f>+A17</f>
        <v>1.3.1.0. - Aplicações Financeiras</v>
      </c>
      <c r="B71" s="136">
        <f>-B17</f>
        <v>-62367</v>
      </c>
      <c r="C71" s="136">
        <f aca="true" t="shared" si="40" ref="C71:K71">-C17</f>
        <v>-29862</v>
      </c>
      <c r="D71" s="136">
        <f t="shared" si="40"/>
        <v>-27218</v>
      </c>
      <c r="E71" s="136">
        <f t="shared" si="40"/>
        <v>-28851.08</v>
      </c>
      <c r="F71" s="136">
        <f t="shared" si="40"/>
        <v>-30582.144800000002</v>
      </c>
      <c r="G71" s="136">
        <f t="shared" si="40"/>
        <v>-32417.073488</v>
      </c>
      <c r="H71" s="136">
        <f t="shared" si="40"/>
        <v>-34362.09789728</v>
      </c>
      <c r="I71" s="136">
        <f t="shared" si="40"/>
        <v>-36423.823771116804</v>
      </c>
      <c r="J71" s="136">
        <f t="shared" si="40"/>
        <v>-38609.25319738381</v>
      </c>
      <c r="K71" s="193">
        <f t="shared" si="40"/>
        <v>-40925.80838922684</v>
      </c>
    </row>
    <row r="72" spans="1:11" ht="8.25" customHeight="1">
      <c r="A72" s="16" t="str">
        <f>+A35</f>
        <v>2.1.0.0. - Operações de Crédito</v>
      </c>
      <c r="B72" s="135">
        <f>-B35</f>
        <v>-18474.125</v>
      </c>
      <c r="C72" s="135">
        <f aca="true" t="shared" si="41" ref="C72:K72">-C35</f>
        <v>-18368.5</v>
      </c>
      <c r="D72" s="135">
        <f t="shared" si="41"/>
        <v>-18968.625</v>
      </c>
      <c r="E72" s="135">
        <f t="shared" si="41"/>
        <v>-21495.63</v>
      </c>
      <c r="F72" s="135">
        <f t="shared" si="41"/>
        <v>-16118.707800000002</v>
      </c>
      <c r="G72" s="135">
        <f t="shared" si="41"/>
        <v>-15260.437768000003</v>
      </c>
      <c r="H72" s="135">
        <f t="shared" si="41"/>
        <v>-14922.891534080005</v>
      </c>
      <c r="I72" s="135">
        <f t="shared" si="41"/>
        <v>-15609.265026124805</v>
      </c>
      <c r="J72" s="135">
        <f t="shared" si="41"/>
        <v>-16336.760927692294</v>
      </c>
      <c r="K72" s="194">
        <f t="shared" si="41"/>
        <v>-17107.846583353832</v>
      </c>
    </row>
    <row r="73" spans="1:11" ht="8.25" customHeight="1">
      <c r="A73" s="16" t="str">
        <f>+A40</f>
        <v>2.2.0.0. - Alienação de Bens</v>
      </c>
      <c r="B73" s="187">
        <f>-B40</f>
        <v>-307</v>
      </c>
      <c r="C73" s="187">
        <f aca="true" t="shared" si="42" ref="C73:K73">-C40</f>
        <v>-320</v>
      </c>
      <c r="D73" s="187">
        <f t="shared" si="42"/>
        <v>-222</v>
      </c>
      <c r="E73" s="187">
        <f t="shared" si="42"/>
        <v>-235.32000000000002</v>
      </c>
      <c r="F73" s="187">
        <f t="shared" si="42"/>
        <v>-249.43920000000003</v>
      </c>
      <c r="G73" s="187">
        <f t="shared" si="42"/>
        <v>-264.40555200000006</v>
      </c>
      <c r="H73" s="187">
        <f t="shared" si="42"/>
        <v>-280.2698851200001</v>
      </c>
      <c r="I73" s="187">
        <f t="shared" si="42"/>
        <v>-297.0860782272001</v>
      </c>
      <c r="J73" s="187">
        <f t="shared" si="42"/>
        <v>-314.91124292083214</v>
      </c>
      <c r="K73" s="195">
        <f t="shared" si="42"/>
        <v>-333.8059174960821</v>
      </c>
    </row>
    <row r="74" spans="1:11" ht="8.25" customHeight="1">
      <c r="A74" s="15" t="s">
        <v>28</v>
      </c>
      <c r="B74" s="136">
        <f aca="true" t="shared" si="43" ref="B74:K74">SUM(B70:B73)</f>
        <v>1250114</v>
      </c>
      <c r="C74" s="136">
        <f t="shared" si="43"/>
        <v>1287547</v>
      </c>
      <c r="D74" s="136">
        <f t="shared" si="43"/>
        <v>1396751</v>
      </c>
      <c r="E74" s="136">
        <f t="shared" si="43"/>
        <v>1480813.835</v>
      </c>
      <c r="F74" s="136">
        <f t="shared" si="43"/>
        <v>1569662.6651000003</v>
      </c>
      <c r="G74" s="136">
        <f t="shared" si="43"/>
        <v>1663842.425006</v>
      </c>
      <c r="H74" s="136">
        <f t="shared" si="43"/>
        <v>1763672.9705063598</v>
      </c>
      <c r="I74" s="136">
        <f t="shared" si="43"/>
        <v>1869493.348736742</v>
      </c>
      <c r="J74" s="136">
        <f t="shared" si="43"/>
        <v>1981662.9496609464</v>
      </c>
      <c r="K74" s="193">
        <f t="shared" si="43"/>
        <v>2100562.726640604</v>
      </c>
    </row>
    <row r="75" spans="1:11" ht="8.25" customHeight="1">
      <c r="A75" s="14" t="str">
        <f>+A45</f>
        <v>DESPESAS ORÇAMENTÁRIAS</v>
      </c>
      <c r="B75" s="136">
        <f>+B45</f>
        <v>1253730.25</v>
      </c>
      <c r="C75" s="136">
        <f aca="true" t="shared" si="44" ref="C75:K75">+C45</f>
        <v>1259376.1565049998</v>
      </c>
      <c r="D75" s="136">
        <f t="shared" si="44"/>
        <v>1335365.8366049998</v>
      </c>
      <c r="E75" s="136">
        <f t="shared" si="44"/>
        <v>1408958.3125873501</v>
      </c>
      <c r="F75" s="136">
        <f t="shared" si="44"/>
        <v>1483457.1702344022</v>
      </c>
      <c r="G75" s="136">
        <f t="shared" si="44"/>
        <v>1574528.354575185</v>
      </c>
      <c r="H75" s="136">
        <f t="shared" si="44"/>
        <v>1680125.732346386</v>
      </c>
      <c r="I75" s="136">
        <f t="shared" si="44"/>
        <v>1797360.0786946954</v>
      </c>
      <c r="J75" s="136">
        <f t="shared" si="44"/>
        <v>1923114.9661256634</v>
      </c>
      <c r="K75" s="193">
        <f t="shared" si="44"/>
        <v>2056271.3540588133</v>
      </c>
    </row>
    <row r="76" spans="1:11" ht="8.25" customHeight="1">
      <c r="A76" s="16" t="str">
        <f>+A48</f>
        <v>3.2.0.0. - Juros e Encargos da Dívida</v>
      </c>
      <c r="B76" s="135">
        <f>-B48</f>
        <v>-18191</v>
      </c>
      <c r="C76" s="135">
        <f aca="true" t="shared" si="45" ref="C76:K76">-C48</f>
        <v>-23457.682375</v>
      </c>
      <c r="D76" s="135">
        <f t="shared" si="45"/>
        <v>-27378.634625</v>
      </c>
      <c r="E76" s="135">
        <f t="shared" si="45"/>
        <v>-29454.503968750003</v>
      </c>
      <c r="F76" s="135">
        <f t="shared" si="45"/>
        <v>-31663.080012500002</v>
      </c>
      <c r="G76" s="135">
        <f t="shared" si="45"/>
        <v>-33990.438037750006</v>
      </c>
      <c r="H76" s="135">
        <f t="shared" si="45"/>
        <v>-36307.25708883</v>
      </c>
      <c r="I76" s="135">
        <f t="shared" si="45"/>
        <v>-38861.612272548104</v>
      </c>
      <c r="J76" s="135">
        <f t="shared" si="45"/>
        <v>-41501.91886912647</v>
      </c>
      <c r="K76" s="194">
        <f t="shared" si="45"/>
        <v>-44548.35347746532</v>
      </c>
    </row>
    <row r="77" spans="1:11" ht="8.25" customHeight="1">
      <c r="A77" s="14" t="str">
        <f>+A62</f>
        <v>4.3.1.0. - Amortizações </v>
      </c>
      <c r="B77" s="136">
        <f>-B62</f>
        <v>-26716</v>
      </c>
      <c r="C77" s="136">
        <f aca="true" t="shared" si="46" ref="C77:K77">-C62</f>
        <v>-26713</v>
      </c>
      <c r="D77" s="136">
        <f t="shared" si="46"/>
        <v>-27980</v>
      </c>
      <c r="E77" s="136">
        <f t="shared" si="46"/>
        <v>-26425</v>
      </c>
      <c r="F77" s="136">
        <f t="shared" si="46"/>
        <v>-25287</v>
      </c>
      <c r="G77" s="136">
        <f t="shared" si="46"/>
        <v>-18205</v>
      </c>
      <c r="H77" s="136">
        <f t="shared" si="46"/>
        <v>-19233.5</v>
      </c>
      <c r="I77" s="136">
        <f t="shared" si="46"/>
        <v>-20262</v>
      </c>
      <c r="J77" s="136">
        <f t="shared" si="46"/>
        <v>-21774</v>
      </c>
      <c r="K77" s="193">
        <f t="shared" si="46"/>
        <v>-21774</v>
      </c>
    </row>
    <row r="78" spans="1:11" ht="8.25" customHeight="1">
      <c r="A78" s="15" t="s">
        <v>29</v>
      </c>
      <c r="B78" s="136">
        <f aca="true" t="shared" si="47" ref="B78:K78">SUM(B75:B77)</f>
        <v>1208823.25</v>
      </c>
      <c r="C78" s="136">
        <f t="shared" si="47"/>
        <v>1209205.4741299998</v>
      </c>
      <c r="D78" s="136">
        <f t="shared" si="47"/>
        <v>1280007.20198</v>
      </c>
      <c r="E78" s="136">
        <f t="shared" si="47"/>
        <v>1353078.8086186002</v>
      </c>
      <c r="F78" s="136">
        <f t="shared" si="47"/>
        <v>1426507.0902219021</v>
      </c>
      <c r="G78" s="136">
        <f t="shared" si="47"/>
        <v>1522332.916537435</v>
      </c>
      <c r="H78" s="136">
        <f t="shared" si="47"/>
        <v>1624584.975257556</v>
      </c>
      <c r="I78" s="136">
        <f t="shared" si="47"/>
        <v>1738236.4664221474</v>
      </c>
      <c r="J78" s="136">
        <f t="shared" si="47"/>
        <v>1859839.0472565368</v>
      </c>
      <c r="K78" s="193">
        <f t="shared" si="47"/>
        <v>1989949.000581348</v>
      </c>
    </row>
    <row r="79" spans="1:11" ht="8.25" customHeight="1" thickBot="1">
      <c r="A79" s="36" t="s">
        <v>30</v>
      </c>
      <c r="B79" s="138">
        <f aca="true" t="shared" si="48" ref="B79:K79">+B74-B78</f>
        <v>41290.75</v>
      </c>
      <c r="C79" s="138">
        <f t="shared" si="48"/>
        <v>78341.52587000025</v>
      </c>
      <c r="D79" s="138">
        <f t="shared" si="48"/>
        <v>116743.7980200001</v>
      </c>
      <c r="E79" s="138">
        <f t="shared" si="48"/>
        <v>127735.02638139972</v>
      </c>
      <c r="F79" s="138">
        <f t="shared" si="48"/>
        <v>143155.5748780982</v>
      </c>
      <c r="G79" s="138">
        <f t="shared" si="48"/>
        <v>141509.50846856507</v>
      </c>
      <c r="H79" s="138">
        <f t="shared" si="48"/>
        <v>139087.99524880387</v>
      </c>
      <c r="I79" s="138">
        <f t="shared" si="48"/>
        <v>131256.8823145947</v>
      </c>
      <c r="J79" s="138">
        <f t="shared" si="48"/>
        <v>121823.9024044096</v>
      </c>
      <c r="K79" s="196">
        <f t="shared" si="48"/>
        <v>110613.72605925589</v>
      </c>
    </row>
    <row r="80" spans="1:11" ht="8.25" customHeight="1">
      <c r="A80" s="9" t="s">
        <v>257</v>
      </c>
      <c r="B80" s="6"/>
      <c r="C80" s="6"/>
      <c r="D80" s="6"/>
      <c r="E80" s="6"/>
      <c r="F80" s="6"/>
      <c r="G80" s="6"/>
      <c r="H80" s="526" t="s">
        <v>245</v>
      </c>
      <c r="I80" s="526"/>
      <c r="J80" s="526"/>
      <c r="K80" s="526"/>
    </row>
    <row r="81" spans="1:11" ht="8.25" customHeight="1">
      <c r="A81" s="9" t="s">
        <v>262</v>
      </c>
      <c r="B81" s="6"/>
      <c r="C81" s="6"/>
      <c r="D81" s="6"/>
      <c r="E81" s="6"/>
      <c r="F81" s="6"/>
      <c r="G81" s="6"/>
      <c r="H81" s="2"/>
      <c r="I81" s="2"/>
      <c r="J81" s="2"/>
      <c r="K81" s="2"/>
    </row>
    <row r="82" spans="1:11" ht="8.25" customHeight="1">
      <c r="A82" s="9" t="s">
        <v>263</v>
      </c>
      <c r="B82" s="6"/>
      <c r="C82" s="6"/>
      <c r="D82" s="6"/>
      <c r="E82" s="6"/>
      <c r="F82" s="6"/>
      <c r="G82" s="6"/>
      <c r="H82" s="2"/>
      <c r="I82" s="2"/>
      <c r="J82" s="2"/>
      <c r="K82" s="2"/>
    </row>
    <row r="83" spans="1:7" ht="8.25" customHeight="1">
      <c r="A83" s="22"/>
      <c r="B83" s="5"/>
      <c r="C83" s="5"/>
      <c r="D83" s="23"/>
      <c r="E83" s="23"/>
      <c r="F83" s="23"/>
      <c r="G83" s="23"/>
    </row>
    <row r="84" ht="12.75">
      <c r="K84" t="s">
        <v>92</v>
      </c>
    </row>
  </sheetData>
  <sheetProtection/>
  <mergeCells count="4">
    <mergeCell ref="H80:K80"/>
    <mergeCell ref="A2:K2"/>
    <mergeCell ref="A69:K69"/>
    <mergeCell ref="A3:K3"/>
  </mergeCells>
  <printOptions horizontalCentered="1" verticalCentered="1"/>
  <pageMargins left="0.3937007874015748" right="0" top="1.1811023622047245" bottom="0.7874015748031497" header="0.2755905511811024" footer="0.4724409448818898"/>
  <pageSetup horizontalDpi="300" verticalDpi="300" orientation="portrait" paperSize="9" scale="95" r:id="rId1"/>
  <headerFooter alignWithMargins="0">
    <oddHeader>&amp;C&amp;"Arial Black,Normal"&amp;14PLANILHA VII&amp;"Arial,Negrito"&amp;10
&amp;12
PROJEÇÃO DAS RECEITAS, DAS DESPESAS E DO RESULTADO
PRIMÁRIO DO MUNICÍPIO DE LONDRINA - Período 2013 -2022&amp;R&amp;"Arial Black,Normal"&amp;14ANEXO 7
&amp;"Arial,Normal"&amp;12p. 1 de 1 &amp;10
</oddHeader>
    <oddFooter>&amp;R&amp;8__________________________________________________________________________
CONSULTORIA/93-13-JAR - Avaliação Financeira e Orçamentária do Município de Londrina&amp;10
&amp;6Anexo 7 - Londrina - PR.xls</oddFooter>
  </headerFooter>
  <ignoredErrors>
    <ignoredError sqref="E4:K4" numberStoredAsText="1"/>
    <ignoredError sqref="E36:K36 E48:K48 F30:K30 E26:K26 E16:K16 E30 E49:K4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zoomScale="150" zoomScaleNormal="150" zoomScalePageLayoutView="0" workbookViewId="0" topLeftCell="A19">
      <selection activeCell="A51" sqref="A51"/>
    </sheetView>
  </sheetViews>
  <sheetFormatPr defaultColWidth="9.140625" defaultRowHeight="12.75"/>
  <cols>
    <col min="1" max="1" width="27.57421875" style="0" customWidth="1"/>
    <col min="2" max="11" width="7.28125" style="0" customWidth="1"/>
  </cols>
  <sheetData>
    <row r="1" spans="1:11" ht="9.75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.75" customHeight="1" thickBot="1">
      <c r="A2" s="525" t="s">
        <v>236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</row>
    <row r="3" spans="1:11" ht="11.25" customHeight="1" thickBot="1">
      <c r="A3" s="532" t="s">
        <v>114</v>
      </c>
      <c r="B3" s="533"/>
      <c r="C3" s="533"/>
      <c r="D3" s="533"/>
      <c r="E3" s="533"/>
      <c r="F3" s="533"/>
      <c r="G3" s="533"/>
      <c r="H3" s="533"/>
      <c r="I3" s="533"/>
      <c r="J3" s="533"/>
      <c r="K3" s="534"/>
    </row>
    <row r="4" spans="1:11" ht="12" customHeight="1">
      <c r="A4" s="24" t="s">
        <v>12</v>
      </c>
      <c r="B4" s="25" t="s">
        <v>251</v>
      </c>
      <c r="C4" s="25" t="s">
        <v>221</v>
      </c>
      <c r="D4" s="25" t="s">
        <v>252</v>
      </c>
      <c r="E4" s="25" t="s">
        <v>142</v>
      </c>
      <c r="F4" s="25" t="s">
        <v>156</v>
      </c>
      <c r="G4" s="25" t="s">
        <v>177</v>
      </c>
      <c r="H4" s="25" t="s">
        <v>183</v>
      </c>
      <c r="I4" s="25" t="s">
        <v>184</v>
      </c>
      <c r="J4" s="25" t="s">
        <v>222</v>
      </c>
      <c r="K4" s="207" t="s">
        <v>253</v>
      </c>
    </row>
    <row r="5" spans="1:11" ht="12" customHeight="1">
      <c r="A5" s="17" t="s">
        <v>89</v>
      </c>
      <c r="B5" s="113">
        <f>+B6+B34+B33</f>
        <v>1331262</v>
      </c>
      <c r="C5" s="113">
        <f aca="true" t="shared" si="0" ref="C5:K5">+C6+C34+C33</f>
        <v>1330197</v>
      </c>
      <c r="D5" s="113">
        <f t="shared" si="0"/>
        <v>1432458</v>
      </c>
      <c r="E5" s="113">
        <f t="shared" si="0"/>
        <v>1518405.48</v>
      </c>
      <c r="F5" s="113">
        <f t="shared" si="0"/>
        <v>1609509.8088</v>
      </c>
      <c r="G5" s="113">
        <f t="shared" si="0"/>
        <v>1708580.397328</v>
      </c>
      <c r="H5" s="113">
        <f t="shared" si="0"/>
        <v>1811945.2211676799</v>
      </c>
      <c r="I5" s="113">
        <f t="shared" si="0"/>
        <v>1920452.934437741</v>
      </c>
      <c r="J5" s="113">
        <f t="shared" si="0"/>
        <v>2035471.0505040057</v>
      </c>
      <c r="K5" s="124">
        <f t="shared" si="0"/>
        <v>2157390.193534246</v>
      </c>
    </row>
    <row r="6" spans="1:11" ht="9" customHeight="1">
      <c r="A6" s="112" t="s">
        <v>0</v>
      </c>
      <c r="B6" s="118">
        <f>SUM(B7,B15,B16,B19,B20,B21,B22,B30-B44)</f>
        <v>1141016</v>
      </c>
      <c r="C6" s="118">
        <f aca="true" t="shared" si="1" ref="C6:K6">SUM(C7,C15,C16,C19,C20,C21,C22,C30-C44)</f>
        <v>1207739</v>
      </c>
      <c r="D6" s="118">
        <f t="shared" si="1"/>
        <v>1308639</v>
      </c>
      <c r="E6" s="118">
        <f t="shared" si="1"/>
        <v>1387157.34</v>
      </c>
      <c r="F6" s="118">
        <f t="shared" si="1"/>
        <v>1470386.7804</v>
      </c>
      <c r="G6" s="118">
        <f t="shared" si="1"/>
        <v>1558609.987224</v>
      </c>
      <c r="H6" s="118">
        <f t="shared" si="1"/>
        <v>1652126.58645744</v>
      </c>
      <c r="I6" s="118">
        <f t="shared" si="1"/>
        <v>1751254.1816448867</v>
      </c>
      <c r="J6" s="118">
        <f t="shared" si="1"/>
        <v>1856329.43254358</v>
      </c>
      <c r="K6" s="129">
        <f t="shared" si="1"/>
        <v>1967709.198496195</v>
      </c>
    </row>
    <row r="7" spans="1:11" ht="9" customHeight="1">
      <c r="A7" s="16" t="s">
        <v>17</v>
      </c>
      <c r="B7" s="115">
        <f>SUM(B8,B13,B14)</f>
        <v>372280</v>
      </c>
      <c r="C7" s="115">
        <f aca="true" t="shared" si="2" ref="C7:K7">SUM(C8,C13,C14)</f>
        <v>379050</v>
      </c>
      <c r="D7" s="115">
        <f t="shared" si="2"/>
        <v>414528</v>
      </c>
      <c r="E7" s="115">
        <f t="shared" si="2"/>
        <v>439399.68000000005</v>
      </c>
      <c r="F7" s="115">
        <f t="shared" si="2"/>
        <v>465763.66080000007</v>
      </c>
      <c r="G7" s="115">
        <f t="shared" si="2"/>
        <v>493709.480448</v>
      </c>
      <c r="H7" s="115">
        <f t="shared" si="2"/>
        <v>523332.0492748801</v>
      </c>
      <c r="I7" s="115">
        <f t="shared" si="2"/>
        <v>554731.972231373</v>
      </c>
      <c r="J7" s="115">
        <f t="shared" si="2"/>
        <v>588015.8905652554</v>
      </c>
      <c r="K7" s="126">
        <f t="shared" si="2"/>
        <v>623296.8439991707</v>
      </c>
    </row>
    <row r="8" spans="1:11" ht="9" customHeight="1">
      <c r="A8" s="14" t="s">
        <v>1</v>
      </c>
      <c r="B8" s="114">
        <f>SUM(B9,B10,B11,B12)</f>
        <v>350722</v>
      </c>
      <c r="C8" s="114">
        <f aca="true" t="shared" si="3" ref="C8:K8">SUM(C9,C10,C11,C12)</f>
        <v>356804</v>
      </c>
      <c r="D8" s="114">
        <f t="shared" si="3"/>
        <v>390668</v>
      </c>
      <c r="E8" s="114">
        <f t="shared" si="3"/>
        <v>414108.08</v>
      </c>
      <c r="F8" s="114">
        <f t="shared" si="3"/>
        <v>438954.56480000005</v>
      </c>
      <c r="G8" s="114">
        <f t="shared" si="3"/>
        <v>465291.83868800005</v>
      </c>
      <c r="H8" s="114">
        <f t="shared" si="3"/>
        <v>493209.3490092801</v>
      </c>
      <c r="I8" s="114">
        <f t="shared" si="3"/>
        <v>522801.90994983696</v>
      </c>
      <c r="J8" s="114">
        <f t="shared" si="3"/>
        <v>554170.0245468272</v>
      </c>
      <c r="K8" s="125">
        <f t="shared" si="3"/>
        <v>587420.2260196368</v>
      </c>
    </row>
    <row r="9" spans="1:11" ht="9" customHeight="1">
      <c r="A9" s="105" t="s">
        <v>94</v>
      </c>
      <c r="B9" s="116">
        <v>127952</v>
      </c>
      <c r="C9" s="116">
        <v>131952</v>
      </c>
      <c r="D9" s="116">
        <v>149500</v>
      </c>
      <c r="E9" s="116">
        <f aca="true" t="shared" si="4" ref="E9:K15">D9*(1.06)</f>
        <v>158470</v>
      </c>
      <c r="F9" s="116">
        <f t="shared" si="4"/>
        <v>167978.2</v>
      </c>
      <c r="G9" s="116">
        <f t="shared" si="4"/>
        <v>178056.89200000002</v>
      </c>
      <c r="H9" s="116">
        <f t="shared" si="4"/>
        <v>188740.30552000002</v>
      </c>
      <c r="I9" s="116">
        <f t="shared" si="4"/>
        <v>200064.72385120005</v>
      </c>
      <c r="J9" s="116">
        <f t="shared" si="4"/>
        <v>212068.60728227207</v>
      </c>
      <c r="K9" s="127">
        <f t="shared" si="4"/>
        <v>224792.7237192084</v>
      </c>
    </row>
    <row r="10" spans="1:11" ht="9" customHeight="1">
      <c r="A10" s="105" t="s">
        <v>148</v>
      </c>
      <c r="B10" s="116">
        <v>138500</v>
      </c>
      <c r="C10" s="116">
        <v>135980</v>
      </c>
      <c r="D10" s="116">
        <v>145300</v>
      </c>
      <c r="E10" s="116">
        <f t="shared" si="4"/>
        <v>154018</v>
      </c>
      <c r="F10" s="116">
        <f t="shared" si="4"/>
        <v>163259.08000000002</v>
      </c>
      <c r="G10" s="116">
        <f t="shared" si="4"/>
        <v>173054.62480000002</v>
      </c>
      <c r="H10" s="116">
        <f t="shared" si="4"/>
        <v>183437.90228800004</v>
      </c>
      <c r="I10" s="116">
        <f t="shared" si="4"/>
        <v>194444.17642528005</v>
      </c>
      <c r="J10" s="116">
        <f t="shared" si="4"/>
        <v>206110.82701079687</v>
      </c>
      <c r="K10" s="127">
        <f t="shared" si="4"/>
        <v>218477.4766314447</v>
      </c>
    </row>
    <row r="11" spans="1:11" ht="9" customHeight="1">
      <c r="A11" s="105" t="s">
        <v>127</v>
      </c>
      <c r="B11" s="116">
        <v>33687</v>
      </c>
      <c r="C11" s="116">
        <v>34104</v>
      </c>
      <c r="D11" s="116">
        <v>37468</v>
      </c>
      <c r="E11" s="116">
        <f t="shared" si="4"/>
        <v>39716.08</v>
      </c>
      <c r="F11" s="116">
        <f t="shared" si="4"/>
        <v>42099.0448</v>
      </c>
      <c r="G11" s="116">
        <f t="shared" si="4"/>
        <v>44624.987488000006</v>
      </c>
      <c r="H11" s="116">
        <f t="shared" si="4"/>
        <v>47302.48673728001</v>
      </c>
      <c r="I11" s="116">
        <f t="shared" si="4"/>
        <v>50140.63594151681</v>
      </c>
      <c r="J11" s="116">
        <f t="shared" si="4"/>
        <v>53149.074098007826</v>
      </c>
      <c r="K11" s="127">
        <f t="shared" si="4"/>
        <v>56338.0185438883</v>
      </c>
    </row>
    <row r="12" spans="1:11" ht="9" customHeight="1">
      <c r="A12" s="105" t="s">
        <v>147</v>
      </c>
      <c r="B12" s="116">
        <v>50583</v>
      </c>
      <c r="C12" s="116">
        <v>54768</v>
      </c>
      <c r="D12" s="116">
        <v>58400</v>
      </c>
      <c r="E12" s="116">
        <f t="shared" si="4"/>
        <v>61904</v>
      </c>
      <c r="F12" s="116">
        <f t="shared" si="4"/>
        <v>65618.24</v>
      </c>
      <c r="G12" s="116">
        <f t="shared" si="4"/>
        <v>69555.3344</v>
      </c>
      <c r="H12" s="116">
        <f t="shared" si="4"/>
        <v>73728.654464</v>
      </c>
      <c r="I12" s="116">
        <f t="shared" si="4"/>
        <v>78152.37373184001</v>
      </c>
      <c r="J12" s="116">
        <f t="shared" si="4"/>
        <v>82841.51615575042</v>
      </c>
      <c r="K12" s="127">
        <f t="shared" si="4"/>
        <v>87812.00712509545</v>
      </c>
    </row>
    <row r="13" spans="1:11" ht="9" customHeight="1">
      <c r="A13" s="106" t="s">
        <v>2</v>
      </c>
      <c r="B13" s="114">
        <v>21436</v>
      </c>
      <c r="C13" s="114">
        <v>22057</v>
      </c>
      <c r="D13" s="114">
        <v>23621</v>
      </c>
      <c r="E13" s="114">
        <f t="shared" si="4"/>
        <v>25038.260000000002</v>
      </c>
      <c r="F13" s="114">
        <f t="shared" si="4"/>
        <v>26540.555600000003</v>
      </c>
      <c r="G13" s="114">
        <f t="shared" si="4"/>
        <v>28132.988936000005</v>
      </c>
      <c r="H13" s="114">
        <f t="shared" si="4"/>
        <v>29820.968272160007</v>
      </c>
      <c r="I13" s="114">
        <f t="shared" si="4"/>
        <v>31610.22636848961</v>
      </c>
      <c r="J13" s="114">
        <f t="shared" si="4"/>
        <v>33506.83995059899</v>
      </c>
      <c r="K13" s="125">
        <f t="shared" si="4"/>
        <v>35517.25034763493</v>
      </c>
    </row>
    <row r="14" spans="1:11" ht="9" customHeight="1">
      <c r="A14" s="106" t="s">
        <v>104</v>
      </c>
      <c r="B14" s="114">
        <v>122</v>
      </c>
      <c r="C14" s="114">
        <v>189</v>
      </c>
      <c r="D14" s="114">
        <v>239</v>
      </c>
      <c r="E14" s="114">
        <f t="shared" si="4"/>
        <v>253.34</v>
      </c>
      <c r="F14" s="114">
        <f t="shared" si="4"/>
        <v>268.54040000000003</v>
      </c>
      <c r="G14" s="114">
        <f t="shared" si="4"/>
        <v>284.65282400000007</v>
      </c>
      <c r="H14" s="114">
        <f t="shared" si="4"/>
        <v>301.7319934400001</v>
      </c>
      <c r="I14" s="114">
        <f t="shared" si="4"/>
        <v>319.83591304640015</v>
      </c>
      <c r="J14" s="114">
        <f t="shared" si="4"/>
        <v>339.02606782918417</v>
      </c>
      <c r="K14" s="125">
        <f t="shared" si="4"/>
        <v>359.36763189893526</v>
      </c>
    </row>
    <row r="15" spans="1:11" ht="9" customHeight="1">
      <c r="A15" s="107" t="s">
        <v>86</v>
      </c>
      <c r="B15" s="115">
        <v>54951</v>
      </c>
      <c r="C15" s="115">
        <v>109791</v>
      </c>
      <c r="D15" s="115">
        <v>146302</v>
      </c>
      <c r="E15" s="115">
        <f t="shared" si="4"/>
        <v>155080.12</v>
      </c>
      <c r="F15" s="115">
        <f t="shared" si="4"/>
        <v>164384.9272</v>
      </c>
      <c r="G15" s="115">
        <f t="shared" si="4"/>
        <v>174248.02283200002</v>
      </c>
      <c r="H15" s="115">
        <f t="shared" si="4"/>
        <v>184702.90420192003</v>
      </c>
      <c r="I15" s="115">
        <f t="shared" si="4"/>
        <v>195785.07845403525</v>
      </c>
      <c r="J15" s="115">
        <f t="shared" si="4"/>
        <v>207532.18316127738</v>
      </c>
      <c r="K15" s="126">
        <f t="shared" si="4"/>
        <v>219984.11415095403</v>
      </c>
    </row>
    <row r="16" spans="1:11" ht="9" customHeight="1">
      <c r="A16" s="107" t="s">
        <v>3</v>
      </c>
      <c r="B16" s="119">
        <f>SUM(B17,B18)</f>
        <v>62836</v>
      </c>
      <c r="C16" s="119">
        <f aca="true" t="shared" si="5" ref="C16:K16">SUM(C17,C18)</f>
        <v>35882</v>
      </c>
      <c r="D16" s="119">
        <f t="shared" si="5"/>
        <v>34711</v>
      </c>
      <c r="E16" s="119">
        <f t="shared" si="5"/>
        <v>36793.66</v>
      </c>
      <c r="F16" s="119">
        <f t="shared" si="5"/>
        <v>39001.2796</v>
      </c>
      <c r="G16" s="119">
        <f t="shared" si="5"/>
        <v>41341.356376</v>
      </c>
      <c r="H16" s="119">
        <f t="shared" si="5"/>
        <v>43821.83775856</v>
      </c>
      <c r="I16" s="119">
        <f t="shared" si="5"/>
        <v>46451.148024073605</v>
      </c>
      <c r="J16" s="119">
        <f t="shared" si="5"/>
        <v>49238.21690551803</v>
      </c>
      <c r="K16" s="130">
        <f t="shared" si="5"/>
        <v>52192.50991984911</v>
      </c>
    </row>
    <row r="17" spans="1:11" ht="9" customHeight="1">
      <c r="A17" s="109" t="s">
        <v>13</v>
      </c>
      <c r="B17" s="114">
        <v>62367</v>
      </c>
      <c r="C17" s="114">
        <v>29862</v>
      </c>
      <c r="D17" s="114">
        <v>27218</v>
      </c>
      <c r="E17" s="114">
        <f>D17*(1.06)</f>
        <v>28851.08</v>
      </c>
      <c r="F17" s="114">
        <f aca="true" t="shared" si="6" ref="E17:K21">E17*(1.06)</f>
        <v>30582.144800000002</v>
      </c>
      <c r="G17" s="114">
        <f t="shared" si="6"/>
        <v>32417.073488</v>
      </c>
      <c r="H17" s="114">
        <f t="shared" si="6"/>
        <v>34362.09789728</v>
      </c>
      <c r="I17" s="114">
        <f t="shared" si="6"/>
        <v>36423.823771116804</v>
      </c>
      <c r="J17" s="114">
        <f t="shared" si="6"/>
        <v>38609.25319738381</v>
      </c>
      <c r="K17" s="125">
        <f t="shared" si="6"/>
        <v>40925.80838922684</v>
      </c>
    </row>
    <row r="18" spans="1:11" ht="9" customHeight="1">
      <c r="A18" s="106" t="s">
        <v>4</v>
      </c>
      <c r="B18" s="114">
        <v>469</v>
      </c>
      <c r="C18" s="114">
        <v>6020</v>
      </c>
      <c r="D18" s="114">
        <v>7493</v>
      </c>
      <c r="E18" s="114">
        <f aca="true" t="shared" si="7" ref="E18:K20">D18*(1.06)</f>
        <v>7942.580000000001</v>
      </c>
      <c r="F18" s="114">
        <f t="shared" si="6"/>
        <v>8419.134800000002</v>
      </c>
      <c r="G18" s="114">
        <f t="shared" si="6"/>
        <v>8924.282888000002</v>
      </c>
      <c r="H18" s="114">
        <f t="shared" si="6"/>
        <v>9459.739861280003</v>
      </c>
      <c r="I18" s="114">
        <f t="shared" si="6"/>
        <v>10027.324252956803</v>
      </c>
      <c r="J18" s="114">
        <f t="shared" si="6"/>
        <v>10628.963708134212</v>
      </c>
      <c r="K18" s="125">
        <f t="shared" si="6"/>
        <v>11266.701530622266</v>
      </c>
    </row>
    <row r="19" spans="1:11" ht="9" customHeight="1">
      <c r="A19" s="107" t="s">
        <v>267</v>
      </c>
      <c r="B19" s="115">
        <v>0</v>
      </c>
      <c r="C19" s="115">
        <v>0</v>
      </c>
      <c r="D19" s="115">
        <v>0</v>
      </c>
      <c r="E19" s="115">
        <f t="shared" si="7"/>
        <v>0</v>
      </c>
      <c r="F19" s="115">
        <f t="shared" si="7"/>
        <v>0</v>
      </c>
      <c r="G19" s="115">
        <f t="shared" si="7"/>
        <v>0</v>
      </c>
      <c r="H19" s="115">
        <f t="shared" si="7"/>
        <v>0</v>
      </c>
      <c r="I19" s="115">
        <f t="shared" si="7"/>
        <v>0</v>
      </c>
      <c r="J19" s="115">
        <f t="shared" si="7"/>
        <v>0</v>
      </c>
      <c r="K19" s="126">
        <f t="shared" si="7"/>
        <v>0</v>
      </c>
    </row>
    <row r="20" spans="1:11" ht="9" customHeight="1">
      <c r="A20" s="107" t="s">
        <v>205</v>
      </c>
      <c r="B20" s="115">
        <v>0</v>
      </c>
      <c r="C20" s="115">
        <v>0</v>
      </c>
      <c r="D20" s="115">
        <v>0</v>
      </c>
      <c r="E20" s="115">
        <f t="shared" si="7"/>
        <v>0</v>
      </c>
      <c r="F20" s="115">
        <f t="shared" si="7"/>
        <v>0</v>
      </c>
      <c r="G20" s="115">
        <f t="shared" si="7"/>
        <v>0</v>
      </c>
      <c r="H20" s="115">
        <f t="shared" si="7"/>
        <v>0</v>
      </c>
      <c r="I20" s="115">
        <f t="shared" si="7"/>
        <v>0</v>
      </c>
      <c r="J20" s="115">
        <f t="shared" si="7"/>
        <v>0</v>
      </c>
      <c r="K20" s="126">
        <f t="shared" si="7"/>
        <v>0</v>
      </c>
    </row>
    <row r="21" spans="1:11" ht="9" customHeight="1">
      <c r="A21" s="107" t="s">
        <v>95</v>
      </c>
      <c r="B21" s="115">
        <v>32775</v>
      </c>
      <c r="C21" s="115">
        <v>21105</v>
      </c>
      <c r="D21" s="115">
        <v>21815</v>
      </c>
      <c r="E21" s="115">
        <f t="shared" si="6"/>
        <v>23123.9</v>
      </c>
      <c r="F21" s="115">
        <f t="shared" si="6"/>
        <v>24511.334000000003</v>
      </c>
      <c r="G21" s="115">
        <f t="shared" si="6"/>
        <v>25982.014040000005</v>
      </c>
      <c r="H21" s="115">
        <f t="shared" si="6"/>
        <v>27540.934882400008</v>
      </c>
      <c r="I21" s="115">
        <f t="shared" si="6"/>
        <v>29193.39097534401</v>
      </c>
      <c r="J21" s="115">
        <f t="shared" si="6"/>
        <v>30944.994433864653</v>
      </c>
      <c r="K21" s="126">
        <f t="shared" si="6"/>
        <v>32801.69409989654</v>
      </c>
    </row>
    <row r="22" spans="1:11" ht="9" customHeight="1">
      <c r="A22" s="107" t="s">
        <v>14</v>
      </c>
      <c r="B22" s="115">
        <f>SUM(B23,B26,B29)</f>
        <v>571709</v>
      </c>
      <c r="C22" s="115">
        <f aca="true" t="shared" si="8" ref="C22:K22">SUM(C23,C26,C29)</f>
        <v>627178</v>
      </c>
      <c r="D22" s="115">
        <f t="shared" si="8"/>
        <v>660128</v>
      </c>
      <c r="E22" s="115">
        <f t="shared" si="8"/>
        <v>699735.68</v>
      </c>
      <c r="F22" s="115">
        <f t="shared" si="8"/>
        <v>741719.8208000001</v>
      </c>
      <c r="G22" s="115">
        <f t="shared" si="8"/>
        <v>786223.0100479999</v>
      </c>
      <c r="H22" s="115">
        <f t="shared" si="8"/>
        <v>833396.39065088</v>
      </c>
      <c r="I22" s="115">
        <f t="shared" si="8"/>
        <v>883400.1740899329</v>
      </c>
      <c r="J22" s="115">
        <f t="shared" si="8"/>
        <v>936404.1845353289</v>
      </c>
      <c r="K22" s="126">
        <f t="shared" si="8"/>
        <v>992588.4356074487</v>
      </c>
    </row>
    <row r="23" spans="1:11" ht="9" customHeight="1">
      <c r="A23" s="106" t="s">
        <v>96</v>
      </c>
      <c r="B23" s="114">
        <f>SUM(B24,B25)</f>
        <v>277314</v>
      </c>
      <c r="C23" s="114">
        <f aca="true" t="shared" si="9" ref="C23:K23">SUM(C24,C25)</f>
        <v>290600</v>
      </c>
      <c r="D23" s="114">
        <f t="shared" si="9"/>
        <v>326250</v>
      </c>
      <c r="E23" s="114">
        <f t="shared" si="9"/>
        <v>345825</v>
      </c>
      <c r="F23" s="114">
        <f t="shared" si="9"/>
        <v>366574.5</v>
      </c>
      <c r="G23" s="114">
        <f t="shared" si="9"/>
        <v>388568.97</v>
      </c>
      <c r="H23" s="114">
        <f t="shared" si="9"/>
        <v>411883.1082</v>
      </c>
      <c r="I23" s="114">
        <f t="shared" si="9"/>
        <v>436596.094692</v>
      </c>
      <c r="J23" s="114">
        <f t="shared" si="9"/>
        <v>462791.86037352006</v>
      </c>
      <c r="K23" s="125">
        <f t="shared" si="9"/>
        <v>490559.37199593126</v>
      </c>
    </row>
    <row r="24" spans="1:11" ht="9" customHeight="1">
      <c r="A24" s="105" t="s">
        <v>97</v>
      </c>
      <c r="B24" s="116">
        <v>78000</v>
      </c>
      <c r="C24" s="116">
        <v>85200</v>
      </c>
      <c r="D24" s="116">
        <v>89100</v>
      </c>
      <c r="E24" s="116">
        <f>D24*(1.06)</f>
        <v>94446</v>
      </c>
      <c r="F24" s="116">
        <f aca="true" t="shared" si="10" ref="F24:K25">E24*(1.06)</f>
        <v>100112.76000000001</v>
      </c>
      <c r="G24" s="116">
        <f t="shared" si="10"/>
        <v>106119.52560000001</v>
      </c>
      <c r="H24" s="116">
        <f t="shared" si="10"/>
        <v>112486.69713600002</v>
      </c>
      <c r="I24" s="116">
        <f t="shared" si="10"/>
        <v>119235.89896416002</v>
      </c>
      <c r="J24" s="116">
        <f t="shared" si="10"/>
        <v>126390.05290200963</v>
      </c>
      <c r="K24" s="127">
        <f t="shared" si="10"/>
        <v>133973.4560761302</v>
      </c>
    </row>
    <row r="25" spans="1:11" ht="9" customHeight="1">
      <c r="A25" s="105" t="s">
        <v>140</v>
      </c>
      <c r="B25" s="116">
        <v>199314</v>
      </c>
      <c r="C25" s="116">
        <v>205400</v>
      </c>
      <c r="D25" s="116">
        <v>237150</v>
      </c>
      <c r="E25" s="116">
        <f>D25*(1.06)</f>
        <v>251379</v>
      </c>
      <c r="F25" s="116">
        <f t="shared" si="10"/>
        <v>266461.74</v>
      </c>
      <c r="G25" s="116">
        <f t="shared" si="10"/>
        <v>282449.4444</v>
      </c>
      <c r="H25" s="116">
        <f t="shared" si="10"/>
        <v>299396.411064</v>
      </c>
      <c r="I25" s="116">
        <f t="shared" si="10"/>
        <v>317360.19572784</v>
      </c>
      <c r="J25" s="116">
        <f t="shared" si="10"/>
        <v>336401.80747151043</v>
      </c>
      <c r="K25" s="127">
        <f t="shared" si="10"/>
        <v>356585.91591980105</v>
      </c>
    </row>
    <row r="26" spans="1:11" ht="9" customHeight="1">
      <c r="A26" s="106" t="s">
        <v>98</v>
      </c>
      <c r="B26" s="114">
        <f>SUM(B27,B28)</f>
        <v>204200</v>
      </c>
      <c r="C26" s="114">
        <f aca="true" t="shared" si="11" ref="C26:K26">SUM(C27,C28)</f>
        <v>249602</v>
      </c>
      <c r="D26" s="114">
        <f t="shared" si="11"/>
        <v>210286</v>
      </c>
      <c r="E26" s="114">
        <f t="shared" si="11"/>
        <v>222903.16</v>
      </c>
      <c r="F26" s="114">
        <f t="shared" si="11"/>
        <v>236277.34960000002</v>
      </c>
      <c r="G26" s="114">
        <f t="shared" si="11"/>
        <v>250453.990576</v>
      </c>
      <c r="H26" s="114">
        <f t="shared" si="11"/>
        <v>265481.23001056</v>
      </c>
      <c r="I26" s="114">
        <f t="shared" si="11"/>
        <v>281410.10381119367</v>
      </c>
      <c r="J26" s="114">
        <f t="shared" si="11"/>
        <v>298294.7100398653</v>
      </c>
      <c r="K26" s="125">
        <f t="shared" si="11"/>
        <v>316192.3926422572</v>
      </c>
    </row>
    <row r="27" spans="1:11" ht="9" customHeight="1">
      <c r="A27" s="105" t="s">
        <v>99</v>
      </c>
      <c r="B27" s="116">
        <v>129708</v>
      </c>
      <c r="C27" s="116">
        <v>159800</v>
      </c>
      <c r="D27" s="116">
        <v>138000</v>
      </c>
      <c r="E27" s="116">
        <f>D27*(1.06)</f>
        <v>146280</v>
      </c>
      <c r="F27" s="116">
        <f aca="true" t="shared" si="12" ref="F27:K29">E27*(1.06)</f>
        <v>155056.80000000002</v>
      </c>
      <c r="G27" s="116">
        <f t="shared" si="12"/>
        <v>164360.208</v>
      </c>
      <c r="H27" s="116">
        <f t="shared" si="12"/>
        <v>174221.82048000002</v>
      </c>
      <c r="I27" s="116">
        <f t="shared" si="12"/>
        <v>184675.12970880003</v>
      </c>
      <c r="J27" s="116">
        <f t="shared" si="12"/>
        <v>195755.63749132803</v>
      </c>
      <c r="K27" s="127">
        <f t="shared" si="12"/>
        <v>207500.9757408077</v>
      </c>
    </row>
    <row r="28" spans="1:11" ht="9" customHeight="1">
      <c r="A28" s="105" t="s">
        <v>194</v>
      </c>
      <c r="B28" s="116">
        <v>74492</v>
      </c>
      <c r="C28" s="116">
        <v>89802</v>
      </c>
      <c r="D28" s="116">
        <v>72286</v>
      </c>
      <c r="E28" s="116">
        <f>D28*(1.06)</f>
        <v>76623.16</v>
      </c>
      <c r="F28" s="116">
        <f t="shared" si="12"/>
        <v>81220.54960000001</v>
      </c>
      <c r="G28" s="116">
        <f t="shared" si="12"/>
        <v>86093.78257600001</v>
      </c>
      <c r="H28" s="116">
        <f t="shared" si="12"/>
        <v>91259.40953056002</v>
      </c>
      <c r="I28" s="116">
        <f t="shared" si="12"/>
        <v>96734.97410239362</v>
      </c>
      <c r="J28" s="116">
        <f t="shared" si="12"/>
        <v>102539.07254853724</v>
      </c>
      <c r="K28" s="127">
        <f t="shared" si="12"/>
        <v>108691.41690144948</v>
      </c>
    </row>
    <row r="29" spans="1:11" ht="9" customHeight="1">
      <c r="A29" s="106" t="s">
        <v>100</v>
      </c>
      <c r="B29" s="114">
        <v>90195</v>
      </c>
      <c r="C29" s="114">
        <v>86976</v>
      </c>
      <c r="D29" s="114">
        <v>123592</v>
      </c>
      <c r="E29" s="114">
        <f>D29*(1.06)</f>
        <v>131007.52</v>
      </c>
      <c r="F29" s="114">
        <f t="shared" si="12"/>
        <v>138867.9712</v>
      </c>
      <c r="G29" s="114">
        <f t="shared" si="12"/>
        <v>147200.049472</v>
      </c>
      <c r="H29" s="114">
        <f t="shared" si="12"/>
        <v>156032.05244032003</v>
      </c>
      <c r="I29" s="114">
        <f t="shared" si="12"/>
        <v>165393.97558673922</v>
      </c>
      <c r="J29" s="114">
        <f t="shared" si="12"/>
        <v>175317.6141219436</v>
      </c>
      <c r="K29" s="125">
        <f t="shared" si="12"/>
        <v>185836.67096926022</v>
      </c>
    </row>
    <row r="30" spans="1:11" ht="9" customHeight="1">
      <c r="A30" s="108" t="s">
        <v>85</v>
      </c>
      <c r="B30" s="115">
        <f>SUM(B31,B32)</f>
        <v>100285</v>
      </c>
      <c r="C30" s="115">
        <f aca="true" t="shared" si="13" ref="C30:K30">SUM(C31,C32)</f>
        <v>101000</v>
      </c>
      <c r="D30" s="115">
        <f t="shared" si="13"/>
        <v>106280</v>
      </c>
      <c r="E30" s="115">
        <f t="shared" si="13"/>
        <v>112656.8</v>
      </c>
      <c r="F30" s="115">
        <f t="shared" si="13"/>
        <v>119416.20800000001</v>
      </c>
      <c r="G30" s="115">
        <f t="shared" si="13"/>
        <v>126581.18048000001</v>
      </c>
      <c r="H30" s="115">
        <f t="shared" si="13"/>
        <v>134176.05130880003</v>
      </c>
      <c r="I30" s="115">
        <f t="shared" si="13"/>
        <v>142226.61438732804</v>
      </c>
      <c r="J30" s="115">
        <f t="shared" si="13"/>
        <v>150760.21125056772</v>
      </c>
      <c r="K30" s="126">
        <f t="shared" si="13"/>
        <v>159805.82392560178</v>
      </c>
    </row>
    <row r="31" spans="1:11" ht="9" customHeight="1">
      <c r="A31" s="109" t="s">
        <v>138</v>
      </c>
      <c r="B31" s="114">
        <v>47384</v>
      </c>
      <c r="C31" s="114">
        <v>54690</v>
      </c>
      <c r="D31" s="114">
        <v>57100</v>
      </c>
      <c r="E31" s="114">
        <f>D31*(1.06)</f>
        <v>60526</v>
      </c>
      <c r="F31" s="114">
        <f aca="true" t="shared" si="14" ref="F31:K33">E31*(1.06)</f>
        <v>64157.560000000005</v>
      </c>
      <c r="G31" s="114">
        <f t="shared" si="14"/>
        <v>68007.0136</v>
      </c>
      <c r="H31" s="114">
        <f t="shared" si="14"/>
        <v>72087.434416</v>
      </c>
      <c r="I31" s="114">
        <f t="shared" si="14"/>
        <v>76412.68048096001</v>
      </c>
      <c r="J31" s="114">
        <f t="shared" si="14"/>
        <v>80997.44130981762</v>
      </c>
      <c r="K31" s="125">
        <f t="shared" si="14"/>
        <v>85857.28778840668</v>
      </c>
    </row>
    <row r="32" spans="1:11" ht="9" customHeight="1">
      <c r="A32" s="109" t="s">
        <v>139</v>
      </c>
      <c r="B32" s="114">
        <v>52901</v>
      </c>
      <c r="C32" s="114">
        <v>46310</v>
      </c>
      <c r="D32" s="114">
        <v>49180</v>
      </c>
      <c r="E32" s="114">
        <f>D32*(1.06)</f>
        <v>52130.8</v>
      </c>
      <c r="F32" s="114">
        <f t="shared" si="14"/>
        <v>55258.64800000001</v>
      </c>
      <c r="G32" s="114">
        <f t="shared" si="14"/>
        <v>58574.16688000001</v>
      </c>
      <c r="H32" s="114">
        <f t="shared" si="14"/>
        <v>62088.61689280002</v>
      </c>
      <c r="I32" s="114">
        <f t="shared" si="14"/>
        <v>65813.93390636802</v>
      </c>
      <c r="J32" s="114">
        <f t="shared" si="14"/>
        <v>69762.7699407501</v>
      </c>
      <c r="K32" s="125">
        <f t="shared" si="14"/>
        <v>73948.53613719511</v>
      </c>
    </row>
    <row r="33" spans="1:11" ht="9" customHeight="1">
      <c r="A33" s="109" t="s">
        <v>209</v>
      </c>
      <c r="B33" s="402">
        <v>114854</v>
      </c>
      <c r="C33" s="115">
        <v>96263</v>
      </c>
      <c r="D33" s="115">
        <v>98125</v>
      </c>
      <c r="E33" s="114">
        <f>D33*(1.06)</f>
        <v>104012.5</v>
      </c>
      <c r="F33" s="114">
        <f t="shared" si="14"/>
        <v>110253.25</v>
      </c>
      <c r="G33" s="114">
        <f t="shared" si="14"/>
        <v>116868.445</v>
      </c>
      <c r="H33" s="114">
        <f t="shared" si="14"/>
        <v>123880.55170000001</v>
      </c>
      <c r="I33" s="114">
        <f t="shared" si="14"/>
        <v>131313.38480200002</v>
      </c>
      <c r="J33" s="114">
        <f t="shared" si="14"/>
        <v>139192.18789012003</v>
      </c>
      <c r="K33" s="125">
        <f t="shared" si="14"/>
        <v>147543.71916352725</v>
      </c>
    </row>
    <row r="34" spans="1:11" ht="9" customHeight="1">
      <c r="A34" s="110" t="s">
        <v>5</v>
      </c>
      <c r="B34" s="118">
        <f>SUM(B35,B40,B41,B42,B43)</f>
        <v>75392</v>
      </c>
      <c r="C34" s="118">
        <f aca="true" t="shared" si="15" ref="C34:K34">SUM(C35,C40,C41,C42,C43)</f>
        <v>26195</v>
      </c>
      <c r="D34" s="118">
        <f t="shared" si="15"/>
        <v>25694</v>
      </c>
      <c r="E34" s="118">
        <f t="shared" si="15"/>
        <v>27235.640000000003</v>
      </c>
      <c r="F34" s="118">
        <f t="shared" si="15"/>
        <v>28869.778400000007</v>
      </c>
      <c r="G34" s="118">
        <f t="shared" si="15"/>
        <v>33101.96510400001</v>
      </c>
      <c r="H34" s="118">
        <f t="shared" si="15"/>
        <v>35938.083010240014</v>
      </c>
      <c r="I34" s="118">
        <f t="shared" si="15"/>
        <v>37885.367990854415</v>
      </c>
      <c r="J34" s="118">
        <f t="shared" si="15"/>
        <v>39949.43007030568</v>
      </c>
      <c r="K34" s="129">
        <f t="shared" si="15"/>
        <v>42137.27587452401</v>
      </c>
    </row>
    <row r="35" spans="1:11" ht="9" customHeight="1">
      <c r="A35" s="107" t="s">
        <v>18</v>
      </c>
      <c r="B35" s="119">
        <f>SUM(B36,B37)</f>
        <v>18474</v>
      </c>
      <c r="C35" s="119">
        <f aca="true" t="shared" si="16" ref="C35:K35">SUM(C36,C37)</f>
        <v>10432</v>
      </c>
      <c r="D35" s="119">
        <f t="shared" si="16"/>
        <v>9048</v>
      </c>
      <c r="E35" s="119">
        <f t="shared" si="16"/>
        <v>9590.880000000001</v>
      </c>
      <c r="F35" s="119">
        <f t="shared" si="16"/>
        <v>10166.332800000002</v>
      </c>
      <c r="G35" s="119">
        <f t="shared" si="16"/>
        <v>13276.312768000003</v>
      </c>
      <c r="H35" s="119">
        <f t="shared" si="16"/>
        <v>14922.891534080005</v>
      </c>
      <c r="I35" s="119">
        <f t="shared" si="16"/>
        <v>15609.265026124805</v>
      </c>
      <c r="J35" s="119">
        <f t="shared" si="16"/>
        <v>16336.760927692294</v>
      </c>
      <c r="K35" s="130">
        <f t="shared" si="16"/>
        <v>17107.846583353832</v>
      </c>
    </row>
    <row r="36" spans="1:11" ht="9" customHeight="1">
      <c r="A36" s="14" t="s">
        <v>143</v>
      </c>
      <c r="B36" s="121">
        <v>18474</v>
      </c>
      <c r="C36" s="121">
        <v>10432</v>
      </c>
      <c r="D36" s="121">
        <v>9048</v>
      </c>
      <c r="E36" s="114">
        <f aca="true" t="shared" si="17" ref="E36:K36">D36*(1.06)</f>
        <v>9590.880000000001</v>
      </c>
      <c r="F36" s="114">
        <f t="shared" si="17"/>
        <v>10166.332800000002</v>
      </c>
      <c r="G36" s="114">
        <f t="shared" si="17"/>
        <v>10776.312768000003</v>
      </c>
      <c r="H36" s="114">
        <f t="shared" si="17"/>
        <v>11422.891534080005</v>
      </c>
      <c r="I36" s="114">
        <f t="shared" si="17"/>
        <v>12108.265026124805</v>
      </c>
      <c r="J36" s="114">
        <f t="shared" si="17"/>
        <v>12834.760927692294</v>
      </c>
      <c r="K36" s="125">
        <f t="shared" si="17"/>
        <v>13604.846583353832</v>
      </c>
    </row>
    <row r="37" spans="1:11" ht="9" customHeight="1">
      <c r="A37" s="14" t="s">
        <v>144</v>
      </c>
      <c r="B37" s="121">
        <f>SUM(B38+B39)</f>
        <v>0</v>
      </c>
      <c r="C37" s="121">
        <f>SUM(C38+C39)</f>
        <v>0</v>
      </c>
      <c r="D37" s="121">
        <f>SUM(D38+D39)</f>
        <v>0</v>
      </c>
      <c r="E37" s="121">
        <f aca="true" t="shared" si="18" ref="E37:K37">SUM(E38,E39)</f>
        <v>0</v>
      </c>
      <c r="F37" s="121">
        <f t="shared" si="18"/>
        <v>0</v>
      </c>
      <c r="G37" s="121">
        <f t="shared" si="18"/>
        <v>2500</v>
      </c>
      <c r="H37" s="121">
        <f t="shared" si="18"/>
        <v>3500</v>
      </c>
      <c r="I37" s="121">
        <f t="shared" si="18"/>
        <v>3501</v>
      </c>
      <c r="J37" s="121">
        <f t="shared" si="18"/>
        <v>3502</v>
      </c>
      <c r="K37" s="132">
        <f t="shared" si="18"/>
        <v>3503</v>
      </c>
    </row>
    <row r="38" spans="1:11" ht="9" customHeight="1">
      <c r="A38" s="38" t="s">
        <v>232</v>
      </c>
      <c r="B38" s="189">
        <v>0</v>
      </c>
      <c r="C38" s="189">
        <v>0</v>
      </c>
      <c r="D38" s="189">
        <v>0</v>
      </c>
      <c r="E38" s="189">
        <v>0</v>
      </c>
      <c r="F38" s="189">
        <v>0</v>
      </c>
      <c r="G38" s="189">
        <v>0</v>
      </c>
      <c r="H38" s="120">
        <v>0</v>
      </c>
      <c r="I38" s="120">
        <v>0</v>
      </c>
      <c r="J38" s="120">
        <v>0</v>
      </c>
      <c r="K38" s="131">
        <v>0</v>
      </c>
    </row>
    <row r="39" spans="1:11" ht="9" customHeight="1">
      <c r="A39" s="3" t="s">
        <v>149</v>
      </c>
      <c r="B39" s="117">
        <v>0</v>
      </c>
      <c r="C39" s="117">
        <v>0</v>
      </c>
      <c r="D39" s="117">
        <v>0</v>
      </c>
      <c r="E39" s="117">
        <v>0</v>
      </c>
      <c r="F39" s="117">
        <v>0</v>
      </c>
      <c r="G39" s="117">
        <v>2500</v>
      </c>
      <c r="H39" s="117">
        <v>3500</v>
      </c>
      <c r="I39" s="117">
        <v>3501</v>
      </c>
      <c r="J39" s="117">
        <v>3502</v>
      </c>
      <c r="K39" s="128">
        <v>3503</v>
      </c>
    </row>
    <row r="40" spans="1:11" ht="9" customHeight="1">
      <c r="A40" s="107" t="s">
        <v>15</v>
      </c>
      <c r="B40" s="119">
        <v>307</v>
      </c>
      <c r="C40" s="119">
        <v>201</v>
      </c>
      <c r="D40" s="119">
        <v>192</v>
      </c>
      <c r="E40" s="115">
        <f aca="true" t="shared" si="19" ref="E40:K40">D40*(1.06)</f>
        <v>203.52</v>
      </c>
      <c r="F40" s="115">
        <f t="shared" si="19"/>
        <v>215.73120000000003</v>
      </c>
      <c r="G40" s="115">
        <f t="shared" si="19"/>
        <v>228.67507200000006</v>
      </c>
      <c r="H40" s="115">
        <f t="shared" si="19"/>
        <v>242.39557632000006</v>
      </c>
      <c r="I40" s="115">
        <f t="shared" si="19"/>
        <v>256.93931089920005</v>
      </c>
      <c r="J40" s="115">
        <f t="shared" si="19"/>
        <v>272.3556695531521</v>
      </c>
      <c r="K40" s="126">
        <f t="shared" si="19"/>
        <v>288.69700972634126</v>
      </c>
    </row>
    <row r="41" spans="1:11" ht="9" customHeight="1">
      <c r="A41" s="107" t="s">
        <v>206</v>
      </c>
      <c r="B41" s="119">
        <v>0</v>
      </c>
      <c r="C41" s="119">
        <v>0</v>
      </c>
      <c r="D41" s="119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26">
        <v>0</v>
      </c>
    </row>
    <row r="42" spans="1:11" ht="9" customHeight="1">
      <c r="A42" s="107" t="s">
        <v>20</v>
      </c>
      <c r="B42" s="119">
        <v>55582</v>
      </c>
      <c r="C42" s="119">
        <v>15544</v>
      </c>
      <c r="D42" s="119">
        <v>16437</v>
      </c>
      <c r="E42" s="115">
        <f aca="true" t="shared" si="20" ref="E42:K44">D42*(1.06)</f>
        <v>17423.22</v>
      </c>
      <c r="F42" s="115">
        <f t="shared" si="20"/>
        <v>18468.613200000003</v>
      </c>
      <c r="G42" s="115">
        <f t="shared" si="20"/>
        <v>19576.729992000004</v>
      </c>
      <c r="H42" s="115">
        <f t="shared" si="20"/>
        <v>20751.333791520006</v>
      </c>
      <c r="I42" s="115">
        <f t="shared" si="20"/>
        <v>21996.413819011206</v>
      </c>
      <c r="J42" s="115">
        <f t="shared" si="20"/>
        <v>23316.19864815188</v>
      </c>
      <c r="K42" s="126">
        <f t="shared" si="20"/>
        <v>24715.170567040994</v>
      </c>
    </row>
    <row r="43" spans="1:11" ht="9" customHeight="1">
      <c r="A43" s="107" t="s">
        <v>6</v>
      </c>
      <c r="B43" s="119">
        <v>1029</v>
      </c>
      <c r="C43" s="119">
        <v>18</v>
      </c>
      <c r="D43" s="119">
        <v>17</v>
      </c>
      <c r="E43" s="115">
        <f>D43*(1.06)</f>
        <v>18.02</v>
      </c>
      <c r="F43" s="115">
        <f t="shared" si="20"/>
        <v>19.101200000000002</v>
      </c>
      <c r="G43" s="115">
        <f t="shared" si="20"/>
        <v>20.247272000000002</v>
      </c>
      <c r="H43" s="115">
        <f t="shared" si="20"/>
        <v>21.462108320000002</v>
      </c>
      <c r="I43" s="115">
        <f t="shared" si="20"/>
        <v>22.749834819200004</v>
      </c>
      <c r="J43" s="115">
        <f t="shared" si="20"/>
        <v>24.114824908352006</v>
      </c>
      <c r="K43" s="126">
        <f t="shared" si="20"/>
        <v>25.561714402853127</v>
      </c>
    </row>
    <row r="44" spans="1:11" ht="9" customHeight="1">
      <c r="A44" s="111" t="s">
        <v>179</v>
      </c>
      <c r="B44" s="406">
        <v>53820</v>
      </c>
      <c r="C44" s="137">
        <v>66267</v>
      </c>
      <c r="D44" s="137">
        <v>75125</v>
      </c>
      <c r="E44" s="114">
        <f>D44*(1.06)</f>
        <v>79632.5</v>
      </c>
      <c r="F44" s="114">
        <f t="shared" si="20"/>
        <v>84410.45</v>
      </c>
      <c r="G44" s="230">
        <f t="shared" si="20"/>
        <v>89475.077</v>
      </c>
      <c r="H44" s="114">
        <f t="shared" si="20"/>
        <v>94843.58162000001</v>
      </c>
      <c r="I44" s="114">
        <f t="shared" si="20"/>
        <v>100534.19651720002</v>
      </c>
      <c r="J44" s="230">
        <f t="shared" si="20"/>
        <v>106566.24830823203</v>
      </c>
      <c r="K44" s="125">
        <f t="shared" si="20"/>
        <v>112960.22320672595</v>
      </c>
    </row>
    <row r="45" spans="1:11" ht="9" customHeight="1">
      <c r="A45" s="107" t="s">
        <v>115</v>
      </c>
      <c r="B45" s="119">
        <f>SUM(B46,B54)</f>
        <v>1253730</v>
      </c>
      <c r="C45" s="119">
        <f aca="true" t="shared" si="21" ref="C45:K45">SUM(C46,C54)</f>
        <v>1255243.47413</v>
      </c>
      <c r="D45" s="119">
        <f t="shared" si="21"/>
        <v>1331101.95198</v>
      </c>
      <c r="E45" s="119">
        <f t="shared" si="21"/>
        <v>1408482.1186186</v>
      </c>
      <c r="F45" s="119">
        <f t="shared" si="21"/>
        <v>1490737.746921902</v>
      </c>
      <c r="G45" s="119">
        <f t="shared" si="21"/>
        <v>1577758.4717064353</v>
      </c>
      <c r="H45" s="119">
        <f t="shared" si="21"/>
        <v>1686874.7467883858</v>
      </c>
      <c r="I45" s="119">
        <f t="shared" si="21"/>
        <v>1803724.6619601354</v>
      </c>
      <c r="J45" s="119">
        <f t="shared" si="21"/>
        <v>1928654.2264821841</v>
      </c>
      <c r="K45" s="130">
        <f t="shared" si="21"/>
        <v>2062529.8123527905</v>
      </c>
    </row>
    <row r="46" spans="1:11" ht="9" customHeight="1">
      <c r="A46" s="110" t="s">
        <v>11</v>
      </c>
      <c r="B46" s="118">
        <f>SUM(B47,B48,B53)</f>
        <v>1124378</v>
      </c>
      <c r="C46" s="118">
        <f aca="true" t="shared" si="22" ref="C46:K46">SUM(C47,C48,C53)</f>
        <v>1133950.47413</v>
      </c>
      <c r="D46" s="118">
        <f t="shared" si="22"/>
        <v>1197730.95198</v>
      </c>
      <c r="E46" s="118">
        <f t="shared" si="22"/>
        <v>1281572.1186186</v>
      </c>
      <c r="F46" s="118">
        <f t="shared" si="22"/>
        <v>1371282.166921902</v>
      </c>
      <c r="G46" s="118">
        <f t="shared" si="22"/>
        <v>1467346.9186064354</v>
      </c>
      <c r="H46" s="118">
        <f t="shared" si="22"/>
        <v>1570062.952908886</v>
      </c>
      <c r="I46" s="118">
        <f t="shared" si="22"/>
        <v>1680069.619612508</v>
      </c>
      <c r="J46" s="118">
        <f t="shared" si="22"/>
        <v>1797681.1929853836</v>
      </c>
      <c r="K46" s="129">
        <f t="shared" si="22"/>
        <v>1923744.1764943604</v>
      </c>
    </row>
    <row r="47" spans="1:11" ht="9" customHeight="1">
      <c r="A47" s="107" t="s">
        <v>7</v>
      </c>
      <c r="B47" s="119">
        <v>647605</v>
      </c>
      <c r="C47" s="119">
        <v>516226.47413</v>
      </c>
      <c r="D47" s="119">
        <v>554458.3681</v>
      </c>
      <c r="E47" s="115">
        <f>D47*(1.07)</f>
        <v>593270.453867</v>
      </c>
      <c r="F47" s="115">
        <f aca="true" t="shared" si="23" ref="F47:K47">E47*(1.07)</f>
        <v>634799.38563769</v>
      </c>
      <c r="G47" s="115">
        <f t="shared" si="23"/>
        <v>679235.3426323283</v>
      </c>
      <c r="H47" s="115">
        <f t="shared" si="23"/>
        <v>726781.8166165913</v>
      </c>
      <c r="I47" s="115">
        <f t="shared" si="23"/>
        <v>777656.5437797527</v>
      </c>
      <c r="J47" s="115">
        <f t="shared" si="23"/>
        <v>832092.5018443355</v>
      </c>
      <c r="K47" s="126">
        <f t="shared" si="23"/>
        <v>890338.976973439</v>
      </c>
    </row>
    <row r="48" spans="1:11" ht="9" customHeight="1">
      <c r="A48" s="107" t="s">
        <v>76</v>
      </c>
      <c r="B48" s="119">
        <f>SUM(B49,B50)</f>
        <v>18191</v>
      </c>
      <c r="C48" s="119">
        <f aca="true" t="shared" si="24" ref="C48:K48">SUM(C49,C50)</f>
        <v>23293</v>
      </c>
      <c r="D48" s="119">
        <f t="shared" si="24"/>
        <v>27083</v>
      </c>
      <c r="E48" s="119">
        <f t="shared" si="24"/>
        <v>28978.81</v>
      </c>
      <c r="F48" s="119">
        <f t="shared" si="24"/>
        <v>31007.3267</v>
      </c>
      <c r="G48" s="119">
        <f t="shared" si="24"/>
        <v>33252.839569</v>
      </c>
      <c r="H48" s="119">
        <f t="shared" si="24"/>
        <v>35582.28833883</v>
      </c>
      <c r="I48" s="119">
        <f t="shared" si="24"/>
        <v>38175.308522548105</v>
      </c>
      <c r="J48" s="119">
        <f t="shared" si="24"/>
        <v>40854.28011912647</v>
      </c>
      <c r="K48" s="130">
        <f t="shared" si="24"/>
        <v>43939.379727465326</v>
      </c>
    </row>
    <row r="49" spans="1:11" ht="9" customHeight="1">
      <c r="A49" s="185" t="s">
        <v>21</v>
      </c>
      <c r="B49" s="121">
        <v>18191</v>
      </c>
      <c r="C49" s="121">
        <v>23293</v>
      </c>
      <c r="D49" s="121">
        <v>27083</v>
      </c>
      <c r="E49" s="114">
        <f>D49*(1.07)</f>
        <v>28978.81</v>
      </c>
      <c r="F49" s="114">
        <f aca="true" t="shared" si="25" ref="F49:K49">E49*(1.07)</f>
        <v>31007.3267</v>
      </c>
      <c r="G49" s="114">
        <f t="shared" si="25"/>
        <v>33177.839569</v>
      </c>
      <c r="H49" s="114">
        <f t="shared" si="25"/>
        <v>35500.28833883</v>
      </c>
      <c r="I49" s="114">
        <f t="shared" si="25"/>
        <v>37985.308522548105</v>
      </c>
      <c r="J49" s="114">
        <f t="shared" si="25"/>
        <v>40644.28011912647</v>
      </c>
      <c r="K49" s="125">
        <f t="shared" si="25"/>
        <v>43489.379727465326</v>
      </c>
    </row>
    <row r="50" spans="1:11" ht="9" customHeight="1">
      <c r="A50" s="185" t="s">
        <v>22</v>
      </c>
      <c r="B50" s="121">
        <f>SUM(B51,B52)</f>
        <v>0</v>
      </c>
      <c r="C50" s="121">
        <f aca="true" t="shared" si="26" ref="C50:K50">SUM(C51,C52)</f>
        <v>0</v>
      </c>
      <c r="D50" s="121">
        <f t="shared" si="26"/>
        <v>0</v>
      </c>
      <c r="E50" s="121">
        <f t="shared" si="26"/>
        <v>0</v>
      </c>
      <c r="F50" s="121">
        <f t="shared" si="26"/>
        <v>0</v>
      </c>
      <c r="G50" s="121">
        <f t="shared" si="26"/>
        <v>75</v>
      </c>
      <c r="H50" s="121">
        <f t="shared" si="26"/>
        <v>82</v>
      </c>
      <c r="I50" s="121">
        <f t="shared" si="26"/>
        <v>190</v>
      </c>
      <c r="J50" s="121">
        <f t="shared" si="26"/>
        <v>210</v>
      </c>
      <c r="K50" s="132">
        <f t="shared" si="26"/>
        <v>450</v>
      </c>
    </row>
    <row r="51" spans="1:11" ht="9" customHeight="1">
      <c r="A51" s="123" t="s">
        <v>233</v>
      </c>
      <c r="B51" s="120">
        <v>0</v>
      </c>
      <c r="C51" s="120">
        <v>0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31">
        <v>0</v>
      </c>
    </row>
    <row r="52" spans="1:11" ht="9" customHeight="1">
      <c r="A52" s="105" t="s">
        <v>145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75</v>
      </c>
      <c r="H52" s="117">
        <v>82</v>
      </c>
      <c r="I52" s="117">
        <v>190</v>
      </c>
      <c r="J52" s="117">
        <v>210</v>
      </c>
      <c r="K52" s="128">
        <v>450</v>
      </c>
    </row>
    <row r="53" spans="1:11" ht="9" customHeight="1">
      <c r="A53" s="107" t="s">
        <v>8</v>
      </c>
      <c r="B53" s="187">
        <v>458582</v>
      </c>
      <c r="C53" s="187">
        <v>594431</v>
      </c>
      <c r="D53" s="187">
        <v>616189.58388</v>
      </c>
      <c r="E53" s="135">
        <f>D53*(1.07)</f>
        <v>659322.8547516001</v>
      </c>
      <c r="F53" s="135">
        <f aca="true" t="shared" si="27" ref="F53:K53">E53*(1.07)</f>
        <v>705475.4545842122</v>
      </c>
      <c r="G53" s="135">
        <f t="shared" si="27"/>
        <v>754858.7364051071</v>
      </c>
      <c r="H53" s="135">
        <f t="shared" si="27"/>
        <v>807698.8479534646</v>
      </c>
      <c r="I53" s="135">
        <f t="shared" si="27"/>
        <v>864237.7673102071</v>
      </c>
      <c r="J53" s="135">
        <f t="shared" si="27"/>
        <v>924734.4110219217</v>
      </c>
      <c r="K53" s="149">
        <f t="shared" si="27"/>
        <v>989465.8197934562</v>
      </c>
    </row>
    <row r="54" spans="1:11" ht="9" customHeight="1">
      <c r="A54" s="110" t="s">
        <v>9</v>
      </c>
      <c r="B54" s="204">
        <f>SUM(B55,B60,B61)</f>
        <v>129352</v>
      </c>
      <c r="C54" s="204">
        <f aca="true" t="shared" si="28" ref="C54:K54">SUM(C55,C60,C61)</f>
        <v>121293</v>
      </c>
      <c r="D54" s="204">
        <f t="shared" si="28"/>
        <v>133371</v>
      </c>
      <c r="E54" s="204">
        <f t="shared" si="28"/>
        <v>126910</v>
      </c>
      <c r="F54" s="204">
        <f t="shared" si="28"/>
        <v>119455.58</v>
      </c>
      <c r="G54" s="204">
        <f t="shared" si="28"/>
        <v>110411.5531</v>
      </c>
      <c r="H54" s="204">
        <f t="shared" si="28"/>
        <v>116811.79387950001</v>
      </c>
      <c r="I54" s="204">
        <f t="shared" si="28"/>
        <v>123655.04234762752</v>
      </c>
      <c r="J54" s="204">
        <f t="shared" si="28"/>
        <v>130973.03349680052</v>
      </c>
      <c r="K54" s="205">
        <f t="shared" si="28"/>
        <v>138785.63585843018</v>
      </c>
    </row>
    <row r="55" spans="1:11" ht="9" customHeight="1">
      <c r="A55" s="16" t="s">
        <v>10</v>
      </c>
      <c r="B55" s="187">
        <f>SUM(B56+B59)</f>
        <v>91758</v>
      </c>
      <c r="C55" s="187">
        <f>SUM(C56+C59)</f>
        <v>81859</v>
      </c>
      <c r="D55" s="187">
        <f>SUM(D56+D59)</f>
        <v>92399</v>
      </c>
      <c r="E55" s="187">
        <f>SUM(E56,E59)</f>
        <v>88985</v>
      </c>
      <c r="F55" s="187">
        <f aca="true" t="shared" si="29" ref="F55:K55">SUM(F56,F59)</f>
        <v>81921.08</v>
      </c>
      <c r="G55" s="187">
        <f t="shared" si="29"/>
        <v>79162.96560000001</v>
      </c>
      <c r="H55" s="187">
        <f t="shared" si="29"/>
        <v>84704.37319200001</v>
      </c>
      <c r="I55" s="187">
        <f t="shared" si="29"/>
        <v>90633.67931544002</v>
      </c>
      <c r="J55" s="187">
        <f t="shared" si="29"/>
        <v>96978.03686752083</v>
      </c>
      <c r="K55" s="206">
        <f t="shared" si="29"/>
        <v>103766.4994482473</v>
      </c>
    </row>
    <row r="56" spans="1:11" ht="9" customHeight="1">
      <c r="A56" s="186" t="s">
        <v>234</v>
      </c>
      <c r="B56" s="190">
        <f>SUM(B57,B58)</f>
        <v>3968</v>
      </c>
      <c r="C56" s="190">
        <f aca="true" t="shared" si="30" ref="C56:K56">SUM(C57:C58)</f>
        <v>19841</v>
      </c>
      <c r="D56" s="190">
        <f t="shared" si="30"/>
        <v>27778</v>
      </c>
      <c r="E56" s="190">
        <f t="shared" si="30"/>
        <v>19841</v>
      </c>
      <c r="F56" s="190">
        <f t="shared" si="30"/>
        <v>7937</v>
      </c>
      <c r="G56" s="190">
        <f t="shared" si="30"/>
        <v>0</v>
      </c>
      <c r="H56" s="190">
        <f t="shared" si="30"/>
        <v>0</v>
      </c>
      <c r="I56" s="190">
        <f t="shared" si="30"/>
        <v>0</v>
      </c>
      <c r="J56" s="190">
        <f t="shared" si="30"/>
        <v>0</v>
      </c>
      <c r="K56" s="191">
        <f t="shared" si="30"/>
        <v>0</v>
      </c>
    </row>
    <row r="57" spans="1:11" ht="9" customHeight="1">
      <c r="A57" s="4" t="s">
        <v>88</v>
      </c>
      <c r="B57" s="199">
        <v>0</v>
      </c>
      <c r="C57" s="199">
        <v>0</v>
      </c>
      <c r="D57" s="199">
        <v>0</v>
      </c>
      <c r="E57" s="199">
        <v>0</v>
      </c>
      <c r="F57" s="199">
        <v>0</v>
      </c>
      <c r="G57" s="199">
        <f>G38</f>
        <v>0</v>
      </c>
      <c r="H57" s="199">
        <f>H38</f>
        <v>0</v>
      </c>
      <c r="I57" s="199">
        <f>I38</f>
        <v>0</v>
      </c>
      <c r="J57" s="199">
        <f>J38</f>
        <v>0</v>
      </c>
      <c r="K57" s="200">
        <f>K38</f>
        <v>0</v>
      </c>
    </row>
    <row r="58" spans="1:11" ht="9" customHeight="1">
      <c r="A58" s="4" t="s">
        <v>244</v>
      </c>
      <c r="B58" s="197">
        <v>3968</v>
      </c>
      <c r="C58" s="199">
        <v>19841</v>
      </c>
      <c r="D58" s="199">
        <v>27778</v>
      </c>
      <c r="E58" s="199">
        <v>19841</v>
      </c>
      <c r="F58" s="199">
        <v>7937</v>
      </c>
      <c r="G58" s="199">
        <v>0</v>
      </c>
      <c r="H58" s="199">
        <v>0</v>
      </c>
      <c r="I58" s="199">
        <v>0</v>
      </c>
      <c r="J58" s="199">
        <v>0</v>
      </c>
      <c r="K58" s="200">
        <v>0</v>
      </c>
    </row>
    <row r="59" spans="1:11" ht="9" customHeight="1">
      <c r="A59" s="185" t="s">
        <v>87</v>
      </c>
      <c r="B59" s="137">
        <v>87790</v>
      </c>
      <c r="C59" s="137">
        <v>62018</v>
      </c>
      <c r="D59" s="201">
        <v>64621</v>
      </c>
      <c r="E59" s="202">
        <v>69144</v>
      </c>
      <c r="F59" s="202">
        <f aca="true" t="shared" si="31" ref="F59:K59">E59*(1.07)</f>
        <v>73984.08</v>
      </c>
      <c r="G59" s="202">
        <f t="shared" si="31"/>
        <v>79162.96560000001</v>
      </c>
      <c r="H59" s="202">
        <f t="shared" si="31"/>
        <v>84704.37319200001</v>
      </c>
      <c r="I59" s="202">
        <f t="shared" si="31"/>
        <v>90633.67931544002</v>
      </c>
      <c r="J59" s="202">
        <f t="shared" si="31"/>
        <v>96978.03686752083</v>
      </c>
      <c r="K59" s="193">
        <f t="shared" si="31"/>
        <v>103766.4994482473</v>
      </c>
    </row>
    <row r="60" spans="1:11" ht="9" customHeight="1">
      <c r="A60" s="16" t="s">
        <v>23</v>
      </c>
      <c r="B60" s="135">
        <v>10878</v>
      </c>
      <c r="C60" s="187">
        <v>12721</v>
      </c>
      <c r="D60" s="203">
        <v>12992</v>
      </c>
      <c r="E60" s="203">
        <v>11500</v>
      </c>
      <c r="F60" s="203">
        <f aca="true" t="shared" si="32" ref="F60:K60">E60*(1.065)</f>
        <v>12247.5</v>
      </c>
      <c r="G60" s="203">
        <f t="shared" si="32"/>
        <v>13043.5875</v>
      </c>
      <c r="H60" s="203">
        <f t="shared" si="32"/>
        <v>13891.420687499998</v>
      </c>
      <c r="I60" s="203">
        <f t="shared" si="32"/>
        <v>14794.363032187497</v>
      </c>
      <c r="J60" s="203">
        <f t="shared" si="32"/>
        <v>15755.996629279683</v>
      </c>
      <c r="K60" s="194">
        <f t="shared" si="32"/>
        <v>16780.136410182862</v>
      </c>
    </row>
    <row r="61" spans="1:11" ht="9" customHeight="1">
      <c r="A61" s="16" t="s">
        <v>24</v>
      </c>
      <c r="B61" s="135">
        <f>B62</f>
        <v>26716</v>
      </c>
      <c r="C61" s="135">
        <f aca="true" t="shared" si="33" ref="C61:K61">C62</f>
        <v>26713</v>
      </c>
      <c r="D61" s="135">
        <f t="shared" si="33"/>
        <v>27980</v>
      </c>
      <c r="E61" s="135">
        <f t="shared" si="33"/>
        <v>26425</v>
      </c>
      <c r="F61" s="135">
        <f t="shared" si="33"/>
        <v>25287</v>
      </c>
      <c r="G61" s="135">
        <f t="shared" si="33"/>
        <v>18205</v>
      </c>
      <c r="H61" s="135">
        <f t="shared" si="33"/>
        <v>18216</v>
      </c>
      <c r="I61" s="135">
        <f t="shared" si="33"/>
        <v>18227</v>
      </c>
      <c r="J61" s="135">
        <f t="shared" si="33"/>
        <v>18239</v>
      </c>
      <c r="K61" s="149">
        <f t="shared" si="33"/>
        <v>18239</v>
      </c>
    </row>
    <row r="62" spans="1:11" ht="9" customHeight="1">
      <c r="A62" s="14" t="s">
        <v>16</v>
      </c>
      <c r="B62" s="137">
        <f>SUM(B63,B64)</f>
        <v>26716</v>
      </c>
      <c r="C62" s="137">
        <f aca="true" t="shared" si="34" ref="C62:K62">SUM(C63,C64)</f>
        <v>26713</v>
      </c>
      <c r="D62" s="137">
        <f t="shared" si="34"/>
        <v>27980</v>
      </c>
      <c r="E62" s="137">
        <f t="shared" si="34"/>
        <v>26425</v>
      </c>
      <c r="F62" s="137">
        <f t="shared" si="34"/>
        <v>25287</v>
      </c>
      <c r="G62" s="137">
        <f t="shared" si="34"/>
        <v>18205</v>
      </c>
      <c r="H62" s="137">
        <f t="shared" si="34"/>
        <v>18216</v>
      </c>
      <c r="I62" s="137">
        <f t="shared" si="34"/>
        <v>18227</v>
      </c>
      <c r="J62" s="137">
        <f t="shared" si="34"/>
        <v>18239</v>
      </c>
      <c r="K62" s="150">
        <f t="shared" si="34"/>
        <v>18239</v>
      </c>
    </row>
    <row r="63" spans="1:11" ht="9" customHeight="1">
      <c r="A63" s="3" t="s">
        <v>25</v>
      </c>
      <c r="B63" s="188">
        <v>26716</v>
      </c>
      <c r="C63" s="197">
        <v>26713</v>
      </c>
      <c r="D63" s="188">
        <v>27980</v>
      </c>
      <c r="E63" s="472">
        <v>26425</v>
      </c>
      <c r="F63" s="472">
        <v>25287</v>
      </c>
      <c r="G63" s="472">
        <v>18205</v>
      </c>
      <c r="H63" s="472">
        <v>18216</v>
      </c>
      <c r="I63" s="472">
        <v>18227</v>
      </c>
      <c r="J63" s="472">
        <v>18239</v>
      </c>
      <c r="K63" s="473">
        <v>18239</v>
      </c>
    </row>
    <row r="64" spans="1:11" ht="9" customHeight="1">
      <c r="A64" s="3" t="s">
        <v>26</v>
      </c>
      <c r="B64" s="197">
        <f aca="true" t="shared" si="35" ref="B64:G64">SUM(B65,B66)</f>
        <v>0</v>
      </c>
      <c r="C64" s="197">
        <f t="shared" si="35"/>
        <v>0</v>
      </c>
      <c r="D64" s="197">
        <f t="shared" si="35"/>
        <v>0</v>
      </c>
      <c r="E64" s="197">
        <f t="shared" si="35"/>
        <v>0</v>
      </c>
      <c r="F64" s="197">
        <f t="shared" si="35"/>
        <v>0</v>
      </c>
      <c r="G64" s="197">
        <f t="shared" si="35"/>
        <v>0</v>
      </c>
      <c r="H64" s="197">
        <v>0</v>
      </c>
      <c r="I64" s="197">
        <v>0</v>
      </c>
      <c r="J64" s="197">
        <v>0</v>
      </c>
      <c r="K64" s="198">
        <v>0</v>
      </c>
    </row>
    <row r="65" spans="1:11" ht="9" customHeight="1">
      <c r="A65" s="38" t="s">
        <v>235</v>
      </c>
      <c r="B65" s="189">
        <v>0</v>
      </c>
      <c r="C65" s="189">
        <v>0</v>
      </c>
      <c r="D65" s="189">
        <v>0</v>
      </c>
      <c r="E65" s="189">
        <v>0</v>
      </c>
      <c r="F65" s="189">
        <v>0</v>
      </c>
      <c r="G65" s="189">
        <v>0</v>
      </c>
      <c r="H65" s="189">
        <v>0</v>
      </c>
      <c r="I65" s="189">
        <v>0</v>
      </c>
      <c r="J65" s="189">
        <v>0</v>
      </c>
      <c r="K65" s="208">
        <v>0</v>
      </c>
    </row>
    <row r="66" spans="1:11" ht="9" customHeight="1">
      <c r="A66" s="4" t="s">
        <v>146</v>
      </c>
      <c r="B66" s="197">
        <v>0</v>
      </c>
      <c r="C66" s="197">
        <v>0</v>
      </c>
      <c r="D66" s="197">
        <v>0</v>
      </c>
      <c r="E66" s="197">
        <v>0</v>
      </c>
      <c r="F66" s="197">
        <v>0</v>
      </c>
      <c r="G66" s="197">
        <v>0</v>
      </c>
      <c r="H66" s="197">
        <v>0</v>
      </c>
      <c r="I66" s="197">
        <v>0</v>
      </c>
      <c r="J66" s="197">
        <v>1500</v>
      </c>
      <c r="K66" s="198">
        <v>1500</v>
      </c>
    </row>
    <row r="67" spans="1:11" ht="9" customHeight="1" thickBot="1">
      <c r="A67" s="37" t="s">
        <v>27</v>
      </c>
      <c r="B67" s="122">
        <f>+B5-B45</f>
        <v>77532</v>
      </c>
      <c r="C67" s="122">
        <f aca="true" t="shared" si="36" ref="C67:K67">+C5-C45</f>
        <v>74953.52587000001</v>
      </c>
      <c r="D67" s="122">
        <f t="shared" si="36"/>
        <v>101356.0480200001</v>
      </c>
      <c r="E67" s="122">
        <f t="shared" si="36"/>
        <v>109923.36138139991</v>
      </c>
      <c r="F67" s="122">
        <f t="shared" si="36"/>
        <v>118772.06187809794</v>
      </c>
      <c r="G67" s="122">
        <f t="shared" si="36"/>
        <v>130821.92562156473</v>
      </c>
      <c r="H67" s="122">
        <f t="shared" si="36"/>
        <v>125070.47437929409</v>
      </c>
      <c r="I67" s="122">
        <f t="shared" si="36"/>
        <v>116728.27247760561</v>
      </c>
      <c r="J67" s="122">
        <f t="shared" si="36"/>
        <v>106816.82402182161</v>
      </c>
      <c r="K67" s="133">
        <f t="shared" si="36"/>
        <v>94860.38118145568</v>
      </c>
    </row>
    <row r="68" spans="1:11" ht="6" customHeight="1" thickBot="1">
      <c r="A68" s="18"/>
      <c r="B68" s="21"/>
      <c r="C68" s="19"/>
      <c r="D68" s="19"/>
      <c r="E68" s="19"/>
      <c r="F68" s="19"/>
      <c r="G68" s="19"/>
      <c r="H68" s="19"/>
      <c r="I68" s="19"/>
      <c r="J68" s="19"/>
      <c r="K68" s="20"/>
    </row>
    <row r="69" spans="1:11" ht="8.25" customHeight="1" thickBot="1">
      <c r="A69" s="528" t="s">
        <v>31</v>
      </c>
      <c r="B69" s="529"/>
      <c r="C69" s="529"/>
      <c r="D69" s="529"/>
      <c r="E69" s="529"/>
      <c r="F69" s="529"/>
      <c r="G69" s="530"/>
      <c r="H69" s="530"/>
      <c r="I69" s="530"/>
      <c r="J69" s="530"/>
      <c r="K69" s="531"/>
    </row>
    <row r="70" spans="1:11" ht="8.25" customHeight="1">
      <c r="A70" s="35" t="str">
        <f aca="true" t="shared" si="37" ref="A70:K70">+A5</f>
        <v>RECEITA ORÇAMENTÁRIA</v>
      </c>
      <c r="B70" s="134">
        <f t="shared" si="37"/>
        <v>1331262</v>
      </c>
      <c r="C70" s="134">
        <f t="shared" si="37"/>
        <v>1330197</v>
      </c>
      <c r="D70" s="134">
        <f t="shared" si="37"/>
        <v>1432458</v>
      </c>
      <c r="E70" s="134">
        <f t="shared" si="37"/>
        <v>1518405.48</v>
      </c>
      <c r="F70" s="134">
        <f t="shared" si="37"/>
        <v>1609509.8088</v>
      </c>
      <c r="G70" s="134">
        <f t="shared" si="37"/>
        <v>1708580.397328</v>
      </c>
      <c r="H70" s="134">
        <f t="shared" si="37"/>
        <v>1811945.2211676799</v>
      </c>
      <c r="I70" s="134">
        <f t="shared" si="37"/>
        <v>1920452.934437741</v>
      </c>
      <c r="J70" s="134">
        <f t="shared" si="37"/>
        <v>2035471.0505040057</v>
      </c>
      <c r="K70" s="192">
        <f t="shared" si="37"/>
        <v>2157390.193534246</v>
      </c>
    </row>
    <row r="71" spans="1:11" ht="8.25" customHeight="1">
      <c r="A71" s="14" t="str">
        <f>+A17</f>
        <v>1.3.1.0. - Aplicações Financeiras</v>
      </c>
      <c r="B71" s="136">
        <f>-B17</f>
        <v>-62367</v>
      </c>
      <c r="C71" s="136">
        <f aca="true" t="shared" si="38" ref="C71:K71">-C17</f>
        <v>-29862</v>
      </c>
      <c r="D71" s="136">
        <f t="shared" si="38"/>
        <v>-27218</v>
      </c>
      <c r="E71" s="136">
        <f t="shared" si="38"/>
        <v>-28851.08</v>
      </c>
      <c r="F71" s="136">
        <f t="shared" si="38"/>
        <v>-30582.144800000002</v>
      </c>
      <c r="G71" s="136">
        <f t="shared" si="38"/>
        <v>-32417.073488</v>
      </c>
      <c r="H71" s="136">
        <f t="shared" si="38"/>
        <v>-34362.09789728</v>
      </c>
      <c r="I71" s="136">
        <f t="shared" si="38"/>
        <v>-36423.823771116804</v>
      </c>
      <c r="J71" s="136">
        <f t="shared" si="38"/>
        <v>-38609.25319738381</v>
      </c>
      <c r="K71" s="193">
        <f t="shared" si="38"/>
        <v>-40925.80838922684</v>
      </c>
    </row>
    <row r="72" spans="1:11" ht="8.25" customHeight="1">
      <c r="A72" s="16" t="str">
        <f>+A35</f>
        <v>2.1.0.0. - Operações de Crédito</v>
      </c>
      <c r="B72" s="135">
        <f>-B35</f>
        <v>-18474</v>
      </c>
      <c r="C72" s="135">
        <f aca="true" t="shared" si="39" ref="C72:K72">-C35</f>
        <v>-10432</v>
      </c>
      <c r="D72" s="135">
        <f t="shared" si="39"/>
        <v>-9048</v>
      </c>
      <c r="E72" s="135">
        <f t="shared" si="39"/>
        <v>-9590.880000000001</v>
      </c>
      <c r="F72" s="135">
        <f t="shared" si="39"/>
        <v>-10166.332800000002</v>
      </c>
      <c r="G72" s="135">
        <f t="shared" si="39"/>
        <v>-13276.312768000003</v>
      </c>
      <c r="H72" s="135">
        <f t="shared" si="39"/>
        <v>-14922.891534080005</v>
      </c>
      <c r="I72" s="135">
        <f t="shared" si="39"/>
        <v>-15609.265026124805</v>
      </c>
      <c r="J72" s="135">
        <f t="shared" si="39"/>
        <v>-16336.760927692294</v>
      </c>
      <c r="K72" s="194">
        <f t="shared" si="39"/>
        <v>-17107.846583353832</v>
      </c>
    </row>
    <row r="73" spans="1:11" ht="8.25" customHeight="1">
      <c r="A73" s="16" t="str">
        <f>+A40</f>
        <v>2.2.0.0. - Alienação de Bens</v>
      </c>
      <c r="B73" s="187">
        <f>-B40</f>
        <v>-307</v>
      </c>
      <c r="C73" s="187">
        <f aca="true" t="shared" si="40" ref="C73:K73">-C40</f>
        <v>-201</v>
      </c>
      <c r="D73" s="187">
        <f t="shared" si="40"/>
        <v>-192</v>
      </c>
      <c r="E73" s="187">
        <f t="shared" si="40"/>
        <v>-203.52</v>
      </c>
      <c r="F73" s="187">
        <f t="shared" si="40"/>
        <v>-215.73120000000003</v>
      </c>
      <c r="G73" s="187">
        <f t="shared" si="40"/>
        <v>-228.67507200000006</v>
      </c>
      <c r="H73" s="187">
        <f t="shared" si="40"/>
        <v>-242.39557632000006</v>
      </c>
      <c r="I73" s="187">
        <f t="shared" si="40"/>
        <v>-256.93931089920005</v>
      </c>
      <c r="J73" s="187">
        <f t="shared" si="40"/>
        <v>-272.3556695531521</v>
      </c>
      <c r="K73" s="195">
        <f t="shared" si="40"/>
        <v>-288.69700972634126</v>
      </c>
    </row>
    <row r="74" spans="1:11" ht="8.25" customHeight="1">
      <c r="A74" s="15" t="s">
        <v>28</v>
      </c>
      <c r="B74" s="136">
        <f aca="true" t="shared" si="41" ref="B74:K74">SUM(B70:B73)</f>
        <v>1250114</v>
      </c>
      <c r="C74" s="136">
        <f t="shared" si="41"/>
        <v>1289702</v>
      </c>
      <c r="D74" s="136">
        <f t="shared" si="41"/>
        <v>1396000</v>
      </c>
      <c r="E74" s="136">
        <f t="shared" si="41"/>
        <v>1479760</v>
      </c>
      <c r="F74" s="136">
        <f t="shared" si="41"/>
        <v>1568545.6</v>
      </c>
      <c r="G74" s="136">
        <f t="shared" si="41"/>
        <v>1662658.3360000001</v>
      </c>
      <c r="H74" s="136">
        <f t="shared" si="41"/>
        <v>1762417.83616</v>
      </c>
      <c r="I74" s="136">
        <f t="shared" si="41"/>
        <v>1868162.9063296001</v>
      </c>
      <c r="J74" s="136">
        <f t="shared" si="41"/>
        <v>1980252.6807093765</v>
      </c>
      <c r="K74" s="193">
        <f t="shared" si="41"/>
        <v>2099067.841551939</v>
      </c>
    </row>
    <row r="75" spans="1:11" ht="8.25" customHeight="1">
      <c r="A75" s="14" t="str">
        <f>+A45</f>
        <v>DESPESAS ORÇAMENTÁRIAS</v>
      </c>
      <c r="B75" s="136">
        <f>+B45</f>
        <v>1253730</v>
      </c>
      <c r="C75" s="136">
        <f aca="true" t="shared" si="42" ref="C75:K75">+C45</f>
        <v>1255243.47413</v>
      </c>
      <c r="D75" s="136">
        <f t="shared" si="42"/>
        <v>1331101.95198</v>
      </c>
      <c r="E75" s="136">
        <f t="shared" si="42"/>
        <v>1408482.1186186</v>
      </c>
      <c r="F75" s="136">
        <f t="shared" si="42"/>
        <v>1490737.746921902</v>
      </c>
      <c r="G75" s="136">
        <f t="shared" si="42"/>
        <v>1577758.4717064353</v>
      </c>
      <c r="H75" s="136">
        <f t="shared" si="42"/>
        <v>1686874.7467883858</v>
      </c>
      <c r="I75" s="136">
        <f t="shared" si="42"/>
        <v>1803724.6619601354</v>
      </c>
      <c r="J75" s="136">
        <f t="shared" si="42"/>
        <v>1928654.2264821841</v>
      </c>
      <c r="K75" s="193">
        <f t="shared" si="42"/>
        <v>2062529.8123527905</v>
      </c>
    </row>
    <row r="76" spans="1:11" ht="8.25" customHeight="1">
      <c r="A76" s="16" t="str">
        <f>+A48</f>
        <v>3.2.0.0. - Juros e Encargos da Dívida</v>
      </c>
      <c r="B76" s="135">
        <f>-B48</f>
        <v>-18191</v>
      </c>
      <c r="C76" s="135">
        <f aca="true" t="shared" si="43" ref="C76:K76">-C48</f>
        <v>-23293</v>
      </c>
      <c r="D76" s="135">
        <f t="shared" si="43"/>
        <v>-27083</v>
      </c>
      <c r="E76" s="135">
        <f t="shared" si="43"/>
        <v>-28978.81</v>
      </c>
      <c r="F76" s="135">
        <f t="shared" si="43"/>
        <v>-31007.3267</v>
      </c>
      <c r="G76" s="135">
        <f t="shared" si="43"/>
        <v>-33252.839569</v>
      </c>
      <c r="H76" s="135">
        <f t="shared" si="43"/>
        <v>-35582.28833883</v>
      </c>
      <c r="I76" s="135">
        <f t="shared" si="43"/>
        <v>-38175.308522548105</v>
      </c>
      <c r="J76" s="135">
        <f t="shared" si="43"/>
        <v>-40854.28011912647</v>
      </c>
      <c r="K76" s="194">
        <f t="shared" si="43"/>
        <v>-43939.379727465326</v>
      </c>
    </row>
    <row r="77" spans="1:11" ht="8.25" customHeight="1">
      <c r="A77" s="14" t="str">
        <f>+A62</f>
        <v>4.3.1.0. - Amortizações </v>
      </c>
      <c r="B77" s="136">
        <f>-B62</f>
        <v>-26716</v>
      </c>
      <c r="C77" s="136">
        <f aca="true" t="shared" si="44" ref="C77:K77">-C62</f>
        <v>-26713</v>
      </c>
      <c r="D77" s="136">
        <f t="shared" si="44"/>
        <v>-27980</v>
      </c>
      <c r="E77" s="136">
        <f t="shared" si="44"/>
        <v>-26425</v>
      </c>
      <c r="F77" s="136">
        <f t="shared" si="44"/>
        <v>-25287</v>
      </c>
      <c r="G77" s="136">
        <f t="shared" si="44"/>
        <v>-18205</v>
      </c>
      <c r="H77" s="136">
        <f t="shared" si="44"/>
        <v>-18216</v>
      </c>
      <c r="I77" s="136">
        <f t="shared" si="44"/>
        <v>-18227</v>
      </c>
      <c r="J77" s="136">
        <f t="shared" si="44"/>
        <v>-18239</v>
      </c>
      <c r="K77" s="193">
        <f t="shared" si="44"/>
        <v>-18239</v>
      </c>
    </row>
    <row r="78" spans="1:11" ht="8.25" customHeight="1">
      <c r="A78" s="15" t="s">
        <v>29</v>
      </c>
      <c r="B78" s="136">
        <f aca="true" t="shared" si="45" ref="B78:K78">SUM(B75:B77)</f>
        <v>1208823</v>
      </c>
      <c r="C78" s="136">
        <f t="shared" si="45"/>
        <v>1205237.47413</v>
      </c>
      <c r="D78" s="136">
        <f t="shared" si="45"/>
        <v>1276038.95198</v>
      </c>
      <c r="E78" s="136">
        <f t="shared" si="45"/>
        <v>1353078.3086186</v>
      </c>
      <c r="F78" s="136">
        <f t="shared" si="45"/>
        <v>1434443.420221902</v>
      </c>
      <c r="G78" s="136">
        <f t="shared" si="45"/>
        <v>1526300.6321374353</v>
      </c>
      <c r="H78" s="136">
        <f t="shared" si="45"/>
        <v>1633076.4584495558</v>
      </c>
      <c r="I78" s="136">
        <f t="shared" si="45"/>
        <v>1747322.3534375874</v>
      </c>
      <c r="J78" s="136">
        <f t="shared" si="45"/>
        <v>1869560.9463630577</v>
      </c>
      <c r="K78" s="193">
        <f t="shared" si="45"/>
        <v>2000351.4326253252</v>
      </c>
    </row>
    <row r="79" spans="1:11" ht="8.25" customHeight="1" thickBot="1">
      <c r="A79" s="36" t="s">
        <v>30</v>
      </c>
      <c r="B79" s="138">
        <f aca="true" t="shared" si="46" ref="B79:K79">+B74-B78</f>
        <v>41291</v>
      </c>
      <c r="C79" s="138">
        <f t="shared" si="46"/>
        <v>84464.52587000001</v>
      </c>
      <c r="D79" s="138">
        <f t="shared" si="46"/>
        <v>119961.0480200001</v>
      </c>
      <c r="E79" s="138">
        <f t="shared" si="46"/>
        <v>126681.69138139999</v>
      </c>
      <c r="F79" s="138">
        <f t="shared" si="46"/>
        <v>134102.17977809813</v>
      </c>
      <c r="G79" s="138">
        <f t="shared" si="46"/>
        <v>136357.70386256487</v>
      </c>
      <c r="H79" s="138">
        <f t="shared" si="46"/>
        <v>129341.37771044415</v>
      </c>
      <c r="I79" s="138">
        <f t="shared" si="46"/>
        <v>120840.55289201275</v>
      </c>
      <c r="J79" s="138">
        <f t="shared" si="46"/>
        <v>110691.73434631876</v>
      </c>
      <c r="K79" s="196">
        <f t="shared" si="46"/>
        <v>98716.40892661386</v>
      </c>
    </row>
    <row r="80" spans="1:11" ht="7.5" customHeight="1">
      <c r="A80" s="9" t="s">
        <v>257</v>
      </c>
      <c r="B80" s="6"/>
      <c r="C80" s="6"/>
      <c r="D80" s="6"/>
      <c r="E80" s="6"/>
      <c r="F80" s="6"/>
      <c r="G80" s="6"/>
      <c r="H80" s="526" t="s">
        <v>245</v>
      </c>
      <c r="I80" s="526"/>
      <c r="J80" s="526"/>
      <c r="K80" s="526"/>
    </row>
    <row r="81" spans="1:11" ht="7.5" customHeight="1">
      <c r="A81" s="9" t="s">
        <v>255</v>
      </c>
      <c r="B81" s="6"/>
      <c r="C81" s="6"/>
      <c r="D81" s="6"/>
      <c r="E81" s="6"/>
      <c r="F81" s="6"/>
      <c r="G81" s="6"/>
      <c r="H81" s="2"/>
      <c r="I81" s="2"/>
      <c r="J81" s="2"/>
      <c r="K81" s="2"/>
    </row>
    <row r="82" spans="1:11" ht="7.5" customHeight="1">
      <c r="A82" s="9" t="s">
        <v>264</v>
      </c>
      <c r="B82" s="6"/>
      <c r="C82" s="6"/>
      <c r="D82" s="6"/>
      <c r="E82" s="6"/>
      <c r="F82" s="6"/>
      <c r="G82" s="6"/>
      <c r="H82" s="2"/>
      <c r="I82" s="2"/>
      <c r="J82" s="2"/>
      <c r="K82" s="2"/>
    </row>
    <row r="83" spans="1:7" ht="7.5" customHeight="1">
      <c r="A83" s="22"/>
      <c r="B83" s="5"/>
      <c r="C83" s="5"/>
      <c r="D83" s="23"/>
      <c r="E83" s="23"/>
      <c r="F83" s="23"/>
      <c r="G83" s="23"/>
    </row>
    <row r="85" ht="12.75">
      <c r="C85" t="s">
        <v>92</v>
      </c>
    </row>
  </sheetData>
  <sheetProtection/>
  <mergeCells count="4">
    <mergeCell ref="H80:K80"/>
    <mergeCell ref="A2:K2"/>
    <mergeCell ref="A69:K69"/>
    <mergeCell ref="A3:K3"/>
  </mergeCells>
  <printOptions horizontalCentered="1" verticalCentered="1"/>
  <pageMargins left="0.3937007874015748" right="0" top="1.1811023622047245" bottom="0.7874015748031497" header="0.2755905511811024" footer="0.4724409448818898"/>
  <pageSetup horizontalDpi="300" verticalDpi="300" orientation="portrait" paperSize="9" scale="95" r:id="rId1"/>
  <headerFooter alignWithMargins="0">
    <oddHeader>&amp;C&amp;"Arial Black,Regular"&amp;14PLANILHA  VIII&amp;"Arial,Normal"&amp;10
&amp;12
&amp;"Arial,Negrito"PROJEÇÃO DAS RECEITAS, DAS DESPESAS E DO RESULTADO
PRIMÁRIO DO MUNICÍPIO DE LONDRINA - Período 2013-2022&amp;R&amp;"Arial Black,Regular"&amp;14ANEXO    8&amp;"Arial,Normal"&amp;10
&amp;12p. 1 de 1</oddHeader>
    <oddFooter>&amp;R&amp;8__________________________________________________________________________
CONSULTORIA/93-13-JAR - Avaliação Financeira e Orçamentária do Município de Londrina&amp;10
&amp;6Anexo 8 - Londrina -PR.xls</oddFooter>
  </headerFooter>
  <ignoredErrors>
    <ignoredError sqref="E4:K4" numberStoredAsText="1"/>
    <ignoredError sqref="E48:K48 E30:K30 E36:K36 E16:K16 E26:K26 F49:K49" formula="1"/>
    <ignoredError sqref="C56:E5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Q60"/>
  <sheetViews>
    <sheetView zoomScale="130" zoomScaleNormal="130" zoomScaleSheetLayoutView="130" zoomScalePageLayoutView="0" workbookViewId="0" topLeftCell="A10">
      <selection activeCell="A58" sqref="A58"/>
    </sheetView>
  </sheetViews>
  <sheetFormatPr defaultColWidth="9.140625" defaultRowHeight="12.75"/>
  <cols>
    <col min="1" max="1" width="7.7109375" style="0" customWidth="1"/>
    <col min="2" max="2" width="8.140625" style="0" customWidth="1"/>
    <col min="3" max="3" width="8.28125" style="0" customWidth="1"/>
    <col min="4" max="4" width="8.140625" style="0" customWidth="1"/>
    <col min="5" max="5" width="8.421875" style="0" customWidth="1"/>
    <col min="6" max="6" width="7.421875" style="0" customWidth="1"/>
    <col min="7" max="7" width="8.7109375" style="0" customWidth="1"/>
    <col min="8" max="8" width="8.00390625" style="0" customWidth="1"/>
    <col min="9" max="9" width="8.8515625" style="0" customWidth="1"/>
    <col min="10" max="10" width="8.28125" style="0" customWidth="1"/>
    <col min="11" max="11" width="8.421875" style="0" customWidth="1"/>
    <col min="14" max="16" width="9.28125" style="0" bestFit="1" customWidth="1"/>
    <col min="17" max="17" width="13.140625" style="0" customWidth="1"/>
  </cols>
  <sheetData>
    <row r="1" ht="9.75" customHeight="1"/>
    <row r="2" spans="1:11" ht="12" customHeight="1">
      <c r="A2" s="545" t="s">
        <v>224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</row>
    <row r="3" spans="1:15" ht="12" customHeight="1">
      <c r="A3" s="549" t="s">
        <v>193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O3" s="11"/>
    </row>
    <row r="4" spans="1:11" ht="12" customHeight="1">
      <c r="A4" s="549"/>
      <c r="B4" s="549"/>
      <c r="C4" s="549"/>
      <c r="D4" s="549"/>
      <c r="E4" s="549"/>
      <c r="F4" s="549"/>
      <c r="G4" s="549"/>
      <c r="H4" s="549"/>
      <c r="I4" s="549"/>
      <c r="J4" s="549"/>
      <c r="K4" s="549"/>
    </row>
    <row r="5" spans="1:11" ht="12" customHeight="1">
      <c r="A5" s="549"/>
      <c r="B5" s="549"/>
      <c r="C5" s="549"/>
      <c r="D5" s="549"/>
      <c r="E5" s="549"/>
      <c r="F5" s="549"/>
      <c r="G5" s="549"/>
      <c r="H5" s="549"/>
      <c r="I5" s="549"/>
      <c r="J5" s="549"/>
      <c r="K5" s="549"/>
    </row>
    <row r="6" spans="1:11" ht="9" customHeight="1" thickBot="1">
      <c r="A6" s="7"/>
      <c r="B6" s="7"/>
      <c r="C6" s="7"/>
      <c r="D6" s="7"/>
      <c r="E6" s="7"/>
      <c r="F6" s="7"/>
      <c r="G6" s="7"/>
      <c r="H6" s="7"/>
      <c r="I6" s="8"/>
      <c r="J6" s="8"/>
      <c r="K6" s="157" t="s">
        <v>37</v>
      </c>
    </row>
    <row r="7" spans="1:11" ht="12.75" customHeight="1">
      <c r="A7" s="97" t="s">
        <v>38</v>
      </c>
      <c r="B7" s="79" t="s">
        <v>39</v>
      </c>
      <c r="C7" s="80" t="s">
        <v>81</v>
      </c>
      <c r="D7" s="81" t="s">
        <v>81</v>
      </c>
      <c r="E7" s="80" t="s">
        <v>80</v>
      </c>
      <c r="F7" s="80" t="s">
        <v>40</v>
      </c>
      <c r="G7" s="548" t="s">
        <v>41</v>
      </c>
      <c r="H7" s="548"/>
      <c r="I7" s="548"/>
      <c r="J7" s="80" t="s">
        <v>42</v>
      </c>
      <c r="K7" s="82" t="s">
        <v>43</v>
      </c>
    </row>
    <row r="8" spans="1:17" ht="12.75" customHeight="1" thickBot="1">
      <c r="A8" s="83" t="s">
        <v>44</v>
      </c>
      <c r="B8" s="84" t="s">
        <v>45</v>
      </c>
      <c r="C8" s="85" t="s">
        <v>82</v>
      </c>
      <c r="D8" s="86" t="s">
        <v>83</v>
      </c>
      <c r="E8" s="85" t="s">
        <v>46</v>
      </c>
      <c r="F8" s="85" t="s">
        <v>93</v>
      </c>
      <c r="G8" s="87" t="s">
        <v>150</v>
      </c>
      <c r="H8" s="87" t="s">
        <v>47</v>
      </c>
      <c r="I8" s="87" t="s">
        <v>48</v>
      </c>
      <c r="J8" s="85" t="s">
        <v>49</v>
      </c>
      <c r="K8" s="88" t="s">
        <v>50</v>
      </c>
      <c r="Q8" s="91" t="s">
        <v>128</v>
      </c>
    </row>
    <row r="9" spans="1:17" ht="10.5" customHeight="1">
      <c r="A9" s="158" t="s">
        <v>52</v>
      </c>
      <c r="B9" s="41">
        <v>21450000</v>
      </c>
      <c r="C9" s="42" t="s">
        <v>51</v>
      </c>
      <c r="D9" s="42" t="s">
        <v>51</v>
      </c>
      <c r="E9" s="42" t="s">
        <v>51</v>
      </c>
      <c r="F9" s="42" t="s">
        <v>51</v>
      </c>
      <c r="G9" s="42" t="s">
        <v>51</v>
      </c>
      <c r="H9" s="42" t="s">
        <v>51</v>
      </c>
      <c r="I9" s="42" t="s">
        <v>51</v>
      </c>
      <c r="J9" s="42" t="s">
        <v>51</v>
      </c>
      <c r="K9" s="43" t="str">
        <f aca="true" t="shared" si="0" ref="K9:K17">E9</f>
        <v>-</v>
      </c>
      <c r="M9" s="546" t="s">
        <v>129</v>
      </c>
      <c r="N9" s="546"/>
      <c r="O9" s="90" t="s">
        <v>47</v>
      </c>
      <c r="P9" s="91" t="s">
        <v>130</v>
      </c>
      <c r="Q9" s="91" t="s">
        <v>247</v>
      </c>
    </row>
    <row r="10" spans="1:17" ht="10.5" customHeight="1">
      <c r="A10" s="159" t="s">
        <v>52</v>
      </c>
      <c r="B10" s="44">
        <v>0</v>
      </c>
      <c r="C10" s="39">
        <f>B9*(0.05)</f>
        <v>1072500</v>
      </c>
      <c r="D10" s="39">
        <f>C10</f>
        <v>1072500</v>
      </c>
      <c r="E10" s="39">
        <f>C10</f>
        <v>1072500</v>
      </c>
      <c r="F10" s="39">
        <v>0</v>
      </c>
      <c r="G10" s="45">
        <v>0</v>
      </c>
      <c r="H10" s="45">
        <v>0</v>
      </c>
      <c r="I10" s="45">
        <v>0</v>
      </c>
      <c r="J10" s="45">
        <v>0</v>
      </c>
      <c r="K10" s="46">
        <f t="shared" si="0"/>
        <v>1072500</v>
      </c>
      <c r="M10" s="211" t="s">
        <v>132</v>
      </c>
      <c r="N10" s="93">
        <f>C10+C11</f>
        <v>4290000</v>
      </c>
      <c r="O10" s="93">
        <f>H10+H11</f>
        <v>10188.75</v>
      </c>
      <c r="P10" s="93">
        <f>F10+F11</f>
        <v>25471.875</v>
      </c>
      <c r="Q10" s="94">
        <f>O10+P10</f>
        <v>35660.625</v>
      </c>
    </row>
    <row r="11" spans="1:17" ht="10.5" customHeight="1">
      <c r="A11" s="158" t="s">
        <v>53</v>
      </c>
      <c r="B11" s="47">
        <f aca="true" t="shared" si="1" ref="B11:B47">(K10)</f>
        <v>1072500</v>
      </c>
      <c r="C11" s="40">
        <f>B9*(0.15)</f>
        <v>3217500</v>
      </c>
      <c r="D11" s="48" t="s">
        <v>51</v>
      </c>
      <c r="E11" s="40">
        <f aca="true" t="shared" si="2" ref="E11:E17">(E10+C11)</f>
        <v>4290000</v>
      </c>
      <c r="F11" s="40">
        <f aca="true" t="shared" si="3" ref="F11:F17">($B$9-E10)*0.00125</f>
        <v>25471.875</v>
      </c>
      <c r="G11" s="48">
        <v>0</v>
      </c>
      <c r="H11" s="40">
        <f aca="true" t="shared" si="4" ref="H11:H20">K10*0.0095</f>
        <v>10188.75</v>
      </c>
      <c r="I11" s="40">
        <f aca="true" t="shared" si="5" ref="I11:I47">G11+H11</f>
        <v>10188.75</v>
      </c>
      <c r="J11" s="40">
        <f>SUM(F11,I11)</f>
        <v>35660.625</v>
      </c>
      <c r="K11" s="49">
        <f t="shared" si="0"/>
        <v>4290000</v>
      </c>
      <c r="M11" s="211" t="s">
        <v>133</v>
      </c>
      <c r="N11" s="93">
        <f>C12+C13</f>
        <v>6435000</v>
      </c>
      <c r="O11" s="93">
        <f>H12+H13</f>
        <v>101887.5</v>
      </c>
      <c r="P11" s="93">
        <f>F12+F13</f>
        <v>40218.75</v>
      </c>
      <c r="Q11" s="94">
        <f>O11+P11</f>
        <v>142106.25</v>
      </c>
    </row>
    <row r="12" spans="1:17" ht="10.5" customHeight="1">
      <c r="A12" s="159" t="s">
        <v>54</v>
      </c>
      <c r="B12" s="50">
        <f t="shared" si="1"/>
        <v>4290000</v>
      </c>
      <c r="C12" s="39">
        <f>B9*(0.1)</f>
        <v>2145000</v>
      </c>
      <c r="D12" s="467">
        <f>C11+C12</f>
        <v>5362500</v>
      </c>
      <c r="E12" s="39">
        <f t="shared" si="2"/>
        <v>6435000</v>
      </c>
      <c r="F12" s="39">
        <f t="shared" si="3"/>
        <v>21450</v>
      </c>
      <c r="G12" s="45">
        <v>0</v>
      </c>
      <c r="H12" s="39">
        <f t="shared" si="4"/>
        <v>40755</v>
      </c>
      <c r="I12" s="39">
        <f t="shared" si="5"/>
        <v>40755</v>
      </c>
      <c r="J12" s="39">
        <f aca="true" t="shared" si="6" ref="J12:J47">SUM(F12,I12)</f>
        <v>62205</v>
      </c>
      <c r="K12" s="46">
        <f t="shared" si="0"/>
        <v>6435000</v>
      </c>
      <c r="M12" s="211" t="s">
        <v>134</v>
      </c>
      <c r="N12" s="93">
        <f>C14+C15</f>
        <v>6435000</v>
      </c>
      <c r="O12" s="93">
        <f>H14+H15</f>
        <v>234341.25</v>
      </c>
      <c r="P12" s="93">
        <f>F14+F15</f>
        <v>22790.625</v>
      </c>
      <c r="Q12" s="94">
        <f>O12+P12</f>
        <v>257131.875</v>
      </c>
    </row>
    <row r="13" spans="1:17" ht="10.5" customHeight="1">
      <c r="A13" s="158" t="s">
        <v>55</v>
      </c>
      <c r="B13" s="47">
        <f t="shared" si="1"/>
        <v>6435000</v>
      </c>
      <c r="C13" s="40">
        <f>B9*(0.2)</f>
        <v>4290000</v>
      </c>
      <c r="D13" s="48" t="s">
        <v>51</v>
      </c>
      <c r="E13" s="40">
        <f t="shared" si="2"/>
        <v>10725000</v>
      </c>
      <c r="F13" s="40">
        <f t="shared" si="3"/>
        <v>18768.75</v>
      </c>
      <c r="G13" s="48">
        <v>0</v>
      </c>
      <c r="H13" s="40">
        <f t="shared" si="4"/>
        <v>61132.5</v>
      </c>
      <c r="I13" s="40">
        <f t="shared" si="5"/>
        <v>61132.5</v>
      </c>
      <c r="J13" s="40">
        <f>SUM(F13,I13)</f>
        <v>79901.25</v>
      </c>
      <c r="K13" s="49">
        <f t="shared" si="0"/>
        <v>10725000</v>
      </c>
      <c r="M13" s="211" t="s">
        <v>135</v>
      </c>
      <c r="N13" s="93">
        <f>C16+C17</f>
        <v>4290000</v>
      </c>
      <c r="O13" s="93">
        <f>H16+H17</f>
        <v>346417.5</v>
      </c>
      <c r="P13" s="93">
        <f>F16+F17</f>
        <v>8043.75</v>
      </c>
      <c r="Q13" s="94">
        <f>O13+P13</f>
        <v>354461.25</v>
      </c>
    </row>
    <row r="14" spans="1:17" ht="10.5" customHeight="1">
      <c r="A14" s="160" t="s">
        <v>56</v>
      </c>
      <c r="B14" s="50">
        <f>(K13)</f>
        <v>10725000</v>
      </c>
      <c r="C14" s="39">
        <f>B9*(0.15)</f>
        <v>3217500</v>
      </c>
      <c r="D14" s="467">
        <f>C13+C14</f>
        <v>7507500</v>
      </c>
      <c r="E14" s="39">
        <f>(E13+C14)</f>
        <v>13942500</v>
      </c>
      <c r="F14" s="39">
        <f t="shared" si="3"/>
        <v>13406.25</v>
      </c>
      <c r="G14" s="45">
        <v>0</v>
      </c>
      <c r="H14" s="39">
        <f t="shared" si="4"/>
        <v>101887.5</v>
      </c>
      <c r="I14" s="39">
        <f t="shared" si="5"/>
        <v>101887.5</v>
      </c>
      <c r="J14" s="39">
        <f t="shared" si="6"/>
        <v>115293.75</v>
      </c>
      <c r="K14" s="46">
        <f t="shared" si="0"/>
        <v>13942500</v>
      </c>
      <c r="M14" s="95" t="s">
        <v>137</v>
      </c>
      <c r="N14" s="96">
        <f>SUM(N9:N13)</f>
        <v>21450000</v>
      </c>
      <c r="O14" s="96">
        <f>SUM(O9:O13)</f>
        <v>692835</v>
      </c>
      <c r="P14" s="96">
        <f>SUM(P9:P13)</f>
        <v>96525</v>
      </c>
      <c r="Q14" s="96">
        <f>SUM(Q9:Q13)</f>
        <v>789360</v>
      </c>
    </row>
    <row r="15" spans="1:17" ht="10.5" customHeight="1">
      <c r="A15" s="161" t="s">
        <v>57</v>
      </c>
      <c r="B15" s="47">
        <f t="shared" si="1"/>
        <v>13942500</v>
      </c>
      <c r="C15" s="40">
        <f>B9*(0.15)</f>
        <v>3217500</v>
      </c>
      <c r="D15" s="48" t="s">
        <v>51</v>
      </c>
      <c r="E15" s="40">
        <f t="shared" si="2"/>
        <v>17160000</v>
      </c>
      <c r="F15" s="40">
        <f t="shared" si="3"/>
        <v>9384.375</v>
      </c>
      <c r="G15" s="48">
        <v>0</v>
      </c>
      <c r="H15" s="40">
        <f t="shared" si="4"/>
        <v>132453.75</v>
      </c>
      <c r="I15" s="40">
        <f t="shared" si="5"/>
        <v>132453.75</v>
      </c>
      <c r="J15" s="40">
        <f t="shared" si="6"/>
        <v>141838.125</v>
      </c>
      <c r="K15" s="49">
        <f t="shared" si="0"/>
        <v>17160000</v>
      </c>
      <c r="M15" s="95"/>
      <c r="N15" s="96"/>
      <c r="O15" s="96"/>
      <c r="P15" s="96"/>
      <c r="Q15" s="96"/>
    </row>
    <row r="16" spans="1:11" ht="10.5" customHeight="1">
      <c r="A16" s="160" t="s">
        <v>58</v>
      </c>
      <c r="B16" s="50">
        <f t="shared" si="1"/>
        <v>17160000</v>
      </c>
      <c r="C16" s="39">
        <f>B9*(0.1)</f>
        <v>2145000</v>
      </c>
      <c r="D16" s="467">
        <f>C15+C16</f>
        <v>5362500</v>
      </c>
      <c r="E16" s="39">
        <f t="shared" si="2"/>
        <v>19305000</v>
      </c>
      <c r="F16" s="39">
        <f t="shared" si="3"/>
        <v>5362.5</v>
      </c>
      <c r="G16" s="45">
        <v>0</v>
      </c>
      <c r="H16" s="39">
        <f t="shared" si="4"/>
        <v>163020</v>
      </c>
      <c r="I16" s="39">
        <f t="shared" si="5"/>
        <v>163020</v>
      </c>
      <c r="J16" s="39">
        <f t="shared" si="6"/>
        <v>168382.5</v>
      </c>
      <c r="K16" s="46">
        <f t="shared" si="0"/>
        <v>19305000</v>
      </c>
    </row>
    <row r="17" spans="1:11" ht="10.5" customHeight="1">
      <c r="A17" s="161" t="s">
        <v>59</v>
      </c>
      <c r="B17" s="47">
        <f t="shared" si="1"/>
        <v>19305000</v>
      </c>
      <c r="C17" s="40">
        <f>B9*(0.1)</f>
        <v>2145000</v>
      </c>
      <c r="D17" s="40">
        <f>C17</f>
        <v>2145000</v>
      </c>
      <c r="E17" s="40">
        <f t="shared" si="2"/>
        <v>21450000</v>
      </c>
      <c r="F17" s="40">
        <f t="shared" si="3"/>
        <v>2681.25</v>
      </c>
      <c r="G17" s="48">
        <v>0</v>
      </c>
      <c r="H17" s="40">
        <f t="shared" si="4"/>
        <v>183397.5</v>
      </c>
      <c r="I17" s="40">
        <f t="shared" si="5"/>
        <v>183397.5</v>
      </c>
      <c r="J17" s="40">
        <f t="shared" si="6"/>
        <v>186078.75</v>
      </c>
      <c r="K17" s="49">
        <f t="shared" si="0"/>
        <v>21450000</v>
      </c>
    </row>
    <row r="18" spans="1:11" ht="10.5" customHeight="1">
      <c r="A18" s="160" t="s">
        <v>75</v>
      </c>
      <c r="B18" s="50">
        <f t="shared" si="1"/>
        <v>21450000</v>
      </c>
      <c r="C18" s="45">
        <v>0</v>
      </c>
      <c r="D18" s="45">
        <v>0</v>
      </c>
      <c r="E18" s="45">
        <v>0</v>
      </c>
      <c r="F18" s="45">
        <v>0</v>
      </c>
      <c r="G18" s="39">
        <f>($B$9)/41</f>
        <v>523170.73170731706</v>
      </c>
      <c r="H18" s="39">
        <f>K17*0.0095</f>
        <v>203775</v>
      </c>
      <c r="I18" s="39">
        <f t="shared" si="5"/>
        <v>726945.731707317</v>
      </c>
      <c r="J18" s="39">
        <f t="shared" si="6"/>
        <v>726945.731707317</v>
      </c>
      <c r="K18" s="438">
        <f aca="true" t="shared" si="7" ref="K18:K47">K17-G18</f>
        <v>20926829.268292684</v>
      </c>
    </row>
    <row r="19" spans="1:11" ht="10.5" customHeight="1">
      <c r="A19" s="161" t="s">
        <v>60</v>
      </c>
      <c r="B19" s="47">
        <f t="shared" si="1"/>
        <v>20926829.268292684</v>
      </c>
      <c r="C19" s="48">
        <v>0</v>
      </c>
      <c r="D19" s="48">
        <v>0</v>
      </c>
      <c r="E19" s="48">
        <v>0</v>
      </c>
      <c r="F19" s="48">
        <v>0</v>
      </c>
      <c r="G19" s="40">
        <f>($B$9)/41</f>
        <v>523170.73170731706</v>
      </c>
      <c r="H19" s="40">
        <f t="shared" si="4"/>
        <v>198804.8780487805</v>
      </c>
      <c r="I19" s="40">
        <f t="shared" si="5"/>
        <v>721975.6097560975</v>
      </c>
      <c r="J19" s="40">
        <f t="shared" si="6"/>
        <v>721975.6097560975</v>
      </c>
      <c r="K19" s="49">
        <f t="shared" si="7"/>
        <v>20403658.53658537</v>
      </c>
    </row>
    <row r="20" spans="1:11" ht="10.5" customHeight="1">
      <c r="A20" s="160" t="s">
        <v>61</v>
      </c>
      <c r="B20" s="50">
        <f t="shared" si="1"/>
        <v>20403658.53658537</v>
      </c>
      <c r="C20" s="45">
        <v>0</v>
      </c>
      <c r="D20" s="45">
        <v>0</v>
      </c>
      <c r="E20" s="45">
        <v>0</v>
      </c>
      <c r="F20" s="45">
        <v>0</v>
      </c>
      <c r="G20" s="39">
        <f aca="true" t="shared" si="8" ref="G20:G58">($B$9)/41</f>
        <v>523170.73170731706</v>
      </c>
      <c r="H20" s="39">
        <f t="shared" si="4"/>
        <v>193834.75609756098</v>
      </c>
      <c r="I20" s="39">
        <f t="shared" si="5"/>
        <v>717005.487804878</v>
      </c>
      <c r="J20" s="39">
        <f t="shared" si="6"/>
        <v>717005.487804878</v>
      </c>
      <c r="K20" s="438">
        <f t="shared" si="7"/>
        <v>19880487.804878052</v>
      </c>
    </row>
    <row r="21" spans="1:11" ht="10.5" customHeight="1">
      <c r="A21" s="161" t="s">
        <v>62</v>
      </c>
      <c r="B21" s="47">
        <f t="shared" si="1"/>
        <v>19880487.804878052</v>
      </c>
      <c r="C21" s="48">
        <v>0</v>
      </c>
      <c r="D21" s="48">
        <v>0</v>
      </c>
      <c r="E21" s="48">
        <v>0</v>
      </c>
      <c r="F21" s="48">
        <v>0</v>
      </c>
      <c r="G21" s="40">
        <f t="shared" si="8"/>
        <v>523170.73170731706</v>
      </c>
      <c r="H21" s="40">
        <f aca="true" t="shared" si="9" ref="H21:H58">K20*0.0095</f>
        <v>188864.6341463415</v>
      </c>
      <c r="I21" s="40">
        <f t="shared" si="5"/>
        <v>712035.3658536585</v>
      </c>
      <c r="J21" s="40">
        <f t="shared" si="6"/>
        <v>712035.3658536585</v>
      </c>
      <c r="K21" s="49">
        <f t="shared" si="7"/>
        <v>19357317.073170736</v>
      </c>
    </row>
    <row r="22" spans="1:11" ht="10.5" customHeight="1">
      <c r="A22" s="160" t="s">
        <v>63</v>
      </c>
      <c r="B22" s="50">
        <f t="shared" si="1"/>
        <v>19357317.073170736</v>
      </c>
      <c r="C22" s="45">
        <v>0</v>
      </c>
      <c r="D22" s="45">
        <v>0</v>
      </c>
      <c r="E22" s="45">
        <v>0</v>
      </c>
      <c r="F22" s="45">
        <v>0</v>
      </c>
      <c r="G22" s="39">
        <f t="shared" si="8"/>
        <v>523170.73170731706</v>
      </c>
      <c r="H22" s="39">
        <f t="shared" si="9"/>
        <v>183894.512195122</v>
      </c>
      <c r="I22" s="39">
        <f t="shared" si="5"/>
        <v>707065.243902439</v>
      </c>
      <c r="J22" s="39">
        <f t="shared" si="6"/>
        <v>707065.243902439</v>
      </c>
      <c r="K22" s="46">
        <f t="shared" si="7"/>
        <v>18834146.34146342</v>
      </c>
    </row>
    <row r="23" spans="1:11" ht="10.5" customHeight="1">
      <c r="A23" s="161" t="s">
        <v>64</v>
      </c>
      <c r="B23" s="47">
        <f t="shared" si="1"/>
        <v>18834146.34146342</v>
      </c>
      <c r="C23" s="48">
        <v>0</v>
      </c>
      <c r="D23" s="48">
        <v>0</v>
      </c>
      <c r="E23" s="48">
        <v>0</v>
      </c>
      <c r="F23" s="48">
        <v>0</v>
      </c>
      <c r="G23" s="40">
        <f t="shared" si="8"/>
        <v>523170.73170731706</v>
      </c>
      <c r="H23" s="40">
        <f t="shared" si="9"/>
        <v>178924.39024390248</v>
      </c>
      <c r="I23" s="40">
        <f t="shared" si="5"/>
        <v>702095.1219512195</v>
      </c>
      <c r="J23" s="40">
        <f t="shared" si="6"/>
        <v>702095.1219512195</v>
      </c>
      <c r="K23" s="49">
        <f t="shared" si="7"/>
        <v>18310975.609756105</v>
      </c>
    </row>
    <row r="24" spans="1:11" ht="10.5" customHeight="1">
      <c r="A24" s="160" t="s">
        <v>65</v>
      </c>
      <c r="B24" s="50">
        <f t="shared" si="1"/>
        <v>18310975.609756105</v>
      </c>
      <c r="C24" s="45">
        <v>0</v>
      </c>
      <c r="D24" s="45">
        <v>0</v>
      </c>
      <c r="E24" s="45">
        <v>0</v>
      </c>
      <c r="F24" s="45">
        <v>0</v>
      </c>
      <c r="G24" s="39">
        <f t="shared" si="8"/>
        <v>523170.73170731706</v>
      </c>
      <c r="H24" s="39">
        <f t="shared" si="9"/>
        <v>173954.268292683</v>
      </c>
      <c r="I24" s="39">
        <f t="shared" si="5"/>
        <v>697125</v>
      </c>
      <c r="J24" s="39">
        <f t="shared" si="6"/>
        <v>697125</v>
      </c>
      <c r="K24" s="46">
        <f t="shared" si="7"/>
        <v>17787804.87804879</v>
      </c>
    </row>
    <row r="25" spans="1:11" ht="10.5" customHeight="1">
      <c r="A25" s="161" t="s">
        <v>66</v>
      </c>
      <c r="B25" s="47">
        <f t="shared" si="1"/>
        <v>17787804.87804879</v>
      </c>
      <c r="C25" s="48">
        <v>0</v>
      </c>
      <c r="D25" s="48">
        <v>0</v>
      </c>
      <c r="E25" s="48">
        <v>0</v>
      </c>
      <c r="F25" s="48">
        <v>0</v>
      </c>
      <c r="G25" s="40">
        <f t="shared" si="8"/>
        <v>523170.73170731706</v>
      </c>
      <c r="H25" s="40">
        <f t="shared" si="9"/>
        <v>168984.1463414635</v>
      </c>
      <c r="I25" s="40">
        <f t="shared" si="5"/>
        <v>692154.8780487806</v>
      </c>
      <c r="J25" s="40">
        <f t="shared" si="6"/>
        <v>692154.8780487806</v>
      </c>
      <c r="K25" s="49">
        <f t="shared" si="7"/>
        <v>17264634.146341473</v>
      </c>
    </row>
    <row r="26" spans="1:11" ht="10.5" customHeight="1">
      <c r="A26" s="160" t="s">
        <v>67</v>
      </c>
      <c r="B26" s="50">
        <f t="shared" si="1"/>
        <v>17264634.146341473</v>
      </c>
      <c r="C26" s="45">
        <v>0</v>
      </c>
      <c r="D26" s="45">
        <v>0</v>
      </c>
      <c r="E26" s="45">
        <v>0</v>
      </c>
      <c r="F26" s="45">
        <v>0</v>
      </c>
      <c r="G26" s="39">
        <f t="shared" si="8"/>
        <v>523170.73170731706</v>
      </c>
      <c r="H26" s="39">
        <f t="shared" si="9"/>
        <v>164014.02439024398</v>
      </c>
      <c r="I26" s="39">
        <f t="shared" si="5"/>
        <v>687184.756097561</v>
      </c>
      <c r="J26" s="39">
        <f t="shared" si="6"/>
        <v>687184.756097561</v>
      </c>
      <c r="K26" s="46">
        <f t="shared" si="7"/>
        <v>16741463.414634155</v>
      </c>
    </row>
    <row r="27" spans="1:11" ht="10.5" customHeight="1">
      <c r="A27" s="161" t="s">
        <v>68</v>
      </c>
      <c r="B27" s="47">
        <f t="shared" si="1"/>
        <v>16741463.414634155</v>
      </c>
      <c r="C27" s="48">
        <v>0</v>
      </c>
      <c r="D27" s="48">
        <v>0</v>
      </c>
      <c r="E27" s="48">
        <v>0</v>
      </c>
      <c r="F27" s="48">
        <v>0</v>
      </c>
      <c r="G27" s="40">
        <f t="shared" si="8"/>
        <v>523170.73170731706</v>
      </c>
      <c r="H27" s="40">
        <f t="shared" si="9"/>
        <v>159043.90243902447</v>
      </c>
      <c r="I27" s="40">
        <f t="shared" si="5"/>
        <v>682214.6341463416</v>
      </c>
      <c r="J27" s="40">
        <f t="shared" si="6"/>
        <v>682214.6341463416</v>
      </c>
      <c r="K27" s="49">
        <f t="shared" si="7"/>
        <v>16218292.682926837</v>
      </c>
    </row>
    <row r="28" spans="1:11" ht="10.5" customHeight="1">
      <c r="A28" s="160" t="s">
        <v>69</v>
      </c>
      <c r="B28" s="50">
        <f t="shared" si="1"/>
        <v>16218292.682926837</v>
      </c>
      <c r="C28" s="45">
        <v>0</v>
      </c>
      <c r="D28" s="45">
        <v>0</v>
      </c>
      <c r="E28" s="45">
        <v>0</v>
      </c>
      <c r="F28" s="45">
        <v>0</v>
      </c>
      <c r="G28" s="39">
        <f t="shared" si="8"/>
        <v>523170.73170731706</v>
      </c>
      <c r="H28" s="39">
        <f t="shared" si="9"/>
        <v>154073.78048780496</v>
      </c>
      <c r="I28" s="39">
        <f t="shared" si="5"/>
        <v>677244.512195122</v>
      </c>
      <c r="J28" s="39">
        <f t="shared" si="6"/>
        <v>677244.512195122</v>
      </c>
      <c r="K28" s="46">
        <f t="shared" si="7"/>
        <v>15695121.95121952</v>
      </c>
    </row>
    <row r="29" spans="1:11" ht="10.5" customHeight="1">
      <c r="A29" s="161" t="s">
        <v>70</v>
      </c>
      <c r="B29" s="47">
        <f t="shared" si="1"/>
        <v>15695121.95121952</v>
      </c>
      <c r="C29" s="48">
        <v>0</v>
      </c>
      <c r="D29" s="48">
        <v>0</v>
      </c>
      <c r="E29" s="48">
        <v>0</v>
      </c>
      <c r="F29" s="48">
        <v>0</v>
      </c>
      <c r="G29" s="40">
        <f t="shared" si="8"/>
        <v>523170.73170731706</v>
      </c>
      <c r="H29" s="40">
        <f t="shared" si="9"/>
        <v>149103.65853658543</v>
      </c>
      <c r="I29" s="40">
        <f t="shared" si="5"/>
        <v>672274.3902439025</v>
      </c>
      <c r="J29" s="40">
        <f t="shared" si="6"/>
        <v>672274.3902439025</v>
      </c>
      <c r="K29" s="49">
        <f t="shared" si="7"/>
        <v>15171951.219512202</v>
      </c>
    </row>
    <row r="30" spans="1:11" ht="10.5" customHeight="1">
      <c r="A30" s="160" t="s">
        <v>71</v>
      </c>
      <c r="B30" s="50">
        <f t="shared" si="1"/>
        <v>15171951.219512202</v>
      </c>
      <c r="C30" s="45">
        <v>0</v>
      </c>
      <c r="D30" s="45">
        <v>0</v>
      </c>
      <c r="E30" s="45">
        <v>0</v>
      </c>
      <c r="F30" s="45">
        <v>0</v>
      </c>
      <c r="G30" s="39">
        <f t="shared" si="8"/>
        <v>523170.73170731706</v>
      </c>
      <c r="H30" s="39">
        <f t="shared" si="9"/>
        <v>144133.53658536592</v>
      </c>
      <c r="I30" s="39">
        <f t="shared" si="5"/>
        <v>667304.268292683</v>
      </c>
      <c r="J30" s="39">
        <f t="shared" si="6"/>
        <v>667304.268292683</v>
      </c>
      <c r="K30" s="46">
        <f t="shared" si="7"/>
        <v>14648780.487804884</v>
      </c>
    </row>
    <row r="31" spans="1:11" ht="10.5" customHeight="1">
      <c r="A31" s="161" t="s">
        <v>72</v>
      </c>
      <c r="B31" s="47">
        <f t="shared" si="1"/>
        <v>14648780.487804884</v>
      </c>
      <c r="C31" s="48">
        <v>0</v>
      </c>
      <c r="D31" s="48">
        <v>0</v>
      </c>
      <c r="E31" s="48">
        <v>0</v>
      </c>
      <c r="F31" s="48">
        <v>0</v>
      </c>
      <c r="G31" s="40">
        <f t="shared" si="8"/>
        <v>523170.73170731706</v>
      </c>
      <c r="H31" s="40">
        <f t="shared" si="9"/>
        <v>139163.4146341464</v>
      </c>
      <c r="I31" s="40">
        <f t="shared" si="5"/>
        <v>662334.1463414634</v>
      </c>
      <c r="J31" s="40">
        <f t="shared" si="6"/>
        <v>662334.1463414634</v>
      </c>
      <c r="K31" s="49">
        <f t="shared" si="7"/>
        <v>14125609.756097566</v>
      </c>
    </row>
    <row r="32" spans="1:11" ht="10.5" customHeight="1">
      <c r="A32" s="160" t="s">
        <v>73</v>
      </c>
      <c r="B32" s="50">
        <f t="shared" si="1"/>
        <v>14125609.756097566</v>
      </c>
      <c r="C32" s="45">
        <v>0</v>
      </c>
      <c r="D32" s="45">
        <v>0</v>
      </c>
      <c r="E32" s="45">
        <v>0</v>
      </c>
      <c r="F32" s="45">
        <v>0</v>
      </c>
      <c r="G32" s="39">
        <f t="shared" si="8"/>
        <v>523170.73170731706</v>
      </c>
      <c r="H32" s="39">
        <f t="shared" si="9"/>
        <v>134193.29268292687</v>
      </c>
      <c r="I32" s="39">
        <f t="shared" si="5"/>
        <v>657364.0243902439</v>
      </c>
      <c r="J32" s="39">
        <f t="shared" si="6"/>
        <v>657364.0243902439</v>
      </c>
      <c r="K32" s="46">
        <f t="shared" si="7"/>
        <v>13602439.024390249</v>
      </c>
    </row>
    <row r="33" spans="1:11" ht="10.5" customHeight="1">
      <c r="A33" s="161" t="s">
        <v>79</v>
      </c>
      <c r="B33" s="47">
        <f t="shared" si="1"/>
        <v>13602439.024390249</v>
      </c>
      <c r="C33" s="48">
        <v>0</v>
      </c>
      <c r="D33" s="48">
        <v>0</v>
      </c>
      <c r="E33" s="48">
        <v>0</v>
      </c>
      <c r="F33" s="48">
        <v>0</v>
      </c>
      <c r="G33" s="40">
        <f t="shared" si="8"/>
        <v>523170.73170731706</v>
      </c>
      <c r="H33" s="40">
        <f t="shared" si="9"/>
        <v>129223.17073170736</v>
      </c>
      <c r="I33" s="40">
        <f t="shared" si="5"/>
        <v>652393.9024390244</v>
      </c>
      <c r="J33" s="40">
        <f t="shared" si="6"/>
        <v>652393.9024390244</v>
      </c>
      <c r="K33" s="49">
        <f t="shared" si="7"/>
        <v>13079268.29268293</v>
      </c>
    </row>
    <row r="34" spans="1:14" ht="10.5" customHeight="1">
      <c r="A34" s="160" t="s">
        <v>78</v>
      </c>
      <c r="B34" s="50">
        <f t="shared" si="1"/>
        <v>13079268.29268293</v>
      </c>
      <c r="C34" s="45">
        <v>0</v>
      </c>
      <c r="D34" s="45">
        <v>0</v>
      </c>
      <c r="E34" s="45">
        <v>0</v>
      </c>
      <c r="F34" s="45">
        <v>0</v>
      </c>
      <c r="G34" s="39">
        <f t="shared" si="8"/>
        <v>523170.73170731706</v>
      </c>
      <c r="H34" s="39">
        <f t="shared" si="9"/>
        <v>124253.04878048784</v>
      </c>
      <c r="I34" s="39">
        <f t="shared" si="5"/>
        <v>647423.7804878049</v>
      </c>
      <c r="J34" s="39">
        <f t="shared" si="6"/>
        <v>647423.7804878049</v>
      </c>
      <c r="K34" s="46">
        <f t="shared" si="7"/>
        <v>12556097.560975613</v>
      </c>
      <c r="N34" s="11"/>
    </row>
    <row r="35" spans="1:11" ht="10.5" customHeight="1">
      <c r="A35" s="161" t="s">
        <v>84</v>
      </c>
      <c r="B35" s="47">
        <f t="shared" si="1"/>
        <v>12556097.560975613</v>
      </c>
      <c r="C35" s="48">
        <v>0</v>
      </c>
      <c r="D35" s="48">
        <v>0</v>
      </c>
      <c r="E35" s="48">
        <v>0</v>
      </c>
      <c r="F35" s="48">
        <v>0</v>
      </c>
      <c r="G35" s="40">
        <f t="shared" si="8"/>
        <v>523170.73170731706</v>
      </c>
      <c r="H35" s="40">
        <f t="shared" si="9"/>
        <v>119282.92682926833</v>
      </c>
      <c r="I35" s="40">
        <f t="shared" si="5"/>
        <v>642453.6585365854</v>
      </c>
      <c r="J35" s="40">
        <f t="shared" si="6"/>
        <v>642453.6585365854</v>
      </c>
      <c r="K35" s="49">
        <f t="shared" si="7"/>
        <v>12032926.829268295</v>
      </c>
    </row>
    <row r="36" spans="1:11" ht="10.5" customHeight="1">
      <c r="A36" s="160" t="s">
        <v>116</v>
      </c>
      <c r="B36" s="50">
        <f t="shared" si="1"/>
        <v>12032926.829268295</v>
      </c>
      <c r="C36" s="45">
        <v>0</v>
      </c>
      <c r="D36" s="45">
        <v>0</v>
      </c>
      <c r="E36" s="45">
        <v>0</v>
      </c>
      <c r="F36" s="45">
        <v>0</v>
      </c>
      <c r="G36" s="39">
        <f t="shared" si="8"/>
        <v>523170.73170731706</v>
      </c>
      <c r="H36" s="39">
        <f t="shared" si="9"/>
        <v>114312.8048780488</v>
      </c>
      <c r="I36" s="39">
        <f t="shared" si="5"/>
        <v>637483.5365853659</v>
      </c>
      <c r="J36" s="39">
        <f t="shared" si="6"/>
        <v>637483.5365853659</v>
      </c>
      <c r="K36" s="46">
        <f t="shared" si="7"/>
        <v>11509756.097560978</v>
      </c>
    </row>
    <row r="37" spans="1:11" ht="10.5" customHeight="1">
      <c r="A37" s="161" t="s">
        <v>117</v>
      </c>
      <c r="B37" s="47">
        <f t="shared" si="1"/>
        <v>11509756.097560978</v>
      </c>
      <c r="C37" s="48">
        <v>0</v>
      </c>
      <c r="D37" s="48">
        <v>0</v>
      </c>
      <c r="E37" s="48">
        <v>0</v>
      </c>
      <c r="F37" s="48">
        <v>0</v>
      </c>
      <c r="G37" s="40">
        <f t="shared" si="8"/>
        <v>523170.73170731706</v>
      </c>
      <c r="H37" s="40">
        <f t="shared" si="9"/>
        <v>109342.68292682928</v>
      </c>
      <c r="I37" s="40">
        <f t="shared" si="5"/>
        <v>632513.4146341464</v>
      </c>
      <c r="J37" s="40">
        <f t="shared" si="6"/>
        <v>632513.4146341464</v>
      </c>
      <c r="K37" s="49">
        <f t="shared" si="7"/>
        <v>10986585.36585366</v>
      </c>
    </row>
    <row r="38" spans="1:11" ht="10.5" customHeight="1">
      <c r="A38" s="160" t="s">
        <v>118</v>
      </c>
      <c r="B38" s="50">
        <f t="shared" si="1"/>
        <v>10986585.36585366</v>
      </c>
      <c r="C38" s="45">
        <v>0</v>
      </c>
      <c r="D38" s="45">
        <v>0</v>
      </c>
      <c r="E38" s="45">
        <v>0</v>
      </c>
      <c r="F38" s="45">
        <v>0</v>
      </c>
      <c r="G38" s="39">
        <f t="shared" si="8"/>
        <v>523170.73170731706</v>
      </c>
      <c r="H38" s="39">
        <f t="shared" si="9"/>
        <v>104372.56097560977</v>
      </c>
      <c r="I38" s="39">
        <f t="shared" si="5"/>
        <v>627543.2926829269</v>
      </c>
      <c r="J38" s="39">
        <f t="shared" si="6"/>
        <v>627543.2926829269</v>
      </c>
      <c r="K38" s="46">
        <f t="shared" si="7"/>
        <v>10463414.634146342</v>
      </c>
    </row>
    <row r="39" spans="1:11" ht="10.5" customHeight="1">
      <c r="A39" s="158" t="s">
        <v>119</v>
      </c>
      <c r="B39" s="47">
        <f t="shared" si="1"/>
        <v>10463414.634146342</v>
      </c>
      <c r="C39" s="48">
        <v>0</v>
      </c>
      <c r="D39" s="48">
        <v>0</v>
      </c>
      <c r="E39" s="48">
        <v>0</v>
      </c>
      <c r="F39" s="48">
        <v>0</v>
      </c>
      <c r="G39" s="40">
        <f t="shared" si="8"/>
        <v>523170.73170731706</v>
      </c>
      <c r="H39" s="40">
        <f t="shared" si="9"/>
        <v>99402.43902439025</v>
      </c>
      <c r="I39" s="40">
        <f t="shared" si="5"/>
        <v>622573.1707317072</v>
      </c>
      <c r="J39" s="40">
        <f t="shared" si="6"/>
        <v>622573.1707317072</v>
      </c>
      <c r="K39" s="49">
        <f t="shared" si="7"/>
        <v>9940243.902439024</v>
      </c>
    </row>
    <row r="40" spans="1:11" ht="10.5" customHeight="1">
      <c r="A40" s="160" t="s">
        <v>268</v>
      </c>
      <c r="B40" s="50">
        <f t="shared" si="1"/>
        <v>9940243.902439024</v>
      </c>
      <c r="C40" s="45">
        <v>0</v>
      </c>
      <c r="D40" s="45">
        <v>0</v>
      </c>
      <c r="E40" s="45">
        <v>0</v>
      </c>
      <c r="F40" s="45">
        <v>0</v>
      </c>
      <c r="G40" s="39">
        <f t="shared" si="8"/>
        <v>523170.73170731706</v>
      </c>
      <c r="H40" s="39">
        <f t="shared" si="9"/>
        <v>94432.31707317072</v>
      </c>
      <c r="I40" s="39">
        <f t="shared" si="5"/>
        <v>617603.0487804877</v>
      </c>
      <c r="J40" s="39">
        <f t="shared" si="6"/>
        <v>617603.0487804877</v>
      </c>
      <c r="K40" s="46">
        <f t="shared" si="7"/>
        <v>9417073.170731707</v>
      </c>
    </row>
    <row r="41" spans="1:11" ht="10.5" customHeight="1">
      <c r="A41" s="158" t="s">
        <v>120</v>
      </c>
      <c r="B41" s="47">
        <f t="shared" si="1"/>
        <v>9417073.170731707</v>
      </c>
      <c r="C41" s="48">
        <v>0</v>
      </c>
      <c r="D41" s="48">
        <v>0</v>
      </c>
      <c r="E41" s="48">
        <v>0</v>
      </c>
      <c r="F41" s="48">
        <v>0</v>
      </c>
      <c r="G41" s="40">
        <f t="shared" si="8"/>
        <v>523170.73170731706</v>
      </c>
      <c r="H41" s="40">
        <f t="shared" si="9"/>
        <v>89462.19512195121</v>
      </c>
      <c r="I41" s="40">
        <f t="shared" si="5"/>
        <v>612632.9268292682</v>
      </c>
      <c r="J41" s="40">
        <f t="shared" si="6"/>
        <v>612632.9268292682</v>
      </c>
      <c r="K41" s="49">
        <f t="shared" si="7"/>
        <v>8893902.439024389</v>
      </c>
    </row>
    <row r="42" spans="1:11" ht="10.5" customHeight="1">
      <c r="A42" s="160" t="s">
        <v>121</v>
      </c>
      <c r="B42" s="50">
        <f t="shared" si="1"/>
        <v>8893902.439024389</v>
      </c>
      <c r="C42" s="45">
        <v>0</v>
      </c>
      <c r="D42" s="45">
        <v>0</v>
      </c>
      <c r="E42" s="45">
        <v>0</v>
      </c>
      <c r="F42" s="45">
        <v>0</v>
      </c>
      <c r="G42" s="39">
        <f t="shared" si="8"/>
        <v>523170.73170731706</v>
      </c>
      <c r="H42" s="39">
        <f t="shared" si="9"/>
        <v>84492.07317073169</v>
      </c>
      <c r="I42" s="39">
        <f t="shared" si="5"/>
        <v>607662.8048780487</v>
      </c>
      <c r="J42" s="39">
        <f t="shared" si="6"/>
        <v>607662.8048780487</v>
      </c>
      <c r="K42" s="46">
        <f t="shared" si="7"/>
        <v>8370731.707317072</v>
      </c>
    </row>
    <row r="43" spans="1:11" ht="10.5" customHeight="1">
      <c r="A43" s="158" t="s">
        <v>122</v>
      </c>
      <c r="B43" s="47">
        <f t="shared" si="1"/>
        <v>8370731.707317072</v>
      </c>
      <c r="C43" s="48">
        <v>0</v>
      </c>
      <c r="D43" s="48">
        <v>0</v>
      </c>
      <c r="E43" s="48">
        <v>0</v>
      </c>
      <c r="F43" s="48">
        <v>0</v>
      </c>
      <c r="G43" s="40">
        <f t="shared" si="8"/>
        <v>523170.73170731706</v>
      </c>
      <c r="H43" s="40">
        <f t="shared" si="9"/>
        <v>79521.95121951218</v>
      </c>
      <c r="I43" s="40">
        <f t="shared" si="5"/>
        <v>602692.6829268292</v>
      </c>
      <c r="J43" s="40">
        <f t="shared" si="6"/>
        <v>602692.6829268292</v>
      </c>
      <c r="K43" s="49">
        <f t="shared" si="7"/>
        <v>7847560.975609755</v>
      </c>
    </row>
    <row r="44" spans="1:11" ht="10.5" customHeight="1">
      <c r="A44" s="160" t="s">
        <v>123</v>
      </c>
      <c r="B44" s="50">
        <f t="shared" si="1"/>
        <v>7847560.975609755</v>
      </c>
      <c r="C44" s="45">
        <v>0</v>
      </c>
      <c r="D44" s="45">
        <v>0</v>
      </c>
      <c r="E44" s="45">
        <v>0</v>
      </c>
      <c r="F44" s="45">
        <v>0</v>
      </c>
      <c r="G44" s="39">
        <f t="shared" si="8"/>
        <v>523170.73170731706</v>
      </c>
      <c r="H44" s="39">
        <f t="shared" si="9"/>
        <v>74551.82926829267</v>
      </c>
      <c r="I44" s="39">
        <f t="shared" si="5"/>
        <v>597722.5609756097</v>
      </c>
      <c r="J44" s="39">
        <f t="shared" si="6"/>
        <v>597722.5609756097</v>
      </c>
      <c r="K44" s="46">
        <f t="shared" si="7"/>
        <v>7324390.243902438</v>
      </c>
    </row>
    <row r="45" spans="1:11" ht="10.5" customHeight="1">
      <c r="A45" s="158" t="s">
        <v>124</v>
      </c>
      <c r="B45" s="47">
        <f t="shared" si="1"/>
        <v>7324390.243902438</v>
      </c>
      <c r="C45" s="48">
        <v>0</v>
      </c>
      <c r="D45" s="48">
        <v>0</v>
      </c>
      <c r="E45" s="48">
        <v>0</v>
      </c>
      <c r="F45" s="48">
        <v>0</v>
      </c>
      <c r="G45" s="40">
        <f t="shared" si="8"/>
        <v>523170.73170731706</v>
      </c>
      <c r="H45" s="40">
        <f t="shared" si="9"/>
        <v>69581.70731707316</v>
      </c>
      <c r="I45" s="40">
        <f t="shared" si="5"/>
        <v>592752.4390243902</v>
      </c>
      <c r="J45" s="40">
        <f t="shared" si="6"/>
        <v>592752.4390243902</v>
      </c>
      <c r="K45" s="49">
        <f t="shared" si="7"/>
        <v>6801219.5121951215</v>
      </c>
    </row>
    <row r="46" spans="1:11" ht="10.5" customHeight="1">
      <c r="A46" s="160" t="s">
        <v>126</v>
      </c>
      <c r="B46" s="50">
        <f t="shared" si="1"/>
        <v>6801219.5121951215</v>
      </c>
      <c r="C46" s="45">
        <v>0</v>
      </c>
      <c r="D46" s="45">
        <v>0</v>
      </c>
      <c r="E46" s="45">
        <v>0</v>
      </c>
      <c r="F46" s="45">
        <v>0</v>
      </c>
      <c r="G46" s="39">
        <f t="shared" si="8"/>
        <v>523170.73170731706</v>
      </c>
      <c r="H46" s="39">
        <f t="shared" si="9"/>
        <v>64611.58536585365</v>
      </c>
      <c r="I46" s="39">
        <f t="shared" si="5"/>
        <v>587782.3170731707</v>
      </c>
      <c r="J46" s="39">
        <f t="shared" si="6"/>
        <v>587782.3170731707</v>
      </c>
      <c r="K46" s="46">
        <f t="shared" si="7"/>
        <v>6278048.780487805</v>
      </c>
    </row>
    <row r="47" spans="1:11" ht="10.5" customHeight="1">
      <c r="A47" s="158" t="s">
        <v>151</v>
      </c>
      <c r="B47" s="51">
        <f t="shared" si="1"/>
        <v>6278048.780487805</v>
      </c>
      <c r="C47" s="52">
        <v>0</v>
      </c>
      <c r="D47" s="52">
        <v>0</v>
      </c>
      <c r="E47" s="52">
        <v>0</v>
      </c>
      <c r="F47" s="52">
        <v>0</v>
      </c>
      <c r="G47" s="40">
        <f t="shared" si="8"/>
        <v>523170.73170731706</v>
      </c>
      <c r="H47" s="40">
        <f t="shared" si="9"/>
        <v>59641.46341463414</v>
      </c>
      <c r="I47" s="53">
        <f t="shared" si="5"/>
        <v>582812.1951219512</v>
      </c>
      <c r="J47" s="53">
        <f t="shared" si="6"/>
        <v>582812.1951219512</v>
      </c>
      <c r="K47" s="54">
        <f t="shared" si="7"/>
        <v>5754878.048780488</v>
      </c>
    </row>
    <row r="48" spans="1:11" ht="10.5" customHeight="1">
      <c r="A48" s="160" t="s">
        <v>158</v>
      </c>
      <c r="B48" s="50">
        <f aca="true" t="shared" si="10" ref="B48:B58">(K47)</f>
        <v>5754878.048780488</v>
      </c>
      <c r="C48" s="45">
        <v>0</v>
      </c>
      <c r="D48" s="45">
        <v>0</v>
      </c>
      <c r="E48" s="45">
        <v>0</v>
      </c>
      <c r="F48" s="45">
        <v>0</v>
      </c>
      <c r="G48" s="39">
        <f t="shared" si="8"/>
        <v>523170.73170731706</v>
      </c>
      <c r="H48" s="39">
        <f t="shared" si="9"/>
        <v>54671.34146341463</v>
      </c>
      <c r="I48" s="39">
        <f>G48+H48</f>
        <v>577842.0731707317</v>
      </c>
      <c r="J48" s="39">
        <f>SUM(F48,I48)</f>
        <v>577842.0731707317</v>
      </c>
      <c r="K48" s="46">
        <f>K47-G48</f>
        <v>5231707.317073171</v>
      </c>
    </row>
    <row r="49" spans="1:11" ht="10.5" customHeight="1">
      <c r="A49" s="158" t="s">
        <v>171</v>
      </c>
      <c r="B49" s="51">
        <f t="shared" si="10"/>
        <v>5231707.317073171</v>
      </c>
      <c r="C49" s="52">
        <v>0</v>
      </c>
      <c r="D49" s="52">
        <v>0</v>
      </c>
      <c r="E49" s="52">
        <v>0</v>
      </c>
      <c r="F49" s="52">
        <v>0</v>
      </c>
      <c r="G49" s="40">
        <f t="shared" si="8"/>
        <v>523170.73170731706</v>
      </c>
      <c r="H49" s="40">
        <f t="shared" si="9"/>
        <v>49701.21951219512</v>
      </c>
      <c r="I49" s="53">
        <f>G49+H49</f>
        <v>572871.9512195121</v>
      </c>
      <c r="J49" s="53">
        <f>SUM(F49,I49)</f>
        <v>572871.9512195121</v>
      </c>
      <c r="K49" s="54">
        <f>K48-G49</f>
        <v>4708536.585365854</v>
      </c>
    </row>
    <row r="50" spans="1:11" ht="10.5" customHeight="1">
      <c r="A50" s="160" t="s">
        <v>188</v>
      </c>
      <c r="B50" s="50">
        <f t="shared" si="10"/>
        <v>4708536.585365854</v>
      </c>
      <c r="C50" s="45">
        <v>0</v>
      </c>
      <c r="D50" s="45">
        <v>0</v>
      </c>
      <c r="E50" s="45">
        <v>0</v>
      </c>
      <c r="F50" s="45">
        <v>0</v>
      </c>
      <c r="G50" s="39">
        <f t="shared" si="8"/>
        <v>523170.73170731706</v>
      </c>
      <c r="H50" s="39">
        <f t="shared" si="9"/>
        <v>44731.09756097561</v>
      </c>
      <c r="I50" s="39">
        <f>G50+H50</f>
        <v>567901.8292682926</v>
      </c>
      <c r="J50" s="39">
        <f>SUM(F50,I50)</f>
        <v>567901.8292682926</v>
      </c>
      <c r="K50" s="46">
        <f>K49-G50</f>
        <v>4185365.8536585374</v>
      </c>
    </row>
    <row r="51" spans="1:11" ht="10.5" customHeight="1">
      <c r="A51" s="158" t="s">
        <v>175</v>
      </c>
      <c r="B51" s="51">
        <f t="shared" si="10"/>
        <v>4185365.8536585374</v>
      </c>
      <c r="C51" s="52">
        <v>0</v>
      </c>
      <c r="D51" s="52">
        <v>0</v>
      </c>
      <c r="E51" s="52">
        <v>0</v>
      </c>
      <c r="F51" s="52">
        <v>0</v>
      </c>
      <c r="G51" s="40">
        <f t="shared" si="8"/>
        <v>523170.73170731706</v>
      </c>
      <c r="H51" s="40">
        <f t="shared" si="9"/>
        <v>39760.975609756104</v>
      </c>
      <c r="I51" s="53">
        <f>G51+H51</f>
        <v>562931.7073170731</v>
      </c>
      <c r="J51" s="53">
        <f>SUM(F51,I51)</f>
        <v>562931.7073170731</v>
      </c>
      <c r="K51" s="54">
        <f>K50-G51</f>
        <v>3662195.1219512206</v>
      </c>
    </row>
    <row r="52" spans="1:11" ht="10.5" customHeight="1">
      <c r="A52" s="160" t="s">
        <v>185</v>
      </c>
      <c r="B52" s="50">
        <f t="shared" si="10"/>
        <v>3662195.1219512206</v>
      </c>
      <c r="C52" s="45">
        <v>0</v>
      </c>
      <c r="D52" s="45">
        <v>0</v>
      </c>
      <c r="E52" s="45">
        <v>0</v>
      </c>
      <c r="F52" s="45">
        <v>0</v>
      </c>
      <c r="G52" s="39">
        <f t="shared" si="8"/>
        <v>523170.73170731706</v>
      </c>
      <c r="H52" s="39">
        <f t="shared" si="9"/>
        <v>34790.853658536595</v>
      </c>
      <c r="I52" s="39">
        <f>G52+H52</f>
        <v>557961.5853658536</v>
      </c>
      <c r="J52" s="39">
        <f>SUM(F52,I52)</f>
        <v>557961.5853658536</v>
      </c>
      <c r="K52" s="46">
        <f>K51-G52</f>
        <v>3139024.3902439037</v>
      </c>
    </row>
    <row r="53" spans="1:11" ht="10.5" customHeight="1">
      <c r="A53" s="158" t="s">
        <v>186</v>
      </c>
      <c r="B53" s="51">
        <f t="shared" si="10"/>
        <v>3139024.3902439037</v>
      </c>
      <c r="C53" s="52">
        <v>0</v>
      </c>
      <c r="D53" s="52">
        <v>0</v>
      </c>
      <c r="E53" s="52">
        <v>0</v>
      </c>
      <c r="F53" s="52">
        <v>0</v>
      </c>
      <c r="G53" s="40">
        <f t="shared" si="8"/>
        <v>523170.73170731706</v>
      </c>
      <c r="H53" s="40">
        <f t="shared" si="9"/>
        <v>29820.731707317085</v>
      </c>
      <c r="I53" s="53">
        <f aca="true" t="shared" si="11" ref="I53:I58">G53+H53</f>
        <v>552991.4634146341</v>
      </c>
      <c r="J53" s="53">
        <f aca="true" t="shared" si="12" ref="J53:J58">SUM(F53,I53)</f>
        <v>552991.4634146341</v>
      </c>
      <c r="K53" s="54">
        <f aca="true" t="shared" si="13" ref="K53:K58">K52-G53</f>
        <v>2615853.658536587</v>
      </c>
    </row>
    <row r="54" spans="1:11" ht="10.5" customHeight="1">
      <c r="A54" s="160" t="s">
        <v>269</v>
      </c>
      <c r="B54" s="50">
        <f>(K53)</f>
        <v>2615853.658536587</v>
      </c>
      <c r="C54" s="45">
        <v>0</v>
      </c>
      <c r="D54" s="45">
        <v>0</v>
      </c>
      <c r="E54" s="45">
        <v>0</v>
      </c>
      <c r="F54" s="45">
        <v>0</v>
      </c>
      <c r="G54" s="39">
        <f t="shared" si="8"/>
        <v>523170.73170731706</v>
      </c>
      <c r="H54" s="39">
        <f t="shared" si="9"/>
        <v>24850.609756097576</v>
      </c>
      <c r="I54" s="39">
        <f t="shared" si="11"/>
        <v>548021.3414634146</v>
      </c>
      <c r="J54" s="39">
        <f t="shared" si="12"/>
        <v>548021.3414634146</v>
      </c>
      <c r="K54" s="46">
        <f t="shared" si="13"/>
        <v>2092682.9268292699</v>
      </c>
    </row>
    <row r="55" spans="1:11" ht="10.5" customHeight="1">
      <c r="A55" s="158" t="s">
        <v>187</v>
      </c>
      <c r="B55" s="51">
        <f t="shared" si="10"/>
        <v>2092682.9268292699</v>
      </c>
      <c r="C55" s="52">
        <v>0</v>
      </c>
      <c r="D55" s="52">
        <v>0</v>
      </c>
      <c r="E55" s="52">
        <v>0</v>
      </c>
      <c r="F55" s="52">
        <v>0</v>
      </c>
      <c r="G55" s="40">
        <f t="shared" si="8"/>
        <v>523170.73170731706</v>
      </c>
      <c r="H55" s="40">
        <f t="shared" si="9"/>
        <v>19880.487804878063</v>
      </c>
      <c r="I55" s="53">
        <f t="shared" si="11"/>
        <v>543051.2195121951</v>
      </c>
      <c r="J55" s="53">
        <f t="shared" si="12"/>
        <v>543051.2195121951</v>
      </c>
      <c r="K55" s="54">
        <f t="shared" si="13"/>
        <v>1569512.1951219528</v>
      </c>
    </row>
    <row r="56" spans="1:11" ht="10.5" customHeight="1">
      <c r="A56" s="160" t="s">
        <v>270</v>
      </c>
      <c r="B56" s="50">
        <f t="shared" si="10"/>
        <v>1569512.1951219528</v>
      </c>
      <c r="C56" s="162">
        <v>0</v>
      </c>
      <c r="D56" s="162">
        <v>0</v>
      </c>
      <c r="E56" s="162">
        <v>0</v>
      </c>
      <c r="F56" s="162">
        <v>0</v>
      </c>
      <c r="G56" s="39">
        <f t="shared" si="8"/>
        <v>523170.73170731706</v>
      </c>
      <c r="H56" s="39">
        <f t="shared" si="9"/>
        <v>14910.365853658552</v>
      </c>
      <c r="I56" s="39">
        <f t="shared" si="11"/>
        <v>538081.0975609756</v>
      </c>
      <c r="J56" s="39">
        <f t="shared" si="12"/>
        <v>538081.0975609756</v>
      </c>
      <c r="K56" s="46">
        <f t="shared" si="13"/>
        <v>1046341.4634146357</v>
      </c>
    </row>
    <row r="57" spans="1:11" ht="10.5" customHeight="1">
      <c r="A57" s="158" t="s">
        <v>223</v>
      </c>
      <c r="B57" s="51">
        <f t="shared" si="10"/>
        <v>1046341.4634146357</v>
      </c>
      <c r="C57" s="52">
        <v>0</v>
      </c>
      <c r="D57" s="52">
        <v>0</v>
      </c>
      <c r="E57" s="52">
        <v>0</v>
      </c>
      <c r="F57" s="52">
        <v>0</v>
      </c>
      <c r="G57" s="40">
        <f t="shared" si="8"/>
        <v>523170.73170731706</v>
      </c>
      <c r="H57" s="40">
        <f t="shared" si="9"/>
        <v>9940.243902439039</v>
      </c>
      <c r="I57" s="53">
        <f t="shared" si="11"/>
        <v>533110.9756097561</v>
      </c>
      <c r="J57" s="53">
        <f t="shared" si="12"/>
        <v>533110.9756097561</v>
      </c>
      <c r="K57" s="54">
        <f t="shared" si="13"/>
        <v>523170.7317073187</v>
      </c>
    </row>
    <row r="58" spans="1:11" ht="10.5" customHeight="1" thickBot="1">
      <c r="A58" s="160" t="s">
        <v>250</v>
      </c>
      <c r="B58" s="50">
        <f t="shared" si="10"/>
        <v>523170.7317073187</v>
      </c>
      <c r="C58" s="162">
        <v>0</v>
      </c>
      <c r="D58" s="162">
        <v>0</v>
      </c>
      <c r="E58" s="162">
        <v>0</v>
      </c>
      <c r="F58" s="162">
        <v>0</v>
      </c>
      <c r="G58" s="39">
        <f t="shared" si="8"/>
        <v>523170.73170731706</v>
      </c>
      <c r="H58" s="39">
        <f t="shared" si="9"/>
        <v>4970.121951219528</v>
      </c>
      <c r="I58" s="39">
        <f t="shared" si="11"/>
        <v>528140.8536585366</v>
      </c>
      <c r="J58" s="39">
        <f t="shared" si="12"/>
        <v>528140.8536585366</v>
      </c>
      <c r="K58" s="46">
        <f t="shared" si="13"/>
        <v>1.6298145055770874E-09</v>
      </c>
    </row>
    <row r="59" spans="1:11" ht="12.75" customHeight="1" thickBot="1">
      <c r="A59" s="55" t="s">
        <v>74</v>
      </c>
      <c r="B59" s="56">
        <v>0</v>
      </c>
      <c r="C59" s="57">
        <f>SUM(C9:C58)</f>
        <v>21450000</v>
      </c>
      <c r="D59" s="57">
        <f>SUM(B59:C59)</f>
        <v>21450000</v>
      </c>
      <c r="E59" s="58">
        <v>0</v>
      </c>
      <c r="F59" s="57">
        <f>SUM(F10:F58)</f>
        <v>96525</v>
      </c>
      <c r="G59" s="57">
        <f>SUM(G10:G58)</f>
        <v>21449999.999999996</v>
      </c>
      <c r="H59" s="57">
        <f>SUM(H10:H58)</f>
        <v>4972110.000000001</v>
      </c>
      <c r="I59" s="57">
        <f>SUM(I10:I58)</f>
        <v>26422109.999999996</v>
      </c>
      <c r="J59" s="57">
        <f>SUM(J10:J58)</f>
        <v>26518634.999999996</v>
      </c>
      <c r="K59" s="59" t="s">
        <v>51</v>
      </c>
    </row>
    <row r="60" spans="1:11" ht="9.75" customHeight="1">
      <c r="A60" s="60"/>
      <c r="B60" s="60"/>
      <c r="C60" s="60"/>
      <c r="D60" s="60"/>
      <c r="E60" s="60"/>
      <c r="F60" s="60"/>
      <c r="G60" s="60"/>
      <c r="H60" s="547" t="s">
        <v>245</v>
      </c>
      <c r="I60" s="547"/>
      <c r="J60" s="547"/>
      <c r="K60" s="547"/>
    </row>
  </sheetData>
  <sheetProtection/>
  <mergeCells count="5">
    <mergeCell ref="A2:K2"/>
    <mergeCell ref="M9:N9"/>
    <mergeCell ref="H60:K60"/>
    <mergeCell ref="G7:I7"/>
    <mergeCell ref="A3:K5"/>
  </mergeCells>
  <printOptions horizontalCentered="1" verticalCentered="1"/>
  <pageMargins left="0.58" right="0.24" top="1.75" bottom="0.9055118110236221" header="0.53" footer="0.5118110236220472"/>
  <pageSetup horizontalDpi="300" verticalDpi="300" orientation="portrait" paperSize="9" r:id="rId1"/>
  <headerFooter alignWithMargins="0">
    <oddHeader>&amp;C&amp;"Arial Black,Normal"&amp;14PLANILHA IX&amp;10
&amp;12
&amp;"Arial,Negrito"PLANO DE DESEMBOLSO E DE AMORTIZAÇÃO DE UM FINANCIAMENTO
DO BID PARA O PROGRAMA DE DESENVOLVIMENTO URBANO SUSTENTÁVEL DE LONDRINA&amp;R&amp;"Arial Black,Normal"&amp;14ANEXO 9 &amp;"Arial,Normal"&amp;10
&amp;12p. 1 de 1</oddHeader>
    <oddFooter>&amp;R&amp;8__________________________________________________________________________
CONSULTORIA/93-13-JAR - Avaliação Financeira e Orçamentária do Município de Londrina
&amp;6Anexo 9 -Londrina-PR.xls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da Avaliação Financeira</dc:title>
  <dc:subject>Avaliação institucinal e Financeira de Colatina - ES</dc:subject>
  <dc:creator>José de Arimatéa Rodrigues</dc:creator>
  <cp:keywords/>
  <dc:description/>
  <cp:lastModifiedBy>Test</cp:lastModifiedBy>
  <cp:lastPrinted>2013-04-29T02:24:34Z</cp:lastPrinted>
  <dcterms:created xsi:type="dcterms:W3CDTF">2004-03-05T22:37:20Z</dcterms:created>
  <dcterms:modified xsi:type="dcterms:W3CDTF">2014-04-09T21:15:15Z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fd0e48b6a66848a9885f717e5bbf40">
    <vt:lpwstr>Project Preparation, Planning and Design|29ca0c72-1fc4-435f-a09c-28585cb5eac9</vt:lpwstr>
  </property>
  <property fmtid="{D5CDD505-2E9C-101B-9397-08002B2CF9AE}" pid="5" name="Series_x0020_Operations_x0020_I">
    <vt:lpwstr>10;#Loan Proposal|6ee86b6f-6e46-485b-8bfb-87a1f44622ac</vt:lpwstr>
  </property>
  <property fmtid="{D5CDD505-2E9C-101B-9397-08002B2CF9AE}" pid="6" name="Sub_x002d_Sect">
    <vt:lpwstr/>
  </property>
  <property fmtid="{D5CDD505-2E9C-101B-9397-08002B2CF9AE}" pid="7" name="TaxKeywo">
    <vt:lpwstr/>
  </property>
  <property fmtid="{D5CDD505-2E9C-101B-9397-08002B2CF9AE}" pid="8" name="m555d3814edf4817b4410a4e57f94c">
    <vt:lpwstr/>
  </property>
  <property fmtid="{D5CDD505-2E9C-101B-9397-08002B2CF9AE}" pid="9" name="e559ffcc31d34167856647188be350">
    <vt:lpwstr/>
  </property>
  <property fmtid="{D5CDD505-2E9C-101B-9397-08002B2CF9AE}" pid="10" name="c456731dbc904a5fb605ec556c33e8">
    <vt:lpwstr/>
  </property>
  <property fmtid="{D5CDD505-2E9C-101B-9397-08002B2CF9AE}" pid="11" name="Function Operations I">
    <vt:lpwstr>11;#Project Preparation, Planning and Design|29ca0c72-1fc4-435f-a09c-28585cb5eac9</vt:lpwstr>
  </property>
  <property fmtid="{D5CDD505-2E9C-101B-9397-08002B2CF9AE}" pid="12" name="o5138a91267540169645e33d09c9dd">
    <vt:lpwstr>Loan Proposal|6ee86b6f-6e46-485b-8bfb-87a1f44622ac</vt:lpwstr>
  </property>
  <property fmtid="{D5CDD505-2E9C-101B-9397-08002B2CF9AE}" pid="13" name="Sector I">
    <vt:lpwstr/>
  </property>
  <property fmtid="{D5CDD505-2E9C-101B-9397-08002B2CF9AE}" pid="14" name="Fund I">
    <vt:lpwstr/>
  </property>
  <property fmtid="{D5CDD505-2E9C-101B-9397-08002B2CF9AE}" pid="15" name="j8b96605ee2f4c4e988849e658583f">
    <vt:lpwstr/>
  </property>
  <property fmtid="{D5CDD505-2E9C-101B-9397-08002B2CF9AE}" pid="16" name="Count">
    <vt:lpwstr/>
  </property>
  <property fmtid="{D5CDD505-2E9C-101B-9397-08002B2CF9AE}" pid="17" name="TaxCatchA">
    <vt:lpwstr>11;#Project Preparation, Planning and Design|29ca0c72-1fc4-435f-a09c-28585cb5eac9;#10;#Loan Proposal|6ee86b6f-6e46-485b-8bfb-87a1f44622ac</vt:lpwstr>
  </property>
  <property fmtid="{D5CDD505-2E9C-101B-9397-08002B2CF9AE}" pid="18" name="display_urn:schemas-microsoft-com:office:office#Edit">
    <vt:lpwstr>Camargo, Ana Lucia Rebelo</vt:lpwstr>
  </property>
  <property fmtid="{D5CDD505-2E9C-101B-9397-08002B2CF9AE}" pid="19" name="Project Numb">
    <vt:lpwstr>BR-L1094</vt:lpwstr>
  </property>
  <property fmtid="{D5CDD505-2E9C-101B-9397-08002B2CF9AE}" pid="20" name="Project Document Ty">
    <vt:lpwstr/>
  </property>
  <property fmtid="{D5CDD505-2E9C-101B-9397-08002B2CF9AE}" pid="21" name="Document Auth">
    <vt:lpwstr>Duran-Ortiz, Mario R.</vt:lpwstr>
  </property>
  <property fmtid="{D5CDD505-2E9C-101B-9397-08002B2CF9AE}" pid="22" name="Series Operations I">
    <vt:lpwstr>10</vt:lpwstr>
  </property>
  <property fmtid="{D5CDD505-2E9C-101B-9397-08002B2CF9AE}" pid="23" name="Migration In">
    <vt:lpwstr>&lt;Data&gt;&lt;APPLICATION&gt;MS EXCEL&lt;/APPLICATION&gt;&lt;USER_STAGE&gt;Loan Proposal&lt;/USER_STAGE&gt;&lt;PD_OBJ_TYPE&gt;0&lt;/PD_OBJ_TYPE&gt;&lt;MAKERECORD&gt;N&lt;/MAKERECORD&gt;&lt;PD_FILEPT_NO&gt;PO-BR-L1094-Anl&lt;/PD_FILEPT_NO&gt;&lt;/Data&gt;</vt:lpwstr>
  </property>
  <property fmtid="{D5CDD505-2E9C-101B-9397-08002B2CF9AE}" pid="24" name="ContentType">
    <vt:lpwstr>0x01010046CF21643EE8D14686A648AA6DAD0892007309E7282253CB4597EC2DB98CCF93E5</vt:lpwstr>
  </property>
  <property fmtid="{D5CDD505-2E9C-101B-9397-08002B2CF9AE}" pid="25" name="Approval Numb">
    <vt:lpwstr/>
  </property>
  <property fmtid="{D5CDD505-2E9C-101B-9397-08002B2CF9AE}" pid="26" name="Disclosure Activi">
    <vt:lpwstr>Loan Proposal</vt:lpwstr>
  </property>
  <property fmtid="{D5CDD505-2E9C-101B-9397-08002B2CF9AE}" pid="27" name="Document Language I">
    <vt:lpwstr>Portuguese</vt:lpwstr>
  </property>
  <property fmtid="{D5CDD505-2E9C-101B-9397-08002B2CF9AE}" pid="28" name="Fiscal Year I">
    <vt:lpwstr>2014</vt:lpwstr>
  </property>
  <property fmtid="{D5CDD505-2E9C-101B-9397-08002B2CF9AE}" pid="29" name="Access to Information Poli">
    <vt:lpwstr>Public</vt:lpwstr>
  </property>
  <property fmtid="{D5CDD505-2E9C-101B-9397-08002B2CF9AE}" pid="30" name="Other Auth">
    <vt:lpwstr/>
  </property>
  <property fmtid="{D5CDD505-2E9C-101B-9397-08002B2CF9AE}" pid="31" name="Division or Un">
    <vt:lpwstr>IFD/FMM</vt:lpwstr>
  </property>
  <property fmtid="{D5CDD505-2E9C-101B-9397-08002B2CF9AE}" pid="32" name="Business Ar">
    <vt:lpwstr/>
  </property>
  <property fmtid="{D5CDD505-2E9C-101B-9397-08002B2CF9AE}" pid="33" name="Webtop">
    <vt:lpwstr>DU-MUN</vt:lpwstr>
  </property>
  <property fmtid="{D5CDD505-2E9C-101B-9397-08002B2CF9AE}" pid="34" name="display_urn:schemas-microsoft-com:office:office#Auth">
    <vt:lpwstr>Camargo, Ana Lucia Rebelo</vt:lpwstr>
  </property>
  <property fmtid="{D5CDD505-2E9C-101B-9397-08002B2CF9AE}" pid="35" name="Fro">
    <vt:lpwstr/>
  </property>
  <property fmtid="{D5CDD505-2E9C-101B-9397-08002B2CF9AE}" pid="36" name="T">
    <vt:lpwstr/>
  </property>
  <property fmtid="{D5CDD505-2E9C-101B-9397-08002B2CF9AE}" pid="37" name="Identifi">
    <vt:lpwstr>Anexos da Avaliação Financeira TECFILE</vt:lpwstr>
  </property>
  <property fmtid="{D5CDD505-2E9C-101B-9397-08002B2CF9AE}" pid="38" name="IDBDocs Numb">
    <vt:lpwstr>38729818</vt:lpwstr>
  </property>
</Properties>
</file>