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.sharepoint.com/teams/EZ-BR-LON/BR-L1434/15 LifeCycle Milestones/"/>
    </mc:Choice>
  </mc:AlternateContent>
  <xr:revisionPtr revIDLastSave="0" documentId="ECCDF81ED094063C3348C095DFA7884F66BE2C94" xr6:coauthVersionLast="21" xr6:coauthVersionMax="21" xr10:uidLastSave="{00000000-0000-0000-0000-000000000000}"/>
  <bookViews>
    <workbookView xWindow="0" yWindow="0" windowWidth="20496" windowHeight="6636" activeTab="1" xr2:uid="{00000000-000D-0000-FFFF-FFFF00000000}"/>
  </bookViews>
  <sheets>
    <sheet name="POA" sheetId="33" r:id="rId1"/>
    <sheet name="Quadro custo" sheetId="21" r:id="rId2"/>
    <sheet name="curva desembolso" sheetId="19" r:id="rId3"/>
    <sheet name="POA PSA " sheetId="29" r:id="rId4"/>
    <sheet name="Cronog Detalhado" sheetId="26" r:id="rId5"/>
  </sheets>
  <definedNames>
    <definedName name="\a" localSheetId="0">#REF!</definedName>
    <definedName name="\a" localSheetId="3">#REF!</definedName>
    <definedName name="\a" localSheetId="1">#REF!</definedName>
    <definedName name="\a">#REF!</definedName>
    <definedName name="\c" localSheetId="0">#REF!</definedName>
    <definedName name="\c" localSheetId="3">#REF!</definedName>
    <definedName name="\c" localSheetId="1">#REF!</definedName>
    <definedName name="\c">#REF!</definedName>
    <definedName name="\x" localSheetId="0">#REF!</definedName>
    <definedName name="\x" localSheetId="3">#REF!</definedName>
    <definedName name="\x" localSheetId="1">#REF!</definedName>
    <definedName name="\x">#REF!</definedName>
    <definedName name="\z" localSheetId="0">#REF!</definedName>
    <definedName name="\z" localSheetId="3">#REF!</definedName>
    <definedName name="\z">#REF!</definedName>
    <definedName name="Excel_BuiltIn__FilterDatabase_1" localSheetId="0">#REF!</definedName>
    <definedName name="Excel_BuiltIn__FilterDatabase_1">#REF!</definedName>
    <definedName name="Excel_BuiltIn_Print_Area_1_1" localSheetId="0">#REF!</definedName>
    <definedName name="Excel_BuiltIn_Print_Area_1_1">#REF!</definedName>
    <definedName name="POA_" localSheetId="0">#REF!</definedName>
    <definedName name="POA_">#REF!</definedName>
    <definedName name="_xlnm.Print_Area" localSheetId="4">'Cronog Detalhado'!$A$1:$AA$61</definedName>
    <definedName name="_xlnm.Print_Area" localSheetId="0">POA!$A$7:$V$33</definedName>
    <definedName name="_xlnm.Print_Area" localSheetId="3">'POA PSA '!$A$7:$V$33</definedName>
    <definedName name="Print_Area_MI" localSheetId="0">#REF!</definedName>
    <definedName name="Print_Area_MI" localSheetId="3">#REF!</definedName>
    <definedName name="Print_Area_MI">#REF!</definedName>
    <definedName name="Print_Titles_MI" localSheetId="0">#REF!</definedName>
    <definedName name="Print_Titles_MI" localSheetId="3">#REF!</definedName>
    <definedName name="Print_Titles_MI">#REF!</definedName>
  </definedNames>
  <calcPr calcId="171027"/>
</workbook>
</file>

<file path=xl/calcChain.xml><?xml version="1.0" encoding="utf-8"?>
<calcChain xmlns="http://schemas.openxmlformats.org/spreadsheetml/2006/main">
  <c r="C21" i="33" l="1"/>
  <c r="C18" i="33"/>
  <c r="C12" i="33"/>
  <c r="C11" i="33" s="1"/>
  <c r="C9" i="33"/>
  <c r="B9" i="33"/>
  <c r="C12" i="29"/>
  <c r="C11" i="29" s="1"/>
  <c r="AN8" i="26"/>
  <c r="AS8" i="26" s="1"/>
  <c r="B7" i="26"/>
  <c r="AU58" i="26"/>
  <c r="AO53" i="26"/>
  <c r="AS53" i="26" s="1"/>
  <c r="AM16" i="26"/>
  <c r="AS16" i="26" s="1"/>
  <c r="AS7" i="26"/>
  <c r="AS9" i="26"/>
  <c r="AS10" i="26"/>
  <c r="AS11" i="26"/>
  <c r="AS12" i="26"/>
  <c r="AS13" i="26"/>
  <c r="AS14" i="26"/>
  <c r="AS15" i="26"/>
  <c r="AS17" i="26"/>
  <c r="AS18" i="26"/>
  <c r="AS19" i="26"/>
  <c r="AS20" i="26"/>
  <c r="AS21" i="26"/>
  <c r="AS22" i="26"/>
  <c r="AS23" i="26"/>
  <c r="AS25" i="26"/>
  <c r="AS26" i="26"/>
  <c r="AS27" i="26"/>
  <c r="AS28" i="26"/>
  <c r="AS29" i="26"/>
  <c r="AS30" i="26"/>
  <c r="AS31" i="26"/>
  <c r="AS32" i="26"/>
  <c r="AS33" i="26"/>
  <c r="AS34" i="26"/>
  <c r="AS35" i="26"/>
  <c r="AS36" i="26"/>
  <c r="AS37" i="26"/>
  <c r="AS38" i="26"/>
  <c r="AS39" i="26"/>
  <c r="AS40" i="26"/>
  <c r="AS41" i="26"/>
  <c r="AS42" i="26"/>
  <c r="AS46" i="26"/>
  <c r="AS47" i="26"/>
  <c r="AS48" i="26"/>
  <c r="AS49" i="26"/>
  <c r="AS50" i="26"/>
  <c r="AS52" i="26"/>
  <c r="AS54" i="26"/>
  <c r="AS57" i="26"/>
  <c r="AS58" i="26"/>
  <c r="B24" i="26"/>
  <c r="F18" i="26"/>
  <c r="F19" i="26"/>
  <c r="F20" i="26"/>
  <c r="F21" i="26"/>
  <c r="F22" i="26"/>
  <c r="F23" i="26"/>
  <c r="F9" i="26"/>
  <c r="F10" i="26"/>
  <c r="F11" i="26"/>
  <c r="F12" i="26"/>
  <c r="B58" i="26"/>
  <c r="AV24" i="26"/>
  <c r="AM58" i="26"/>
  <c r="D58" i="26"/>
  <c r="AM56" i="26"/>
  <c r="AS56" i="26" s="1"/>
  <c r="D56" i="26"/>
  <c r="AO51" i="26"/>
  <c r="AS51" i="26" s="1"/>
  <c r="D51" i="26"/>
  <c r="AM43" i="26"/>
  <c r="AS43" i="26" s="1"/>
  <c r="D43" i="26"/>
  <c r="AO24" i="26"/>
  <c r="AS24" i="26" s="1"/>
  <c r="D24" i="26"/>
  <c r="D48" i="26"/>
  <c r="B48" i="26"/>
  <c r="D8" i="26"/>
  <c r="F24" i="26" l="1"/>
  <c r="M8" i="26"/>
  <c r="C24" i="33"/>
  <c r="B27" i="33" s="1"/>
  <c r="B9" i="29"/>
  <c r="AZ8" i="26"/>
  <c r="AZ9" i="26"/>
  <c r="AZ10" i="26"/>
  <c r="AZ11" i="26"/>
  <c r="AZ12" i="26"/>
  <c r="AZ17" i="26"/>
  <c r="AZ18" i="26"/>
  <c r="AZ19" i="26"/>
  <c r="AZ20" i="26"/>
  <c r="AZ21" i="26"/>
  <c r="AZ22" i="26"/>
  <c r="AZ23" i="26"/>
  <c r="AZ24" i="26"/>
  <c r="AZ25" i="26"/>
  <c r="AZ26" i="26"/>
  <c r="AZ27" i="26"/>
  <c r="AZ28" i="26"/>
  <c r="AZ29" i="26"/>
  <c r="AZ30" i="26"/>
  <c r="AZ31" i="26"/>
  <c r="AZ32" i="26"/>
  <c r="AZ33" i="26"/>
  <c r="AZ34" i="26"/>
  <c r="AZ35" i="26"/>
  <c r="AZ36" i="26"/>
  <c r="AZ37" i="26"/>
  <c r="AZ38" i="26"/>
  <c r="AZ39" i="26"/>
  <c r="AZ40" i="26"/>
  <c r="AZ41" i="26"/>
  <c r="AZ42" i="26"/>
  <c r="AZ43" i="26"/>
  <c r="AZ46" i="26"/>
  <c r="AZ47" i="26"/>
  <c r="AZ48" i="26"/>
  <c r="AZ49" i="26"/>
  <c r="AZ50" i="26"/>
  <c r="AZ51" i="26"/>
  <c r="AZ52" i="26"/>
  <c r="AZ53" i="26"/>
  <c r="AZ54" i="26"/>
  <c r="AZ55" i="26"/>
  <c r="AZ56" i="26"/>
  <c r="AZ58" i="26"/>
  <c r="AZ59" i="26"/>
  <c r="AZ60" i="26"/>
  <c r="AS60" i="26"/>
  <c r="AS59" i="26"/>
  <c r="AS6" i="26"/>
  <c r="AC60" i="26"/>
  <c r="AA60" i="26"/>
  <c r="Y60" i="26"/>
  <c r="W60" i="26"/>
  <c r="U60" i="26"/>
  <c r="S60" i="26"/>
  <c r="Q60" i="26"/>
  <c r="O60" i="26"/>
  <c r="M60" i="26"/>
  <c r="K60" i="26"/>
  <c r="I60" i="26"/>
  <c r="AC59" i="26"/>
  <c r="AA59" i="26"/>
  <c r="Y59" i="26"/>
  <c r="W59" i="26"/>
  <c r="U59" i="26"/>
  <c r="S59" i="26"/>
  <c r="Q59" i="26"/>
  <c r="O59" i="26"/>
  <c r="M59" i="26"/>
  <c r="K59" i="26"/>
  <c r="I59" i="26"/>
  <c r="AC58" i="26"/>
  <c r="AA58" i="26"/>
  <c r="Y58" i="26"/>
  <c r="W58" i="26"/>
  <c r="U58" i="26"/>
  <c r="S58" i="26"/>
  <c r="Q58" i="26"/>
  <c r="O58" i="26"/>
  <c r="M58" i="26"/>
  <c r="K58" i="26"/>
  <c r="I58" i="26"/>
  <c r="AC56" i="26"/>
  <c r="AA56" i="26"/>
  <c r="Y56" i="26"/>
  <c r="W56" i="26"/>
  <c r="U56" i="26"/>
  <c r="S56" i="26"/>
  <c r="L22" i="33" s="1"/>
  <c r="L21" i="33" s="1"/>
  <c r="Q56" i="26"/>
  <c r="J22" i="33" s="1"/>
  <c r="J21" i="33" s="1"/>
  <c r="O56" i="26"/>
  <c r="I22" i="33" s="1"/>
  <c r="M56" i="26"/>
  <c r="G22" i="33" s="1"/>
  <c r="G21" i="33" s="1"/>
  <c r="K56" i="26"/>
  <c r="F22" i="33" s="1"/>
  <c r="I56" i="26"/>
  <c r="W55" i="26"/>
  <c r="O55" i="26"/>
  <c r="AC54" i="26"/>
  <c r="AA54" i="26"/>
  <c r="Y54" i="26"/>
  <c r="W54" i="26"/>
  <c r="U54" i="26"/>
  <c r="S54" i="26"/>
  <c r="Q54" i="26"/>
  <c r="O54" i="26"/>
  <c r="M54" i="26"/>
  <c r="K54" i="26"/>
  <c r="I54" i="26"/>
  <c r="AC53" i="26"/>
  <c r="AA53" i="26"/>
  <c r="Y53" i="26"/>
  <c r="W53" i="26"/>
  <c r="U53" i="26"/>
  <c r="S53" i="26"/>
  <c r="Q53" i="26"/>
  <c r="O53" i="26"/>
  <c r="M53" i="26"/>
  <c r="M52" i="26" s="1"/>
  <c r="K53" i="26"/>
  <c r="I53" i="26"/>
  <c r="AC52" i="26"/>
  <c r="Q52" i="26"/>
  <c r="AC51" i="26"/>
  <c r="AA51" i="26"/>
  <c r="Y51" i="26"/>
  <c r="W51" i="26"/>
  <c r="U51" i="26"/>
  <c r="S51" i="26"/>
  <c r="Q51" i="26"/>
  <c r="O51" i="26"/>
  <c r="M51" i="26"/>
  <c r="K51" i="26"/>
  <c r="AE51" i="26" s="1"/>
  <c r="AJ51" i="26" s="1"/>
  <c r="I51" i="26"/>
  <c r="AG51" i="26" s="1"/>
  <c r="AK51" i="26" s="1"/>
  <c r="AC50" i="26"/>
  <c r="AA50" i="26"/>
  <c r="Y50" i="26"/>
  <c r="Y48" i="26" s="1"/>
  <c r="W50" i="26"/>
  <c r="U50" i="26"/>
  <c r="S50" i="26"/>
  <c r="Q50" i="26"/>
  <c r="O50" i="26"/>
  <c r="M50" i="26"/>
  <c r="K50" i="26"/>
  <c r="I50" i="26"/>
  <c r="AC47" i="26"/>
  <c r="AA47" i="26"/>
  <c r="Y47" i="26"/>
  <c r="W47" i="26"/>
  <c r="U47" i="26"/>
  <c r="S47" i="26"/>
  <c r="Q47" i="26"/>
  <c r="O47" i="26"/>
  <c r="M47" i="26"/>
  <c r="K47" i="26"/>
  <c r="I47" i="26"/>
  <c r="AC46" i="26"/>
  <c r="AA46" i="26"/>
  <c r="Y46" i="26"/>
  <c r="W46" i="26"/>
  <c r="U46" i="26"/>
  <c r="S46" i="26"/>
  <c r="Q46" i="26"/>
  <c r="O46" i="26"/>
  <c r="M46" i="26"/>
  <c r="K46" i="26"/>
  <c r="I46" i="26"/>
  <c r="AC43" i="26"/>
  <c r="AA43" i="26"/>
  <c r="Y43" i="26"/>
  <c r="W43" i="26"/>
  <c r="U43" i="26"/>
  <c r="M17" i="33" s="1"/>
  <c r="S43" i="26"/>
  <c r="L17" i="33" s="1"/>
  <c r="K17" i="33" s="1"/>
  <c r="Q43" i="26"/>
  <c r="J17" i="33" s="1"/>
  <c r="O43" i="26"/>
  <c r="I17" i="33" s="1"/>
  <c r="H17" i="33" s="1"/>
  <c r="M43" i="26"/>
  <c r="G17" i="33" s="1"/>
  <c r="K43" i="26"/>
  <c r="F17" i="33" s="1"/>
  <c r="I43" i="26"/>
  <c r="AC42" i="26"/>
  <c r="AA42" i="26"/>
  <c r="Y42" i="26"/>
  <c r="W42" i="26"/>
  <c r="U42" i="26"/>
  <c r="S42" i="26"/>
  <c r="Q42" i="26"/>
  <c r="O42" i="26"/>
  <c r="M42" i="26"/>
  <c r="K42" i="26"/>
  <c r="I42" i="26"/>
  <c r="AC41" i="26"/>
  <c r="AA41" i="26"/>
  <c r="Y41" i="26"/>
  <c r="W41" i="26"/>
  <c r="U41" i="26"/>
  <c r="S41" i="26"/>
  <c r="Q41" i="26"/>
  <c r="O41" i="26"/>
  <c r="M41" i="26"/>
  <c r="K41" i="26"/>
  <c r="I41" i="26"/>
  <c r="AC39" i="26"/>
  <c r="AA39" i="26"/>
  <c r="Y39" i="26"/>
  <c r="W39" i="26"/>
  <c r="U39" i="26"/>
  <c r="S39" i="26"/>
  <c r="Q39" i="26"/>
  <c r="O39" i="26"/>
  <c r="M39" i="26"/>
  <c r="K39" i="26"/>
  <c r="I39" i="26"/>
  <c r="AC38" i="26"/>
  <c r="AA38" i="26"/>
  <c r="Y38" i="26"/>
  <c r="W38" i="26"/>
  <c r="U38" i="26"/>
  <c r="S38" i="26"/>
  <c r="Q38" i="26"/>
  <c r="O38" i="26"/>
  <c r="M38" i="26"/>
  <c r="K38" i="26"/>
  <c r="I38" i="26"/>
  <c r="AC37" i="26"/>
  <c r="AA37" i="26"/>
  <c r="Y37" i="26"/>
  <c r="W37" i="26"/>
  <c r="U37" i="26"/>
  <c r="S37" i="26"/>
  <c r="Q37" i="26"/>
  <c r="O37" i="26"/>
  <c r="M37" i="26"/>
  <c r="K37" i="26"/>
  <c r="I37" i="26"/>
  <c r="AC36" i="26"/>
  <c r="AA36" i="26"/>
  <c r="Y36" i="26"/>
  <c r="W36" i="26"/>
  <c r="U36" i="26"/>
  <c r="S36" i="26"/>
  <c r="Q36" i="26"/>
  <c r="O36" i="26"/>
  <c r="M36" i="26"/>
  <c r="K36" i="26"/>
  <c r="I36" i="26"/>
  <c r="AC35" i="26"/>
  <c r="M35" i="26"/>
  <c r="AC33" i="26"/>
  <c r="AA33" i="26"/>
  <c r="Y33" i="26"/>
  <c r="W33" i="26"/>
  <c r="U33" i="26"/>
  <c r="S33" i="26"/>
  <c r="Q33" i="26"/>
  <c r="O33" i="26"/>
  <c r="M33" i="26"/>
  <c r="K33" i="26"/>
  <c r="I33" i="26"/>
  <c r="AC32" i="26"/>
  <c r="AA32" i="26"/>
  <c r="Y32" i="26"/>
  <c r="W32" i="26"/>
  <c r="U32" i="26"/>
  <c r="S32" i="26"/>
  <c r="Q32" i="26"/>
  <c r="O32" i="26"/>
  <c r="M32" i="26"/>
  <c r="K32" i="26"/>
  <c r="I32" i="26"/>
  <c r="AC31" i="26"/>
  <c r="AA31" i="26"/>
  <c r="Y31" i="26"/>
  <c r="W31" i="26"/>
  <c r="U31" i="26"/>
  <c r="S31" i="26"/>
  <c r="Q31" i="26"/>
  <c r="O31" i="26"/>
  <c r="M31" i="26"/>
  <c r="K31" i="26"/>
  <c r="I31" i="26"/>
  <c r="AC30" i="26"/>
  <c r="AA30" i="26"/>
  <c r="Y30" i="26"/>
  <c r="W30" i="26"/>
  <c r="U30" i="26"/>
  <c r="S30" i="26"/>
  <c r="Q30" i="26"/>
  <c r="O30" i="26"/>
  <c r="M30" i="26"/>
  <c r="K30" i="26"/>
  <c r="AE30" i="26" s="1"/>
  <c r="AJ30" i="26" s="1"/>
  <c r="I30" i="26"/>
  <c r="AG30" i="26" s="1"/>
  <c r="AK30" i="26" s="1"/>
  <c r="AC29" i="26"/>
  <c r="AA29" i="26"/>
  <c r="Y29" i="26"/>
  <c r="W29" i="26"/>
  <c r="U29" i="26"/>
  <c r="S29" i="26"/>
  <c r="Q29" i="26"/>
  <c r="Q28" i="26" s="1"/>
  <c r="O29" i="26"/>
  <c r="M29" i="26"/>
  <c r="K29" i="26"/>
  <c r="I29" i="26"/>
  <c r="AC26" i="26"/>
  <c r="AA26" i="26"/>
  <c r="Y26" i="26"/>
  <c r="W26" i="26"/>
  <c r="U26" i="26"/>
  <c r="S26" i="26"/>
  <c r="Q26" i="26"/>
  <c r="O26" i="26"/>
  <c r="M26" i="26"/>
  <c r="K26" i="26"/>
  <c r="AE26" i="26" s="1"/>
  <c r="AJ26" i="26" s="1"/>
  <c r="I26" i="26"/>
  <c r="AC25" i="26"/>
  <c r="AA25" i="26"/>
  <c r="Y25" i="26"/>
  <c r="W25" i="26"/>
  <c r="U25" i="26"/>
  <c r="S25" i="26"/>
  <c r="Q25" i="26"/>
  <c r="O25" i="26"/>
  <c r="M25" i="26"/>
  <c r="K25" i="26"/>
  <c r="I25" i="26"/>
  <c r="AG25" i="26" s="1"/>
  <c r="AC24" i="26"/>
  <c r="AA24" i="26"/>
  <c r="Y24" i="26"/>
  <c r="W24" i="26"/>
  <c r="U24" i="26"/>
  <c r="S24" i="26"/>
  <c r="Q24" i="26"/>
  <c r="O24" i="26"/>
  <c r="M24" i="26"/>
  <c r="K24" i="26"/>
  <c r="I24" i="26"/>
  <c r="AC23" i="26"/>
  <c r="AD23" i="26" s="1"/>
  <c r="AA23" i="26"/>
  <c r="AB23" i="26" s="1"/>
  <c r="Y23" i="26"/>
  <c r="Z23" i="26" s="1"/>
  <c r="X23" i="26"/>
  <c r="W23" i="26"/>
  <c r="U23" i="26"/>
  <c r="V23" i="26" s="1"/>
  <c r="S23" i="26"/>
  <c r="T23" i="26" s="1"/>
  <c r="Q23" i="26"/>
  <c r="R23" i="26" s="1"/>
  <c r="O23" i="26"/>
  <c r="P23" i="26" s="1"/>
  <c r="M23" i="26"/>
  <c r="N23" i="26" s="1"/>
  <c r="K23" i="26"/>
  <c r="I23" i="26"/>
  <c r="AC22" i="26"/>
  <c r="AD22" i="26" s="1"/>
  <c r="AA22" i="26"/>
  <c r="AB22" i="26" s="1"/>
  <c r="Y22" i="26"/>
  <c r="Z22" i="26" s="1"/>
  <c r="W22" i="26"/>
  <c r="X22" i="26" s="1"/>
  <c r="U22" i="26"/>
  <c r="V22" i="26" s="1"/>
  <c r="S22" i="26"/>
  <c r="T22" i="26" s="1"/>
  <c r="Q22" i="26"/>
  <c r="R22" i="26" s="1"/>
  <c r="O22" i="26"/>
  <c r="P22" i="26" s="1"/>
  <c r="M22" i="26"/>
  <c r="N22" i="26" s="1"/>
  <c r="K22" i="26"/>
  <c r="I22" i="26"/>
  <c r="J22" i="26" s="1"/>
  <c r="AD21" i="26"/>
  <c r="AC21" i="26"/>
  <c r="AA21" i="26"/>
  <c r="AB21" i="26" s="1"/>
  <c r="Y21" i="26"/>
  <c r="Z21" i="26" s="1"/>
  <c r="W21" i="26"/>
  <c r="X21" i="26" s="1"/>
  <c r="U21" i="26"/>
  <c r="V21" i="26" s="1"/>
  <c r="S21" i="26"/>
  <c r="T21" i="26" s="1"/>
  <c r="Q21" i="26"/>
  <c r="R21" i="26" s="1"/>
  <c r="O21" i="26"/>
  <c r="P21" i="26" s="1"/>
  <c r="N21" i="26"/>
  <c r="M21" i="26"/>
  <c r="K21" i="26"/>
  <c r="I21" i="26"/>
  <c r="AC20" i="26"/>
  <c r="AD20" i="26" s="1"/>
  <c r="AA20" i="26"/>
  <c r="AB20" i="26" s="1"/>
  <c r="Y20" i="26"/>
  <c r="Z20" i="26" s="1"/>
  <c r="W20" i="26"/>
  <c r="X20" i="26" s="1"/>
  <c r="U20" i="26"/>
  <c r="V20" i="26" s="1"/>
  <c r="S20" i="26"/>
  <c r="T20" i="26" s="1"/>
  <c r="Q20" i="26"/>
  <c r="R20" i="26" s="1"/>
  <c r="O20" i="26"/>
  <c r="P20" i="26" s="1"/>
  <c r="M20" i="26"/>
  <c r="N20" i="26" s="1"/>
  <c r="K20" i="26"/>
  <c r="L20" i="26" s="1"/>
  <c r="I20" i="26"/>
  <c r="J20" i="26" s="1"/>
  <c r="AC19" i="26"/>
  <c r="AD19" i="26" s="1"/>
  <c r="AA19" i="26"/>
  <c r="AB19" i="26" s="1"/>
  <c r="Y19" i="26"/>
  <c r="Z19" i="26" s="1"/>
  <c r="X19" i="26"/>
  <c r="W19" i="26"/>
  <c r="U19" i="26"/>
  <c r="V19" i="26" s="1"/>
  <c r="S19" i="26"/>
  <c r="T19" i="26" s="1"/>
  <c r="Q19" i="26"/>
  <c r="R19" i="26" s="1"/>
  <c r="O19" i="26"/>
  <c r="P19" i="26" s="1"/>
  <c r="M19" i="26"/>
  <c r="N19" i="26" s="1"/>
  <c r="K19" i="26"/>
  <c r="I19" i="26"/>
  <c r="AC18" i="26"/>
  <c r="AD18" i="26" s="1"/>
  <c r="AA18" i="26"/>
  <c r="Y18" i="26"/>
  <c r="Z18" i="26" s="1"/>
  <c r="W18" i="26"/>
  <c r="U18" i="26"/>
  <c r="V18" i="26" s="1"/>
  <c r="S18" i="26"/>
  <c r="Q18" i="26"/>
  <c r="R18" i="26" s="1"/>
  <c r="O18" i="26"/>
  <c r="M18" i="26"/>
  <c r="N18" i="26" s="1"/>
  <c r="K18" i="26"/>
  <c r="I18" i="26"/>
  <c r="J18" i="26" s="1"/>
  <c r="AC17" i="26"/>
  <c r="AA17" i="26"/>
  <c r="Y17" i="26"/>
  <c r="W17" i="26"/>
  <c r="U17" i="26"/>
  <c r="S17" i="26"/>
  <c r="Q17" i="26"/>
  <c r="O17" i="26"/>
  <c r="M17" i="26"/>
  <c r="K17" i="26"/>
  <c r="I17" i="26"/>
  <c r="AC12" i="26"/>
  <c r="AD12" i="26" s="1"/>
  <c r="AA12" i="26"/>
  <c r="AB12" i="26" s="1"/>
  <c r="Y12" i="26"/>
  <c r="Z12" i="26" s="1"/>
  <c r="W12" i="26"/>
  <c r="X12" i="26" s="1"/>
  <c r="U12" i="26"/>
  <c r="V12" i="26" s="1"/>
  <c r="S12" i="26"/>
  <c r="T12" i="26" s="1"/>
  <c r="R12" i="26"/>
  <c r="P12" i="26"/>
  <c r="N12" i="26"/>
  <c r="L12" i="26"/>
  <c r="J12" i="26"/>
  <c r="AC11" i="26"/>
  <c r="AD11" i="26" s="1"/>
  <c r="AA11" i="26"/>
  <c r="AB11" i="26" s="1"/>
  <c r="Y11" i="26"/>
  <c r="Z11" i="26" s="1"/>
  <c r="W11" i="26"/>
  <c r="X11" i="26" s="1"/>
  <c r="U11" i="26"/>
  <c r="V11" i="26" s="1"/>
  <c r="S11" i="26"/>
  <c r="T11" i="26" s="1"/>
  <c r="Q11" i="26"/>
  <c r="R11" i="26" s="1"/>
  <c r="P11" i="26"/>
  <c r="O11" i="26"/>
  <c r="M11" i="26"/>
  <c r="N11" i="26" s="1"/>
  <c r="K11" i="26"/>
  <c r="I11" i="26"/>
  <c r="AC10" i="26"/>
  <c r="AD10" i="26" s="1"/>
  <c r="AA10" i="26"/>
  <c r="AB10" i="26" s="1"/>
  <c r="Y10" i="26"/>
  <c r="Z10" i="26" s="1"/>
  <c r="W10" i="26"/>
  <c r="X10" i="26" s="1"/>
  <c r="U10" i="26"/>
  <c r="V10" i="26" s="1"/>
  <c r="T10" i="26"/>
  <c r="S10" i="26"/>
  <c r="Q10" i="26"/>
  <c r="R10" i="26" s="1"/>
  <c r="O10" i="26"/>
  <c r="P10" i="26" s="1"/>
  <c r="M10" i="26"/>
  <c r="N10" i="26" s="1"/>
  <c r="K10" i="26"/>
  <c r="I10" i="26"/>
  <c r="AC9" i="26"/>
  <c r="AD9" i="26" s="1"/>
  <c r="AA9" i="26"/>
  <c r="AA49" i="26" s="1"/>
  <c r="Y9" i="26"/>
  <c r="Z9" i="26" s="1"/>
  <c r="W9" i="26"/>
  <c r="X9" i="26" s="1"/>
  <c r="U9" i="26"/>
  <c r="V9" i="26" s="1"/>
  <c r="S9" i="26"/>
  <c r="T9" i="26" s="1"/>
  <c r="Q9" i="26"/>
  <c r="O9" i="26"/>
  <c r="P9" i="26" s="1"/>
  <c r="M9" i="26"/>
  <c r="N9" i="26" s="1"/>
  <c r="K9" i="26"/>
  <c r="L9" i="26" s="1"/>
  <c r="I9" i="26"/>
  <c r="AC8" i="26"/>
  <c r="AA8" i="26"/>
  <c r="Y8" i="26"/>
  <c r="W8" i="26"/>
  <c r="W7" i="26" s="1"/>
  <c r="U8" i="26"/>
  <c r="S8" i="26"/>
  <c r="Q8" i="26"/>
  <c r="Q7" i="26" s="1"/>
  <c r="J10" i="33" s="1"/>
  <c r="J9" i="33" s="1"/>
  <c r="O8" i="26"/>
  <c r="O7" i="26" s="1"/>
  <c r="K8" i="26"/>
  <c r="I8" i="26"/>
  <c r="F60" i="26"/>
  <c r="B59" i="26"/>
  <c r="D57" i="26"/>
  <c r="D55" i="26"/>
  <c r="B55" i="26"/>
  <c r="D54" i="26"/>
  <c r="D53" i="26"/>
  <c r="B52" i="26"/>
  <c r="F51" i="26"/>
  <c r="F48" i="26" s="1"/>
  <c r="F50" i="26"/>
  <c r="F49" i="26"/>
  <c r="T49" i="26" s="1"/>
  <c r="D47" i="26"/>
  <c r="B47" i="26"/>
  <c r="D46" i="26"/>
  <c r="B46" i="26"/>
  <c r="F43" i="26"/>
  <c r="E43" i="26" s="1"/>
  <c r="F42" i="26"/>
  <c r="X42" i="26" s="1"/>
  <c r="F41" i="26"/>
  <c r="C41" i="26" s="1"/>
  <c r="D40" i="26"/>
  <c r="B40" i="26"/>
  <c r="F39" i="26"/>
  <c r="P39" i="26" s="1"/>
  <c r="F38" i="26"/>
  <c r="P38" i="26" s="1"/>
  <c r="F37" i="26"/>
  <c r="J37" i="26" s="1"/>
  <c r="F36" i="26"/>
  <c r="V36" i="26" s="1"/>
  <c r="D35" i="26"/>
  <c r="B35" i="26"/>
  <c r="F33" i="26"/>
  <c r="F32" i="26"/>
  <c r="AB32" i="26" s="1"/>
  <c r="F31" i="26"/>
  <c r="F29" i="26"/>
  <c r="B28" i="26"/>
  <c r="F26" i="26"/>
  <c r="D25" i="26"/>
  <c r="D16" i="26"/>
  <c r="C21" i="26"/>
  <c r="F17" i="26"/>
  <c r="AB17" i="26" s="1"/>
  <c r="C11" i="26"/>
  <c r="E10" i="26"/>
  <c r="E9" i="26"/>
  <c r="F8" i="26"/>
  <c r="E8" i="26" s="1"/>
  <c r="D7" i="26"/>
  <c r="L42" i="26" l="1"/>
  <c r="AB42" i="26"/>
  <c r="D34" i="26"/>
  <c r="I10" i="33"/>
  <c r="I10" i="29"/>
  <c r="I9" i="29" s="1"/>
  <c r="O10" i="33"/>
  <c r="O10" i="29"/>
  <c r="AE11" i="26"/>
  <c r="L11" i="26"/>
  <c r="L17" i="26"/>
  <c r="T17" i="26"/>
  <c r="G20" i="33"/>
  <c r="G20" i="29"/>
  <c r="B27" i="26"/>
  <c r="AG21" i="26"/>
  <c r="J21" i="26"/>
  <c r="F25" i="26"/>
  <c r="T25" i="26" s="1"/>
  <c r="AK25" i="26"/>
  <c r="D45" i="26"/>
  <c r="F54" i="26"/>
  <c r="F59" i="26"/>
  <c r="AB59" i="26" s="1"/>
  <c r="P17" i="26"/>
  <c r="X17" i="26"/>
  <c r="T38" i="26"/>
  <c r="AH25" i="26"/>
  <c r="J26" i="26"/>
  <c r="R26" i="26"/>
  <c r="Z26" i="26"/>
  <c r="P36" i="26"/>
  <c r="AD36" i="26"/>
  <c r="V38" i="26"/>
  <c r="AD38" i="26"/>
  <c r="J41" i="26"/>
  <c r="R41" i="26"/>
  <c r="Z41" i="26"/>
  <c r="O17" i="33"/>
  <c r="O17" i="29"/>
  <c r="Y45" i="26"/>
  <c r="N49" i="26"/>
  <c r="V49" i="26"/>
  <c r="L50" i="26"/>
  <c r="K48" i="26"/>
  <c r="T50" i="26"/>
  <c r="AB50" i="26"/>
  <c r="J54" i="26"/>
  <c r="R54" i="26"/>
  <c r="Z54" i="26"/>
  <c r="H22" i="33"/>
  <c r="H21" i="33" s="1"/>
  <c r="I21" i="33"/>
  <c r="O22" i="33"/>
  <c r="O22" i="29"/>
  <c r="Q57" i="26"/>
  <c r="J60" i="26"/>
  <c r="R60" i="26"/>
  <c r="Z60" i="26"/>
  <c r="I17" i="29"/>
  <c r="M17" i="29"/>
  <c r="L22" i="29"/>
  <c r="L21" i="29" s="1"/>
  <c r="Y7" i="26"/>
  <c r="N17" i="26"/>
  <c r="AD17" i="26"/>
  <c r="AG19" i="26"/>
  <c r="AG23" i="26"/>
  <c r="AE25" i="26"/>
  <c r="AJ25" i="26" s="1"/>
  <c r="V25" i="26"/>
  <c r="T26" i="26"/>
  <c r="AB26" i="26"/>
  <c r="I35" i="26"/>
  <c r="R36" i="26"/>
  <c r="X36" i="26"/>
  <c r="AE38" i="26"/>
  <c r="AJ38" i="26" s="1"/>
  <c r="R38" i="26"/>
  <c r="X38" i="26"/>
  <c r="L41" i="26"/>
  <c r="T41" i="26"/>
  <c r="AB41" i="26"/>
  <c r="T42" i="26"/>
  <c r="Y40" i="26"/>
  <c r="D17" i="29"/>
  <c r="B17" i="29" s="1"/>
  <c r="D17" i="33"/>
  <c r="P17" i="33"/>
  <c r="P17" i="29"/>
  <c r="N17" i="29" s="1"/>
  <c r="K45" i="26"/>
  <c r="F19" i="33" s="1"/>
  <c r="AE47" i="26"/>
  <c r="AJ47" i="26" s="1"/>
  <c r="P49" i="26"/>
  <c r="X49" i="26"/>
  <c r="N50" i="26"/>
  <c r="M48" i="26"/>
  <c r="V50" i="26"/>
  <c r="AD50" i="26"/>
  <c r="AE53" i="26"/>
  <c r="AJ53" i="26" s="1"/>
  <c r="L54" i="26"/>
  <c r="T54" i="26"/>
  <c r="AB54" i="26"/>
  <c r="D22" i="29"/>
  <c r="B22" i="29" s="1"/>
  <c r="D22" i="33"/>
  <c r="P22" i="33"/>
  <c r="P21" i="33" s="1"/>
  <c r="P22" i="29"/>
  <c r="P21" i="29" s="1"/>
  <c r="T59" i="26"/>
  <c r="L60" i="26"/>
  <c r="T60" i="26"/>
  <c r="AB60" i="26"/>
  <c r="F22" i="29"/>
  <c r="I22" i="29"/>
  <c r="I21" i="29" s="1"/>
  <c r="J17" i="29"/>
  <c r="M7" i="26"/>
  <c r="G10" i="33" s="1"/>
  <c r="G9" i="33" s="1"/>
  <c r="I7" i="26"/>
  <c r="S7" i="26"/>
  <c r="AA7" i="26"/>
  <c r="R10" i="33" s="1"/>
  <c r="AG10" i="26"/>
  <c r="AG17" i="26"/>
  <c r="Z17" i="26"/>
  <c r="AE19" i="26"/>
  <c r="AJ19" i="26" s="1"/>
  <c r="AE21" i="26"/>
  <c r="AJ21" i="26" s="1"/>
  <c r="AE23" i="26"/>
  <c r="AJ23" i="26" s="1"/>
  <c r="L25" i="26"/>
  <c r="R25" i="26"/>
  <c r="N26" i="26"/>
  <c r="V26" i="26"/>
  <c r="AD26" i="26"/>
  <c r="AE32" i="26"/>
  <c r="AJ32" i="26" s="1"/>
  <c r="T36" i="26"/>
  <c r="Z36" i="26"/>
  <c r="N38" i="26"/>
  <c r="Z38" i="26"/>
  <c r="N41" i="26"/>
  <c r="V41" i="26"/>
  <c r="AD41" i="26"/>
  <c r="R17" i="29"/>
  <c r="R17" i="33"/>
  <c r="U17" i="33" s="1"/>
  <c r="M45" i="26"/>
  <c r="J49" i="26"/>
  <c r="R49" i="26"/>
  <c r="Z49" i="26"/>
  <c r="P50" i="26"/>
  <c r="O48" i="26"/>
  <c r="X50" i="26"/>
  <c r="Q48" i="26"/>
  <c r="Q45" i="26" s="1"/>
  <c r="J20" i="33"/>
  <c r="N54" i="26"/>
  <c r="V54" i="26"/>
  <c r="AD54" i="26"/>
  <c r="E22" i="33"/>
  <c r="E21" i="33" s="1"/>
  <c r="F21" i="33"/>
  <c r="R22" i="33"/>
  <c r="R22" i="29"/>
  <c r="R21" i="29" s="1"/>
  <c r="N60" i="26"/>
  <c r="V60" i="26"/>
  <c r="AD60" i="26"/>
  <c r="F17" i="29"/>
  <c r="G22" i="29"/>
  <c r="J22" i="29"/>
  <c r="J21" i="29" s="1"/>
  <c r="U22" i="33"/>
  <c r="U21" i="33" s="1"/>
  <c r="F53" i="26"/>
  <c r="P53" i="26" s="1"/>
  <c r="Q6" i="26"/>
  <c r="K7" i="26"/>
  <c r="U7" i="26"/>
  <c r="AC7" i="26"/>
  <c r="AG11" i="26"/>
  <c r="AE17" i="26"/>
  <c r="AJ17" i="26" s="1"/>
  <c r="V17" i="26"/>
  <c r="AE18" i="26"/>
  <c r="AJ18" i="26" s="1"/>
  <c r="L19" i="26"/>
  <c r="L23" i="26"/>
  <c r="N25" i="26"/>
  <c r="AD25" i="26"/>
  <c r="P26" i="26"/>
  <c r="X26" i="26"/>
  <c r="N36" i="26"/>
  <c r="AB36" i="26"/>
  <c r="AB38" i="26"/>
  <c r="P41" i="26"/>
  <c r="X41" i="26"/>
  <c r="P42" i="26"/>
  <c r="E17" i="33"/>
  <c r="S17" i="33"/>
  <c r="Q17" i="33" s="1"/>
  <c r="S17" i="29"/>
  <c r="O45" i="26"/>
  <c r="I19" i="33" s="1"/>
  <c r="AG47" i="26"/>
  <c r="L49" i="26"/>
  <c r="J50" i="26"/>
  <c r="R50" i="26"/>
  <c r="Z50" i="26"/>
  <c r="S20" i="33"/>
  <c r="S20" i="29"/>
  <c r="N53" i="26"/>
  <c r="AD53" i="26"/>
  <c r="P54" i="26"/>
  <c r="X54" i="26"/>
  <c r="M22" i="33"/>
  <c r="M22" i="29"/>
  <c r="S22" i="33"/>
  <c r="S21" i="33" s="1"/>
  <c r="S22" i="29"/>
  <c r="P59" i="26"/>
  <c r="X59" i="26"/>
  <c r="P60" i="26"/>
  <c r="X60" i="26"/>
  <c r="G17" i="29"/>
  <c r="J10" i="29"/>
  <c r="J9" i="29" s="1"/>
  <c r="L17" i="29"/>
  <c r="N43" i="26"/>
  <c r="V43" i="26"/>
  <c r="AD43" i="26"/>
  <c r="AG53" i="26"/>
  <c r="AH53" i="26" s="1"/>
  <c r="J20" i="29"/>
  <c r="M28" i="26"/>
  <c r="AG32" i="26"/>
  <c r="N33" i="26"/>
  <c r="V33" i="26"/>
  <c r="AD33" i="26"/>
  <c r="P33" i="26"/>
  <c r="X33" i="26"/>
  <c r="J33" i="26"/>
  <c r="R33" i="26"/>
  <c r="Z33" i="26"/>
  <c r="L33" i="26"/>
  <c r="T33" i="26"/>
  <c r="AB33" i="26"/>
  <c r="N32" i="26"/>
  <c r="X32" i="26"/>
  <c r="AD32" i="26"/>
  <c r="T32" i="26"/>
  <c r="Z32" i="26"/>
  <c r="P32" i="26"/>
  <c r="V32" i="26"/>
  <c r="L32" i="26"/>
  <c r="R32" i="26"/>
  <c r="P31" i="26"/>
  <c r="X31" i="26"/>
  <c r="N31" i="26"/>
  <c r="J31" i="26"/>
  <c r="R31" i="26"/>
  <c r="L31" i="26"/>
  <c r="T31" i="26"/>
  <c r="AB31" i="26"/>
  <c r="N29" i="26"/>
  <c r="V29" i="26"/>
  <c r="AD29" i="26"/>
  <c r="J29" i="26"/>
  <c r="R29" i="26"/>
  <c r="Z29" i="26"/>
  <c r="AE39" i="26"/>
  <c r="AJ39" i="26" s="1"/>
  <c r="T39" i="26"/>
  <c r="AB39" i="26"/>
  <c r="J39" i="26"/>
  <c r="V39" i="26"/>
  <c r="AD39" i="26"/>
  <c r="R39" i="26"/>
  <c r="X39" i="26"/>
  <c r="N39" i="26"/>
  <c r="Z39" i="26"/>
  <c r="N37" i="26"/>
  <c r="Z37" i="26"/>
  <c r="V37" i="26"/>
  <c r="R37" i="26"/>
  <c r="AD37" i="26"/>
  <c r="Z48" i="26"/>
  <c r="N51" i="26"/>
  <c r="X51" i="26"/>
  <c r="AD51" i="26"/>
  <c r="AH51" i="26"/>
  <c r="T51" i="26"/>
  <c r="Z51" i="26"/>
  <c r="P48" i="26"/>
  <c r="P51" i="26"/>
  <c r="V51" i="26"/>
  <c r="R48" i="26"/>
  <c r="L51" i="26"/>
  <c r="R51" i="26"/>
  <c r="AB51" i="26"/>
  <c r="L43" i="26"/>
  <c r="T43" i="26"/>
  <c r="AB43" i="26"/>
  <c r="P43" i="26"/>
  <c r="X43" i="26"/>
  <c r="J43" i="26"/>
  <c r="R43" i="26"/>
  <c r="Z43" i="26"/>
  <c r="Q16" i="26"/>
  <c r="Q15" i="26" s="1"/>
  <c r="J8" i="26"/>
  <c r="X8" i="26"/>
  <c r="AD8" i="26"/>
  <c r="R8" i="26"/>
  <c r="N8" i="26"/>
  <c r="T8" i="26"/>
  <c r="Z8" i="26"/>
  <c r="P8" i="26"/>
  <c r="V8" i="26"/>
  <c r="AB8" i="26"/>
  <c r="D21" i="29"/>
  <c r="V22" i="29"/>
  <c r="V21" i="29" s="1"/>
  <c r="U17" i="29"/>
  <c r="E22" i="29"/>
  <c r="E21" i="29" s="1"/>
  <c r="V17" i="29"/>
  <c r="K22" i="29"/>
  <c r="K21" i="29" s="1"/>
  <c r="M21" i="29"/>
  <c r="H17" i="29"/>
  <c r="H22" i="29"/>
  <c r="H21" i="29" s="1"/>
  <c r="H10" i="29"/>
  <c r="H9" i="29" s="1"/>
  <c r="M27" i="26"/>
  <c r="G10" i="29"/>
  <c r="AE8" i="26"/>
  <c r="AE9" i="26"/>
  <c r="Y16" i="26"/>
  <c r="Y15" i="26" s="1"/>
  <c r="Y35" i="26"/>
  <c r="AE36" i="26"/>
  <c r="AJ36" i="26" s="1"/>
  <c r="AG38" i="26"/>
  <c r="Q40" i="26"/>
  <c r="N48" i="26"/>
  <c r="W48" i="26"/>
  <c r="X48" i="26" s="1"/>
  <c r="I52" i="26"/>
  <c r="Y52" i="26"/>
  <c r="AE59" i="26"/>
  <c r="AJ59" i="26" s="1"/>
  <c r="U57" i="26"/>
  <c r="Q27" i="26"/>
  <c r="AG8" i="26"/>
  <c r="AB9" i="26"/>
  <c r="AE10" i="26"/>
  <c r="J11" i="26"/>
  <c r="I16" i="26"/>
  <c r="I15" i="26" s="1"/>
  <c r="J17" i="26"/>
  <c r="R17" i="26"/>
  <c r="L21" i="26"/>
  <c r="J23" i="26"/>
  <c r="I28" i="26"/>
  <c r="I27" i="26" s="1"/>
  <c r="Q35" i="26"/>
  <c r="AG35" i="26" s="1"/>
  <c r="AK35" i="26" s="1"/>
  <c r="AG36" i="26"/>
  <c r="L38" i="26"/>
  <c r="L39" i="26"/>
  <c r="AG42" i="26"/>
  <c r="M57" i="26"/>
  <c r="AC57" i="26"/>
  <c r="M40" i="26"/>
  <c r="AC40" i="26"/>
  <c r="I19" i="29"/>
  <c r="AC49" i="26"/>
  <c r="AG49" i="26" s="1"/>
  <c r="L10" i="26"/>
  <c r="J19" i="26"/>
  <c r="AG24" i="26"/>
  <c r="AK24" i="26" s="1"/>
  <c r="J25" i="26"/>
  <c r="AE29" i="26"/>
  <c r="J32" i="26"/>
  <c r="U35" i="26"/>
  <c r="J36" i="26"/>
  <c r="AG37" i="26"/>
  <c r="AE42" i="26"/>
  <c r="AJ42" i="26" s="1"/>
  <c r="U40" i="26"/>
  <c r="I48" i="26"/>
  <c r="J48" i="26" s="1"/>
  <c r="U48" i="26"/>
  <c r="V48" i="26" s="1"/>
  <c r="J51" i="26"/>
  <c r="U52" i="26"/>
  <c r="J53" i="26"/>
  <c r="K55" i="26"/>
  <c r="S55" i="26"/>
  <c r="AA55" i="26"/>
  <c r="AG59" i="26"/>
  <c r="Y57" i="26"/>
  <c r="AI10" i="26"/>
  <c r="AF8" i="26"/>
  <c r="AF18" i="26"/>
  <c r="R10" i="29"/>
  <c r="L8" i="26"/>
  <c r="AG9" i="26"/>
  <c r="J10" i="26"/>
  <c r="M16" i="26"/>
  <c r="M15" i="26" s="1"/>
  <c r="AC16" i="26"/>
  <c r="AC15" i="26" s="1"/>
  <c r="AF17" i="26"/>
  <c r="AI17" i="26"/>
  <c r="O16" i="26"/>
  <c r="O15" i="26" s="1"/>
  <c r="P18" i="26"/>
  <c r="W16" i="26"/>
  <c r="W15" i="26" s="1"/>
  <c r="X18" i="26"/>
  <c r="AI19" i="26"/>
  <c r="AF19" i="26"/>
  <c r="AG20" i="26"/>
  <c r="J9" i="26"/>
  <c r="R9" i="26"/>
  <c r="AI11" i="26"/>
  <c r="AE12" i="26"/>
  <c r="AJ12" i="26" s="1"/>
  <c r="J13" i="29"/>
  <c r="AE22" i="26"/>
  <c r="AJ22" i="26" s="1"/>
  <c r="L22" i="26"/>
  <c r="AF23" i="26"/>
  <c r="AI23" i="26"/>
  <c r="AB49" i="26"/>
  <c r="AE49" i="26"/>
  <c r="AG12" i="26"/>
  <c r="U16" i="26"/>
  <c r="U15" i="26" s="1"/>
  <c r="K16" i="26"/>
  <c r="K15" i="26" s="1"/>
  <c r="L18" i="26"/>
  <c r="S16" i="26"/>
  <c r="S15" i="26" s="1"/>
  <c r="T18" i="26"/>
  <c r="AA16" i="26"/>
  <c r="AA15" i="26" s="1"/>
  <c r="AB18" i="26"/>
  <c r="AF25" i="26"/>
  <c r="AI25" i="26"/>
  <c r="AF21" i="26"/>
  <c r="AI21" i="26"/>
  <c r="AF26" i="26"/>
  <c r="L26" i="26"/>
  <c r="V31" i="26"/>
  <c r="U28" i="26"/>
  <c r="AD31" i="26"/>
  <c r="AC28" i="26"/>
  <c r="AI32" i="26"/>
  <c r="AF32" i="26"/>
  <c r="AE33" i="26"/>
  <c r="AJ33" i="26" s="1"/>
  <c r="I34" i="26"/>
  <c r="Y34" i="26"/>
  <c r="X37" i="26"/>
  <c r="W35" i="26"/>
  <c r="AG18" i="26"/>
  <c r="AE20" i="26"/>
  <c r="AJ20" i="26" s="1"/>
  <c r="AG22" i="26"/>
  <c r="AE24" i="26"/>
  <c r="AJ24" i="26" s="1"/>
  <c r="AG26" i="26"/>
  <c r="P29" i="26"/>
  <c r="O28" i="26"/>
  <c r="X29" i="26"/>
  <c r="W28" i="26"/>
  <c r="AI30" i="26"/>
  <c r="AG31" i="26"/>
  <c r="M34" i="26"/>
  <c r="AC34" i="26"/>
  <c r="AI36" i="26"/>
  <c r="AF36" i="26"/>
  <c r="T37" i="26"/>
  <c r="S35" i="26"/>
  <c r="AF42" i="26"/>
  <c r="AI42" i="26"/>
  <c r="Z31" i="26"/>
  <c r="Y28" i="26"/>
  <c r="Q34" i="26"/>
  <c r="P37" i="26"/>
  <c r="O35" i="26"/>
  <c r="L29" i="26"/>
  <c r="K28" i="26"/>
  <c r="T29" i="26"/>
  <c r="S28" i="26"/>
  <c r="AB29" i="26"/>
  <c r="AA28" i="26"/>
  <c r="U34" i="26"/>
  <c r="L37" i="26"/>
  <c r="AE37" i="26"/>
  <c r="AJ37" i="26" s="1"/>
  <c r="K35" i="26"/>
  <c r="AB37" i="26"/>
  <c r="AA35" i="26"/>
  <c r="AF38" i="26"/>
  <c r="AI38" i="26"/>
  <c r="AF39" i="26"/>
  <c r="AG29" i="26"/>
  <c r="AE31" i="26"/>
  <c r="AJ31" i="26" s="1"/>
  <c r="AG33" i="26"/>
  <c r="L36" i="26"/>
  <c r="J38" i="26"/>
  <c r="AG41" i="26"/>
  <c r="J42" i="26"/>
  <c r="N42" i="26"/>
  <c r="R42" i="26"/>
  <c r="V42" i="26"/>
  <c r="Z42" i="26"/>
  <c r="AD42" i="26"/>
  <c r="AE43" i="26"/>
  <c r="AJ43" i="26" s="1"/>
  <c r="S48" i="26"/>
  <c r="S45" i="26" s="1"/>
  <c r="AA48" i="26"/>
  <c r="AA45" i="26" s="1"/>
  <c r="I40" i="26"/>
  <c r="AE50" i="26"/>
  <c r="AJ50" i="26" s="1"/>
  <c r="AI51" i="26"/>
  <c r="AF51" i="26"/>
  <c r="AG39" i="26"/>
  <c r="AE41" i="26"/>
  <c r="AJ41" i="26" s="1"/>
  <c r="AG43" i="26"/>
  <c r="AI47" i="26"/>
  <c r="AI53" i="26"/>
  <c r="AF53" i="26"/>
  <c r="AF59" i="26"/>
  <c r="K40" i="26"/>
  <c r="O40" i="26"/>
  <c r="S40" i="26"/>
  <c r="W40" i="26"/>
  <c r="AA40" i="26"/>
  <c r="AG46" i="26"/>
  <c r="AE46" i="26"/>
  <c r="AJ46" i="26" s="1"/>
  <c r="AG50" i="26"/>
  <c r="K52" i="26"/>
  <c r="O52" i="26"/>
  <c r="S52" i="26"/>
  <c r="W52" i="26"/>
  <c r="AA52" i="26"/>
  <c r="AG54" i="26"/>
  <c r="AH54" i="26" s="1"/>
  <c r="AE56" i="26"/>
  <c r="AJ56" i="26" s="1"/>
  <c r="AG58" i="26"/>
  <c r="AK58" i="26" s="1"/>
  <c r="J59" i="26"/>
  <c r="N59" i="26"/>
  <c r="R59" i="26"/>
  <c r="V59" i="26"/>
  <c r="Z59" i="26"/>
  <c r="AD59" i="26"/>
  <c r="AE60" i="26"/>
  <c r="AJ60" i="26" s="1"/>
  <c r="I57" i="26"/>
  <c r="AE54" i="26"/>
  <c r="AJ54" i="26" s="1"/>
  <c r="AG56" i="26"/>
  <c r="AE58" i="26"/>
  <c r="AJ58" i="26" s="1"/>
  <c r="AG60" i="26"/>
  <c r="I55" i="26"/>
  <c r="M55" i="26"/>
  <c r="N55" i="26" s="1"/>
  <c r="Q55" i="26"/>
  <c r="U55" i="26"/>
  <c r="Y55" i="26"/>
  <c r="AC55" i="26"/>
  <c r="AD55" i="26" s="1"/>
  <c r="K57" i="26"/>
  <c r="O57" i="26"/>
  <c r="S57" i="26"/>
  <c r="W57" i="26"/>
  <c r="AA57" i="26"/>
  <c r="C20" i="26"/>
  <c r="C9" i="26"/>
  <c r="E26" i="26"/>
  <c r="C26" i="26"/>
  <c r="E11" i="26"/>
  <c r="C60" i="26"/>
  <c r="C22" i="26"/>
  <c r="E29" i="26"/>
  <c r="C29" i="26"/>
  <c r="C43" i="26"/>
  <c r="F47" i="26"/>
  <c r="C8" i="26"/>
  <c r="C10" i="26"/>
  <c r="C12" i="26"/>
  <c r="C18" i="26"/>
  <c r="E53" i="26"/>
  <c r="C53" i="26"/>
  <c r="E31" i="26"/>
  <c r="C31" i="26"/>
  <c r="C59" i="26"/>
  <c r="E19" i="26"/>
  <c r="E23" i="26"/>
  <c r="B6" i="26"/>
  <c r="F7" i="26"/>
  <c r="F6" i="26" s="1"/>
  <c r="C17" i="26"/>
  <c r="C19" i="26"/>
  <c r="C23" i="26"/>
  <c r="F40" i="26"/>
  <c r="C42" i="26"/>
  <c r="D52" i="26"/>
  <c r="B57" i="26"/>
  <c r="E21" i="26"/>
  <c r="C32" i="26"/>
  <c r="E12" i="26"/>
  <c r="C55" i="26"/>
  <c r="F56" i="26"/>
  <c r="F55" i="26" s="1"/>
  <c r="P55" i="26" s="1"/>
  <c r="E17" i="26"/>
  <c r="E42" i="26"/>
  <c r="E18" i="26"/>
  <c r="E20" i="26"/>
  <c r="E22" i="26"/>
  <c r="F35" i="26"/>
  <c r="C35" i="26" s="1"/>
  <c r="E41" i="26"/>
  <c r="E25" i="26"/>
  <c r="C25" i="26"/>
  <c r="D6" i="26"/>
  <c r="D15" i="26"/>
  <c r="B16" i="26"/>
  <c r="F30" i="26"/>
  <c r="Z30" i="26" s="1"/>
  <c r="E32" i="26"/>
  <c r="B34" i="26"/>
  <c r="C36" i="26"/>
  <c r="C37" i="26"/>
  <c r="C38" i="26"/>
  <c r="C39" i="26"/>
  <c r="B45" i="26"/>
  <c r="C49" i="26"/>
  <c r="C50" i="26"/>
  <c r="C51" i="26"/>
  <c r="D28" i="26"/>
  <c r="E33" i="26"/>
  <c r="E36" i="26"/>
  <c r="E37" i="26"/>
  <c r="E38" i="26"/>
  <c r="E39" i="26"/>
  <c r="E49" i="26"/>
  <c r="E50" i="26"/>
  <c r="E51" i="26"/>
  <c r="E54" i="26"/>
  <c r="F58" i="26"/>
  <c r="F57" i="26" s="1"/>
  <c r="R57" i="26" s="1"/>
  <c r="F46" i="26"/>
  <c r="X46" i="26" s="1"/>
  <c r="C33" i="26"/>
  <c r="C54" i="26"/>
  <c r="AA44" i="26" l="1"/>
  <c r="R19" i="33"/>
  <c r="R19" i="29"/>
  <c r="S44" i="26"/>
  <c r="L19" i="33"/>
  <c r="L19" i="29"/>
  <c r="Q44" i="26"/>
  <c r="J19" i="33"/>
  <c r="J19" i="29"/>
  <c r="R47" i="26"/>
  <c r="Z47" i="26"/>
  <c r="J47" i="26"/>
  <c r="O23" i="33"/>
  <c r="O23" i="29"/>
  <c r="AH56" i="26"/>
  <c r="AK56" i="26"/>
  <c r="I20" i="33"/>
  <c r="I20" i="29"/>
  <c r="AH46" i="26"/>
  <c r="P40" i="26"/>
  <c r="I16" i="33"/>
  <c r="I16" i="29"/>
  <c r="AD46" i="26"/>
  <c r="AH39" i="26"/>
  <c r="AK39" i="26"/>
  <c r="D16" i="33"/>
  <c r="D16" i="29"/>
  <c r="AH29" i="26"/>
  <c r="AK29" i="26"/>
  <c r="G15" i="33"/>
  <c r="G15" i="29"/>
  <c r="L13" i="33"/>
  <c r="L13" i="29"/>
  <c r="AH12" i="26"/>
  <c r="AK12" i="26"/>
  <c r="AH20" i="26"/>
  <c r="AK20" i="26"/>
  <c r="O13" i="33"/>
  <c r="O13" i="29"/>
  <c r="AH9" i="26"/>
  <c r="AK9" i="26"/>
  <c r="P23" i="33"/>
  <c r="P23" i="29"/>
  <c r="N23" i="29" s="1"/>
  <c r="AD40" i="26"/>
  <c r="S16" i="33"/>
  <c r="S16" i="29"/>
  <c r="AH42" i="26"/>
  <c r="AK42" i="26"/>
  <c r="J14" i="29"/>
  <c r="J14" i="33"/>
  <c r="D20" i="33"/>
  <c r="D20" i="29"/>
  <c r="AH38" i="26"/>
  <c r="AK38" i="26"/>
  <c r="AF9" i="26"/>
  <c r="AJ9" i="26"/>
  <c r="Z56" i="26"/>
  <c r="H20" i="29"/>
  <c r="Q22" i="29"/>
  <c r="Q21" i="29" s="1"/>
  <c r="S21" i="29"/>
  <c r="T47" i="26"/>
  <c r="I18" i="33"/>
  <c r="AH11" i="26"/>
  <c r="AK11" i="26"/>
  <c r="E17" i="29"/>
  <c r="T17" i="29" s="1"/>
  <c r="H20" i="33"/>
  <c r="G19" i="33"/>
  <c r="G18" i="33" s="1"/>
  <c r="M44" i="26"/>
  <c r="G19" i="29"/>
  <c r="R9" i="33"/>
  <c r="U22" i="29"/>
  <c r="U21" i="29" s="1"/>
  <c r="V22" i="33"/>
  <c r="V21" i="33" s="1"/>
  <c r="D21" i="33"/>
  <c r="B21" i="33" s="1"/>
  <c r="B22" i="33"/>
  <c r="AB46" i="26"/>
  <c r="L46" i="26"/>
  <c r="AH23" i="26"/>
  <c r="AK23" i="26"/>
  <c r="P10" i="33"/>
  <c r="P9" i="33" s="1"/>
  <c r="P10" i="29"/>
  <c r="P9" i="29" s="1"/>
  <c r="Y6" i="26"/>
  <c r="O21" i="29"/>
  <c r="N22" i="29"/>
  <c r="N21" i="29" s="1"/>
  <c r="N17" i="33"/>
  <c r="X53" i="26"/>
  <c r="N47" i="26"/>
  <c r="N10" i="33"/>
  <c r="N9" i="33" s="1"/>
  <c r="O9" i="33"/>
  <c r="L23" i="33"/>
  <c r="L23" i="29"/>
  <c r="Z55" i="26"/>
  <c r="R20" i="33"/>
  <c r="Q20" i="33" s="1"/>
  <c r="R20" i="29"/>
  <c r="Q20" i="29" s="1"/>
  <c r="F20" i="33"/>
  <c r="F20" i="29"/>
  <c r="AB40" i="26"/>
  <c r="R16" i="33"/>
  <c r="Q16" i="33" s="1"/>
  <c r="R16" i="29"/>
  <c r="Q16" i="29" s="1"/>
  <c r="F16" i="33"/>
  <c r="F16" i="29"/>
  <c r="V46" i="26"/>
  <c r="M15" i="29"/>
  <c r="M15" i="33"/>
  <c r="AH31" i="26"/>
  <c r="AK31" i="26"/>
  <c r="AH22" i="26"/>
  <c r="AK22" i="26"/>
  <c r="AJ49" i="26"/>
  <c r="AE48" i="26"/>
  <c r="S13" i="33"/>
  <c r="S13" i="29"/>
  <c r="AD49" i="26"/>
  <c r="AH59" i="26"/>
  <c r="AK59" i="26"/>
  <c r="AH37" i="26"/>
  <c r="AK37" i="26"/>
  <c r="AF29" i="26"/>
  <c r="AJ29" i="26"/>
  <c r="N40" i="26"/>
  <c r="G16" i="33"/>
  <c r="G16" i="29"/>
  <c r="N30" i="26"/>
  <c r="AF10" i="26"/>
  <c r="AJ10" i="26"/>
  <c r="M23" i="33"/>
  <c r="K23" i="33" s="1"/>
  <c r="M23" i="29"/>
  <c r="AE7" i="26"/>
  <c r="AJ8" i="26"/>
  <c r="Q14" i="26"/>
  <c r="Q13" i="26" s="1"/>
  <c r="J13" i="33"/>
  <c r="X56" i="26"/>
  <c r="AH47" i="26"/>
  <c r="P46" i="26"/>
  <c r="S10" i="29"/>
  <c r="S9" i="29" s="1"/>
  <c r="S10" i="33"/>
  <c r="S9" i="33" s="1"/>
  <c r="Q22" i="33"/>
  <c r="Q21" i="33" s="1"/>
  <c r="R21" i="33"/>
  <c r="X47" i="26"/>
  <c r="N46" i="26"/>
  <c r="L10" i="33"/>
  <c r="L9" i="33" s="1"/>
  <c r="L10" i="29"/>
  <c r="V53" i="26"/>
  <c r="AB47" i="26"/>
  <c r="Z40" i="26"/>
  <c r="P16" i="33"/>
  <c r="P16" i="29"/>
  <c r="AH19" i="26"/>
  <c r="AK19" i="26"/>
  <c r="N22" i="33"/>
  <c r="N21" i="33" s="1"/>
  <c r="O21" i="33"/>
  <c r="R46" i="26"/>
  <c r="AK46" i="26"/>
  <c r="AB25" i="26"/>
  <c r="I23" i="33"/>
  <c r="I23" i="29"/>
  <c r="AH60" i="26"/>
  <c r="AK60" i="26"/>
  <c r="D23" i="29"/>
  <c r="D23" i="33"/>
  <c r="O20" i="33"/>
  <c r="O20" i="29"/>
  <c r="AH50" i="26"/>
  <c r="AK50" i="26"/>
  <c r="X40" i="26"/>
  <c r="O16" i="33"/>
  <c r="N16" i="33" s="1"/>
  <c r="O16" i="29"/>
  <c r="N16" i="29" s="1"/>
  <c r="AF47" i="26"/>
  <c r="AH43" i="26"/>
  <c r="AK43" i="26"/>
  <c r="AH33" i="26"/>
  <c r="AK33" i="26"/>
  <c r="J15" i="29"/>
  <c r="J15" i="33"/>
  <c r="P15" i="33"/>
  <c r="P15" i="29"/>
  <c r="R13" i="29"/>
  <c r="R13" i="33"/>
  <c r="F13" i="33"/>
  <c r="F13" i="29"/>
  <c r="I13" i="33"/>
  <c r="M14" i="26"/>
  <c r="M13" i="26" s="1"/>
  <c r="G13" i="33"/>
  <c r="G13" i="29"/>
  <c r="M20" i="33"/>
  <c r="M20" i="29"/>
  <c r="L47" i="26"/>
  <c r="AH49" i="26"/>
  <c r="AK49" i="26"/>
  <c r="S23" i="33"/>
  <c r="S23" i="29"/>
  <c r="D14" i="33"/>
  <c r="D14" i="29"/>
  <c r="B14" i="29" s="1"/>
  <c r="V56" i="26"/>
  <c r="AH32" i="26"/>
  <c r="AK32" i="26"/>
  <c r="F45" i="26"/>
  <c r="W45" i="26"/>
  <c r="M10" i="33"/>
  <c r="M10" i="29"/>
  <c r="M9" i="29" s="1"/>
  <c r="U6" i="26"/>
  <c r="AK53" i="26"/>
  <c r="AH17" i="26"/>
  <c r="AK17" i="26"/>
  <c r="D10" i="33"/>
  <c r="I6" i="26"/>
  <c r="D10" i="29"/>
  <c r="T46" i="26"/>
  <c r="K17" i="29"/>
  <c r="P47" i="26"/>
  <c r="J46" i="26"/>
  <c r="AK54" i="26"/>
  <c r="AD47" i="26"/>
  <c r="AF11" i="26"/>
  <c r="AJ11" i="26"/>
  <c r="H10" i="33"/>
  <c r="H9" i="33" s="1"/>
  <c r="I9" i="33"/>
  <c r="X25" i="26"/>
  <c r="R23" i="33"/>
  <c r="Q23" i="33" s="1"/>
  <c r="R23" i="29"/>
  <c r="Q23" i="29" s="1"/>
  <c r="F23" i="29"/>
  <c r="F23" i="33"/>
  <c r="R55" i="26"/>
  <c r="L20" i="33"/>
  <c r="K20" i="33" s="1"/>
  <c r="L20" i="29"/>
  <c r="K20" i="29" s="1"/>
  <c r="AE45" i="26"/>
  <c r="T40" i="26"/>
  <c r="L16" i="33"/>
  <c r="K16" i="33" s="1"/>
  <c r="L16" i="29"/>
  <c r="Z46" i="26"/>
  <c r="AH41" i="26"/>
  <c r="AK41" i="26"/>
  <c r="S15" i="33"/>
  <c r="S15" i="29"/>
  <c r="AH26" i="26"/>
  <c r="AK26" i="26"/>
  <c r="AH18" i="26"/>
  <c r="AK18" i="26"/>
  <c r="D15" i="33"/>
  <c r="D15" i="29"/>
  <c r="B15" i="29" s="1"/>
  <c r="M13" i="33"/>
  <c r="M13" i="29"/>
  <c r="V40" i="26"/>
  <c r="M16" i="33"/>
  <c r="M16" i="29"/>
  <c r="G23" i="33"/>
  <c r="G23" i="29"/>
  <c r="AH36" i="26"/>
  <c r="AK36" i="26"/>
  <c r="D13" i="33"/>
  <c r="I14" i="26"/>
  <c r="I13" i="26" s="1"/>
  <c r="D13" i="29"/>
  <c r="P20" i="33"/>
  <c r="P20" i="29"/>
  <c r="R40" i="26"/>
  <c r="J16" i="33"/>
  <c r="H16" i="33" s="1"/>
  <c r="J16" i="29"/>
  <c r="J12" i="29" s="1"/>
  <c r="J11" i="29" s="1"/>
  <c r="P13" i="33"/>
  <c r="P13" i="29"/>
  <c r="G14" i="29"/>
  <c r="G14" i="33"/>
  <c r="T56" i="26"/>
  <c r="K22" i="33"/>
  <c r="K21" i="33" s="1"/>
  <c r="M21" i="33"/>
  <c r="F10" i="33"/>
  <c r="F10" i="29"/>
  <c r="U10" i="29" s="1"/>
  <c r="U9" i="29" s="1"/>
  <c r="F52" i="26"/>
  <c r="X52" i="26" s="1"/>
  <c r="AB53" i="26"/>
  <c r="L53" i="26"/>
  <c r="R53" i="26"/>
  <c r="U45" i="26"/>
  <c r="Q17" i="29"/>
  <c r="AH10" i="26"/>
  <c r="AK10" i="26"/>
  <c r="F18" i="33"/>
  <c r="E19" i="33"/>
  <c r="V17" i="33"/>
  <c r="B17" i="33"/>
  <c r="T17" i="33" s="1"/>
  <c r="J23" i="33"/>
  <c r="J23" i="29"/>
  <c r="Z53" i="26"/>
  <c r="Y44" i="26"/>
  <c r="P19" i="33"/>
  <c r="P18" i="33" s="1"/>
  <c r="P19" i="29"/>
  <c r="P18" i="29" s="1"/>
  <c r="Z25" i="26"/>
  <c r="L59" i="26"/>
  <c r="V47" i="26"/>
  <c r="AK21" i="26"/>
  <c r="AH21" i="26"/>
  <c r="O9" i="29"/>
  <c r="N10" i="29"/>
  <c r="N9" i="29" s="1"/>
  <c r="AK47" i="26"/>
  <c r="T53" i="26"/>
  <c r="P25" i="26"/>
  <c r="AH8" i="26"/>
  <c r="AK8" i="26"/>
  <c r="AG7" i="26"/>
  <c r="H19" i="29"/>
  <c r="H18" i="29" s="1"/>
  <c r="I18" i="29"/>
  <c r="R9" i="29"/>
  <c r="Q10" i="29"/>
  <c r="Q9" i="29" s="1"/>
  <c r="P30" i="26"/>
  <c r="T30" i="26"/>
  <c r="AB30" i="26"/>
  <c r="L30" i="26"/>
  <c r="X30" i="26"/>
  <c r="AD30" i="26"/>
  <c r="J30" i="26"/>
  <c r="AH30" i="26"/>
  <c r="AF30" i="26"/>
  <c r="V30" i="26"/>
  <c r="R30" i="26"/>
  <c r="R35" i="26"/>
  <c r="N35" i="26"/>
  <c r="V35" i="26"/>
  <c r="Z35" i="26"/>
  <c r="AH35" i="26"/>
  <c r="AD35" i="26"/>
  <c r="J35" i="26"/>
  <c r="U23" i="29"/>
  <c r="X57" i="26"/>
  <c r="T57" i="26"/>
  <c r="P57" i="26"/>
  <c r="AH58" i="26"/>
  <c r="AD57" i="26"/>
  <c r="X58" i="26"/>
  <c r="N58" i="26"/>
  <c r="C57" i="26"/>
  <c r="AB57" i="26"/>
  <c r="N57" i="26"/>
  <c r="V57" i="26"/>
  <c r="P58" i="26"/>
  <c r="AB58" i="26"/>
  <c r="Z58" i="26"/>
  <c r="Z57" i="26"/>
  <c r="AD58" i="26"/>
  <c r="T58" i="26"/>
  <c r="R58" i="26"/>
  <c r="V58" i="26"/>
  <c r="L58" i="26"/>
  <c r="J58" i="26"/>
  <c r="T55" i="26"/>
  <c r="J56" i="26"/>
  <c r="X55" i="26"/>
  <c r="AD56" i="26"/>
  <c r="AB56" i="26"/>
  <c r="V55" i="26"/>
  <c r="AB55" i="26"/>
  <c r="R56" i="26"/>
  <c r="P56" i="26"/>
  <c r="N56" i="26"/>
  <c r="L56" i="26"/>
  <c r="J18" i="29"/>
  <c r="N24" i="26"/>
  <c r="F16" i="26"/>
  <c r="F15" i="26" s="1"/>
  <c r="X24" i="26"/>
  <c r="Z24" i="26"/>
  <c r="T24" i="26"/>
  <c r="AB24" i="26"/>
  <c r="J24" i="26"/>
  <c r="R24" i="26"/>
  <c r="P24" i="26"/>
  <c r="L24" i="26"/>
  <c r="AH24" i="26"/>
  <c r="AD24" i="26"/>
  <c r="V24" i="26"/>
  <c r="V10" i="29"/>
  <c r="V9" i="29" s="1"/>
  <c r="AI8" i="26"/>
  <c r="C7" i="26"/>
  <c r="Z7" i="26"/>
  <c r="R7" i="26"/>
  <c r="V7" i="26"/>
  <c r="J7" i="26"/>
  <c r="T22" i="29"/>
  <c r="T21" i="29" s="1"/>
  <c r="M6" i="26"/>
  <c r="N7" i="26"/>
  <c r="AF49" i="26"/>
  <c r="AI49" i="26"/>
  <c r="AC48" i="26"/>
  <c r="AC45" i="26" s="1"/>
  <c r="AE55" i="26"/>
  <c r="L55" i="26"/>
  <c r="AC6" i="26"/>
  <c r="AD7" i="26"/>
  <c r="AI26" i="26"/>
  <c r="AI59" i="26"/>
  <c r="AG52" i="26"/>
  <c r="AH52" i="26" s="1"/>
  <c r="AI39" i="26"/>
  <c r="I45" i="26"/>
  <c r="AF46" i="26"/>
  <c r="AI46" i="26"/>
  <c r="AG55" i="26"/>
  <c r="AK55" i="26" s="1"/>
  <c r="J55" i="26"/>
  <c r="AF54" i="26"/>
  <c r="AI54" i="26"/>
  <c r="L52" i="26"/>
  <c r="AE52" i="26"/>
  <c r="AJ52" i="26" s="1"/>
  <c r="AB48" i="26"/>
  <c r="S27" i="26"/>
  <c r="S14" i="26" s="1"/>
  <c r="S13" i="26" s="1"/>
  <c r="P35" i="26"/>
  <c r="O34" i="26"/>
  <c r="W27" i="26"/>
  <c r="W14" i="26" s="1"/>
  <c r="W13" i="26" s="1"/>
  <c r="AF20" i="26"/>
  <c r="AI20" i="26"/>
  <c r="AF33" i="26"/>
  <c r="AI33" i="26"/>
  <c r="AE16" i="26"/>
  <c r="AE15" i="26" s="1"/>
  <c r="AI22" i="26"/>
  <c r="AF22" i="26"/>
  <c r="J45" i="26"/>
  <c r="T7" i="26"/>
  <c r="S6" i="26"/>
  <c r="J57" i="26"/>
  <c r="AG57" i="26"/>
  <c r="AE40" i="26"/>
  <c r="AJ40" i="26" s="1"/>
  <c r="L40" i="26"/>
  <c r="AF50" i="26"/>
  <c r="AI50" i="26"/>
  <c r="T48" i="26"/>
  <c r="AF31" i="26"/>
  <c r="AI31" i="26"/>
  <c r="L35" i="26"/>
  <c r="K34" i="26"/>
  <c r="AE35" i="26"/>
  <c r="AJ35" i="26" s="1"/>
  <c r="Y27" i="26"/>
  <c r="T35" i="26"/>
  <c r="S34" i="26"/>
  <c r="U27" i="26"/>
  <c r="O44" i="26"/>
  <c r="I13" i="29"/>
  <c r="P7" i="26"/>
  <c r="O6" i="26"/>
  <c r="AI9" i="26"/>
  <c r="AG16" i="26"/>
  <c r="AE57" i="26"/>
  <c r="AJ57" i="26" s="1"/>
  <c r="L57" i="26"/>
  <c r="AF58" i="26"/>
  <c r="AI58" i="26"/>
  <c r="AF60" i="26"/>
  <c r="AI60" i="26"/>
  <c r="AF56" i="26"/>
  <c r="AI56" i="26"/>
  <c r="L48" i="26"/>
  <c r="F19" i="29"/>
  <c r="E19" i="29" s="1"/>
  <c r="AJ48" i="26"/>
  <c r="AF43" i="26"/>
  <c r="AI43" i="26"/>
  <c r="AF37" i="26"/>
  <c r="AI37" i="26"/>
  <c r="AA27" i="26"/>
  <c r="AA14" i="26" s="1"/>
  <c r="AA13" i="26" s="1"/>
  <c r="AE28" i="26"/>
  <c r="AJ28" i="26" s="1"/>
  <c r="K27" i="26"/>
  <c r="O27" i="26"/>
  <c r="AF24" i="26"/>
  <c r="AI24" i="26"/>
  <c r="X35" i="26"/>
  <c r="W34" i="26"/>
  <c r="AG34" i="26"/>
  <c r="AK34" i="26" s="1"/>
  <c r="AB7" i="26"/>
  <c r="AA6" i="26"/>
  <c r="L7" i="26"/>
  <c r="K6" i="26"/>
  <c r="AF41" i="26"/>
  <c r="AI41" i="26"/>
  <c r="J40" i="26"/>
  <c r="AG40" i="26"/>
  <c r="AB35" i="26"/>
  <c r="AA34" i="26"/>
  <c r="AC27" i="26"/>
  <c r="AG28" i="26"/>
  <c r="AK28" i="26" s="1"/>
  <c r="AI29" i="26"/>
  <c r="AF12" i="26"/>
  <c r="AI12" i="26"/>
  <c r="X7" i="26"/>
  <c r="W6" i="26"/>
  <c r="AI18" i="26"/>
  <c r="E40" i="26"/>
  <c r="C40" i="26"/>
  <c r="D44" i="26"/>
  <c r="P45" i="26"/>
  <c r="E48" i="26"/>
  <c r="E7" i="26"/>
  <c r="E55" i="26"/>
  <c r="C47" i="26"/>
  <c r="E47" i="26"/>
  <c r="E6" i="26"/>
  <c r="E35" i="26"/>
  <c r="C24" i="26"/>
  <c r="C48" i="26"/>
  <c r="E56" i="26"/>
  <c r="C56" i="26"/>
  <c r="E46" i="26"/>
  <c r="C58" i="26"/>
  <c r="E58" i="26"/>
  <c r="D27" i="26"/>
  <c r="F28" i="26"/>
  <c r="Z28" i="26" s="1"/>
  <c r="C30" i="26"/>
  <c r="E30" i="26"/>
  <c r="E24" i="26"/>
  <c r="B15" i="26"/>
  <c r="B14" i="26" s="1"/>
  <c r="B13" i="26" s="1"/>
  <c r="E57" i="26"/>
  <c r="C46" i="26"/>
  <c r="F34" i="26"/>
  <c r="Z34" i="26" s="1"/>
  <c r="B44" i="26"/>
  <c r="C45" i="26"/>
  <c r="C21" i="29"/>
  <c r="C18" i="29"/>
  <c r="C9" i="29"/>
  <c r="G21" i="29"/>
  <c r="G9" i="29"/>
  <c r="D14" i="26" l="1"/>
  <c r="D13" i="26" s="1"/>
  <c r="D61" i="26" s="1"/>
  <c r="AH40" i="26"/>
  <c r="AK40" i="26"/>
  <c r="S14" i="33"/>
  <c r="S12" i="33" s="1"/>
  <c r="S11" i="33" s="1"/>
  <c r="S14" i="29"/>
  <c r="O15" i="33"/>
  <c r="N15" i="33" s="1"/>
  <c r="O15" i="29"/>
  <c r="N15" i="29" s="1"/>
  <c r="I14" i="33"/>
  <c r="H14" i="33" s="1"/>
  <c r="I14" i="29"/>
  <c r="H14" i="29" s="1"/>
  <c r="P14" i="29"/>
  <c r="P14" i="33"/>
  <c r="I15" i="29"/>
  <c r="U15" i="29" s="1"/>
  <c r="I15" i="33"/>
  <c r="D19" i="33"/>
  <c r="D19" i="29"/>
  <c r="AG48" i="26"/>
  <c r="AG45" i="26" s="1"/>
  <c r="AG44" i="26" s="1"/>
  <c r="P12" i="33"/>
  <c r="P11" i="33" s="1"/>
  <c r="P24" i="33" s="1"/>
  <c r="N28" i="33" s="1"/>
  <c r="D12" i="29"/>
  <c r="D11" i="29" s="1"/>
  <c r="B13" i="29"/>
  <c r="V15" i="33"/>
  <c r="B15" i="33"/>
  <c r="T52" i="26"/>
  <c r="F44" i="26"/>
  <c r="C44" i="26" s="1"/>
  <c r="E10" i="29"/>
  <c r="G12" i="33"/>
  <c r="G11" i="33" s="1"/>
  <c r="E13" i="29"/>
  <c r="F12" i="29"/>
  <c r="F11" i="29" s="1"/>
  <c r="H15" i="33"/>
  <c r="N20" i="29"/>
  <c r="V23" i="29"/>
  <c r="B23" i="29"/>
  <c r="T23" i="29" s="1"/>
  <c r="H23" i="33"/>
  <c r="AE6" i="26"/>
  <c r="AJ6" i="26" s="1"/>
  <c r="AJ7" i="26"/>
  <c r="S12" i="29"/>
  <c r="S11" i="29" s="1"/>
  <c r="U16" i="29"/>
  <c r="E16" i="29"/>
  <c r="H19" i="33"/>
  <c r="H18" i="33" s="1"/>
  <c r="J18" i="33"/>
  <c r="R15" i="33"/>
  <c r="Q15" i="33" s="1"/>
  <c r="R15" i="29"/>
  <c r="Q15" i="29" s="1"/>
  <c r="F14" i="33"/>
  <c r="F14" i="29"/>
  <c r="M14" i="29"/>
  <c r="K14" i="29" s="1"/>
  <c r="T14" i="29" s="1"/>
  <c r="M14" i="33"/>
  <c r="AF55" i="26"/>
  <c r="AJ55" i="26"/>
  <c r="AI7" i="26"/>
  <c r="AI6" i="26" s="1"/>
  <c r="E10" i="33"/>
  <c r="F9" i="33"/>
  <c r="U10" i="33"/>
  <c r="U9" i="33" s="1"/>
  <c r="Y14" i="26"/>
  <c r="Y13" i="26" s="1"/>
  <c r="M12" i="33"/>
  <c r="M11" i="33" s="1"/>
  <c r="AE44" i="26"/>
  <c r="U13" i="33"/>
  <c r="F12" i="33"/>
  <c r="F11" i="33" s="1"/>
  <c r="F24" i="33" s="1"/>
  <c r="E27" i="33" s="1"/>
  <c r="E13" i="33"/>
  <c r="Q13" i="29"/>
  <c r="V15" i="29"/>
  <c r="N20" i="33"/>
  <c r="L9" i="29"/>
  <c r="K10" i="29"/>
  <c r="K9" i="29" s="1"/>
  <c r="H13" i="33"/>
  <c r="J12" i="33"/>
  <c r="J11" i="33" s="1"/>
  <c r="U16" i="33"/>
  <c r="E16" i="33"/>
  <c r="U20" i="29"/>
  <c r="E20" i="29"/>
  <c r="E18" i="29" s="1"/>
  <c r="AB52" i="26"/>
  <c r="AK52" i="26"/>
  <c r="T22" i="33"/>
  <c r="T21" i="33" s="1"/>
  <c r="Q10" i="33"/>
  <c r="Q9" i="33" s="1"/>
  <c r="G24" i="33"/>
  <c r="E28" i="33" s="1"/>
  <c r="B20" i="29"/>
  <c r="T20" i="29" s="1"/>
  <c r="V20" i="29"/>
  <c r="N13" i="33"/>
  <c r="E15" i="29"/>
  <c r="B16" i="29"/>
  <c r="V16" i="29"/>
  <c r="P52" i="26"/>
  <c r="N23" i="33"/>
  <c r="R18" i="29"/>
  <c r="L15" i="29"/>
  <c r="K15" i="29" s="1"/>
  <c r="L15" i="33"/>
  <c r="K15" i="33" s="1"/>
  <c r="F15" i="33"/>
  <c r="F15" i="29"/>
  <c r="L14" i="33"/>
  <c r="K14" i="33" s="1"/>
  <c r="L14" i="29"/>
  <c r="AC44" i="26"/>
  <c r="S19" i="29"/>
  <c r="S18" i="29" s="1"/>
  <c r="S24" i="29" s="1"/>
  <c r="Q28" i="29" s="1"/>
  <c r="S19" i="33"/>
  <c r="S18" i="33" s="1"/>
  <c r="E14" i="29"/>
  <c r="V13" i="33"/>
  <c r="D12" i="33"/>
  <c r="D11" i="33" s="1"/>
  <c r="B13" i="33"/>
  <c r="U14" i="26"/>
  <c r="U13" i="26" s="1"/>
  <c r="K16" i="29"/>
  <c r="E23" i="33"/>
  <c r="U23" i="33"/>
  <c r="AJ16" i="26"/>
  <c r="K10" i="33"/>
  <c r="K9" i="33" s="1"/>
  <c r="M9" i="33"/>
  <c r="V14" i="33"/>
  <c r="B14" i="33"/>
  <c r="V52" i="26"/>
  <c r="K14" i="26"/>
  <c r="K13" i="26" s="1"/>
  <c r="AC14" i="26"/>
  <c r="AC13" i="26" s="1"/>
  <c r="U20" i="33"/>
  <c r="E20" i="33"/>
  <c r="E18" i="33" s="1"/>
  <c r="B20" i="33"/>
  <c r="V20" i="33"/>
  <c r="L12" i="29"/>
  <c r="L11" i="29" s="1"/>
  <c r="L24" i="29" s="1"/>
  <c r="K27" i="29" s="1"/>
  <c r="K13" i="29"/>
  <c r="V16" i="33"/>
  <c r="B16" i="33"/>
  <c r="T16" i="33" s="1"/>
  <c r="H16" i="29"/>
  <c r="L18" i="29"/>
  <c r="R18" i="33"/>
  <c r="R24" i="33" s="1"/>
  <c r="Q27" i="33" s="1"/>
  <c r="R14" i="33"/>
  <c r="R12" i="33" s="1"/>
  <c r="R11" i="33" s="1"/>
  <c r="R14" i="29"/>
  <c r="Q14" i="29" s="1"/>
  <c r="AG15" i="26"/>
  <c r="AK16" i="26"/>
  <c r="AH57" i="26"/>
  <c r="AK57" i="26"/>
  <c r="O14" i="33"/>
  <c r="N14" i="33" s="1"/>
  <c r="O14" i="29"/>
  <c r="N14" i="29" s="1"/>
  <c r="U44" i="26"/>
  <c r="M19" i="33"/>
  <c r="M18" i="33" s="1"/>
  <c r="M24" i="33" s="1"/>
  <c r="K28" i="33" s="1"/>
  <c r="M19" i="29"/>
  <c r="M18" i="29" s="1"/>
  <c r="AD52" i="26"/>
  <c r="N52" i="26"/>
  <c r="R52" i="26"/>
  <c r="J52" i="26"/>
  <c r="P12" i="29"/>
  <c r="P11" i="29" s="1"/>
  <c r="P24" i="29" s="1"/>
  <c r="N28" i="29" s="1"/>
  <c r="Z52" i="26"/>
  <c r="V13" i="29"/>
  <c r="E23" i="29"/>
  <c r="V10" i="33"/>
  <c r="V9" i="33" s="1"/>
  <c r="D9" i="33"/>
  <c r="W44" i="26"/>
  <c r="X44" i="26" s="1"/>
  <c r="O19" i="33"/>
  <c r="O19" i="29"/>
  <c r="G12" i="29"/>
  <c r="G11" i="29" s="1"/>
  <c r="O14" i="26"/>
  <c r="O13" i="26" s="1"/>
  <c r="Q13" i="33"/>
  <c r="V23" i="33"/>
  <c r="B23" i="33"/>
  <c r="T23" i="33" s="1"/>
  <c r="H23" i="29"/>
  <c r="K23" i="29"/>
  <c r="N13" i="29"/>
  <c r="N12" i="29" s="1"/>
  <c r="N11" i="29" s="1"/>
  <c r="K13" i="33"/>
  <c r="K12" i="33" s="1"/>
  <c r="K11" i="33" s="1"/>
  <c r="K24" i="33" s="1"/>
  <c r="L12" i="33"/>
  <c r="L11" i="33" s="1"/>
  <c r="K19" i="33"/>
  <c r="K18" i="33" s="1"/>
  <c r="L18" i="33"/>
  <c r="AK48" i="26"/>
  <c r="U19" i="29"/>
  <c r="U18" i="29" s="1"/>
  <c r="AK7" i="26"/>
  <c r="AG6" i="26"/>
  <c r="AK6" i="26" s="1"/>
  <c r="AH7" i="26"/>
  <c r="AH28" i="26"/>
  <c r="AB28" i="26"/>
  <c r="V28" i="26"/>
  <c r="J28" i="26"/>
  <c r="N28" i="26"/>
  <c r="R28" i="26"/>
  <c r="L28" i="26"/>
  <c r="AD28" i="26"/>
  <c r="P28" i="26"/>
  <c r="X28" i="26"/>
  <c r="T28" i="26"/>
  <c r="H15" i="29"/>
  <c r="R34" i="26"/>
  <c r="AD34" i="26"/>
  <c r="X34" i="26"/>
  <c r="AB34" i="26"/>
  <c r="J34" i="26"/>
  <c r="P34" i="26"/>
  <c r="AH34" i="26"/>
  <c r="T34" i="26"/>
  <c r="N34" i="26"/>
  <c r="V34" i="26"/>
  <c r="AD16" i="26"/>
  <c r="J24" i="29"/>
  <c r="H28" i="29" s="1"/>
  <c r="Z45" i="26"/>
  <c r="X45" i="26"/>
  <c r="N45" i="26"/>
  <c r="V45" i="26"/>
  <c r="R45" i="26"/>
  <c r="U13" i="29"/>
  <c r="H13" i="29"/>
  <c r="V16" i="26"/>
  <c r="P16" i="26"/>
  <c r="N16" i="26"/>
  <c r="T16" i="26"/>
  <c r="R16" i="26"/>
  <c r="J16" i="26"/>
  <c r="X16" i="26"/>
  <c r="AB16" i="26"/>
  <c r="AH16" i="26"/>
  <c r="L16" i="26"/>
  <c r="Z16" i="26"/>
  <c r="AD6" i="26"/>
  <c r="R6" i="26"/>
  <c r="V6" i="26"/>
  <c r="Z6" i="26"/>
  <c r="J6" i="26"/>
  <c r="I44" i="26"/>
  <c r="AD48" i="26"/>
  <c r="N6" i="26"/>
  <c r="AH55" i="26"/>
  <c r="AI55" i="26"/>
  <c r="AB6" i="26"/>
  <c r="AI57" i="26"/>
  <c r="AF57" i="26"/>
  <c r="T45" i="26"/>
  <c r="T6" i="26"/>
  <c r="AB45" i="26"/>
  <c r="AF52" i="26"/>
  <c r="AI52" i="26"/>
  <c r="AF7" i="26"/>
  <c r="AF35" i="26"/>
  <c r="AI35" i="26"/>
  <c r="AF16" i="26"/>
  <c r="AI16" i="26"/>
  <c r="AI15" i="26" s="1"/>
  <c r="L6" i="26"/>
  <c r="AF48" i="26"/>
  <c r="AE34" i="26"/>
  <c r="AJ34" i="26" s="1"/>
  <c r="L34" i="26"/>
  <c r="AJ15" i="26"/>
  <c r="X6" i="26"/>
  <c r="AE27" i="26"/>
  <c r="AJ27" i="26" s="1"/>
  <c r="AI40" i="26"/>
  <c r="AF40" i="26"/>
  <c r="I61" i="26"/>
  <c r="B66" i="26" s="1"/>
  <c r="B67" i="26" s="1"/>
  <c r="AI28" i="26"/>
  <c r="AF28" i="26"/>
  <c r="AJ45" i="26"/>
  <c r="L45" i="26"/>
  <c r="K44" i="26"/>
  <c r="P6" i="26"/>
  <c r="Q61" i="26"/>
  <c r="F66" i="26" s="1"/>
  <c r="AG27" i="26"/>
  <c r="AK27" i="26" s="1"/>
  <c r="AK15" i="26"/>
  <c r="E45" i="26"/>
  <c r="E52" i="26"/>
  <c r="C52" i="26"/>
  <c r="C6" i="26"/>
  <c r="C16" i="26"/>
  <c r="E16" i="26"/>
  <c r="C28" i="26"/>
  <c r="E34" i="26"/>
  <c r="X15" i="26"/>
  <c r="E28" i="26"/>
  <c r="C34" i="26"/>
  <c r="F27" i="26"/>
  <c r="L27" i="26" s="1"/>
  <c r="F21" i="29"/>
  <c r="D9" i="29"/>
  <c r="E17" i="21"/>
  <c r="C24" i="29"/>
  <c r="B27" i="29" s="1"/>
  <c r="E29" i="33" l="1"/>
  <c r="E31" i="33" s="1"/>
  <c r="E30" i="33"/>
  <c r="O12" i="33"/>
  <c r="O11" i="33" s="1"/>
  <c r="W61" i="26"/>
  <c r="K65" i="26" s="1"/>
  <c r="AI48" i="26"/>
  <c r="V14" i="29"/>
  <c r="L24" i="33"/>
  <c r="K27" i="33" s="1"/>
  <c r="K29" i="33" s="1"/>
  <c r="K30" i="33" s="1"/>
  <c r="N19" i="29"/>
  <c r="N18" i="29" s="1"/>
  <c r="N24" i="29" s="1"/>
  <c r="O18" i="29"/>
  <c r="T20" i="33"/>
  <c r="U15" i="33"/>
  <c r="E15" i="33"/>
  <c r="T15" i="33" s="1"/>
  <c r="Q19" i="29"/>
  <c r="Q18" i="29" s="1"/>
  <c r="T16" i="29"/>
  <c r="R12" i="29"/>
  <c r="R11" i="29" s="1"/>
  <c r="R24" i="29" s="1"/>
  <c r="Q27" i="29" s="1"/>
  <c r="Q29" i="29" s="1"/>
  <c r="U14" i="29"/>
  <c r="J24" i="33"/>
  <c r="H28" i="33" s="1"/>
  <c r="B19" i="33"/>
  <c r="D18" i="33"/>
  <c r="B18" i="33" s="1"/>
  <c r="V19" i="33"/>
  <c r="V18" i="33" s="1"/>
  <c r="V12" i="29"/>
  <c r="V11" i="29" s="1"/>
  <c r="H12" i="29"/>
  <c r="H11" i="29" s="1"/>
  <c r="Q12" i="33"/>
  <c r="Q11" i="33" s="1"/>
  <c r="N19" i="33"/>
  <c r="N18" i="33" s="1"/>
  <c r="O18" i="33"/>
  <c r="O24" i="33" s="1"/>
  <c r="N27" i="33" s="1"/>
  <c r="U19" i="33"/>
  <c r="U18" i="33" s="1"/>
  <c r="I12" i="29"/>
  <c r="I11" i="29" s="1"/>
  <c r="I24" i="29" s="1"/>
  <c r="H27" i="29" s="1"/>
  <c r="Q14" i="33"/>
  <c r="K19" i="29"/>
  <c r="K18" i="29" s="1"/>
  <c r="K12" i="29"/>
  <c r="K11" i="29" s="1"/>
  <c r="V12" i="33"/>
  <c r="V11" i="33" s="1"/>
  <c r="S24" i="33"/>
  <c r="Q28" i="33" s="1"/>
  <c r="Q29" i="33" s="1"/>
  <c r="Q30" i="33" s="1"/>
  <c r="H12" i="33"/>
  <c r="H11" i="33" s="1"/>
  <c r="H24" i="33" s="1"/>
  <c r="E9" i="33"/>
  <c r="T10" i="33"/>
  <c r="T9" i="33" s="1"/>
  <c r="U14" i="33"/>
  <c r="U12" i="33" s="1"/>
  <c r="U11" i="33" s="1"/>
  <c r="U24" i="33" s="1"/>
  <c r="E14" i="33"/>
  <c r="T14" i="33" s="1"/>
  <c r="T10" i="29"/>
  <c r="T9" i="29" s="1"/>
  <c r="E9" i="29"/>
  <c r="AE14" i="26"/>
  <c r="AE13" i="26" s="1"/>
  <c r="M12" i="29"/>
  <c r="M11" i="29" s="1"/>
  <c r="M24" i="29" s="1"/>
  <c r="K28" i="29" s="1"/>
  <c r="U12" i="29"/>
  <c r="U11" i="29" s="1"/>
  <c r="AH48" i="26"/>
  <c r="O12" i="29"/>
  <c r="O11" i="29" s="1"/>
  <c r="AG14" i="26"/>
  <c r="AG13" i="26" s="1"/>
  <c r="AK13" i="26" s="1"/>
  <c r="Q19" i="33"/>
  <c r="Q18" i="33" s="1"/>
  <c r="Q24" i="33" s="1"/>
  <c r="I12" i="33"/>
  <c r="I11" i="33" s="1"/>
  <c r="I24" i="33" s="1"/>
  <c r="H27" i="33" s="1"/>
  <c r="T27" i="33" s="1"/>
  <c r="B12" i="33"/>
  <c r="B11" i="33" s="1"/>
  <c r="T13" i="33"/>
  <c r="N12" i="33"/>
  <c r="N11" i="33" s="1"/>
  <c r="N24" i="33" s="1"/>
  <c r="Q12" i="29"/>
  <c r="Q11" i="29" s="1"/>
  <c r="E12" i="29"/>
  <c r="E11" i="29" s="1"/>
  <c r="B12" i="29"/>
  <c r="B11" i="29" s="1"/>
  <c r="B19" i="29"/>
  <c r="T19" i="29" s="1"/>
  <c r="T18" i="29" s="1"/>
  <c r="V19" i="29"/>
  <c r="V18" i="29" s="1"/>
  <c r="H29" i="29"/>
  <c r="AH6" i="26"/>
  <c r="K24" i="29"/>
  <c r="K29" i="29"/>
  <c r="R27" i="26"/>
  <c r="N27" i="26"/>
  <c r="J27" i="26"/>
  <c r="Z27" i="26"/>
  <c r="AB27" i="26"/>
  <c r="P27" i="26"/>
  <c r="V27" i="26"/>
  <c r="F14" i="26"/>
  <c r="F13" i="26" s="1"/>
  <c r="F61" i="26" s="1"/>
  <c r="X27" i="26"/>
  <c r="AH27" i="26"/>
  <c r="T27" i="26"/>
  <c r="AD27" i="26"/>
  <c r="U24" i="29"/>
  <c r="T15" i="29"/>
  <c r="J44" i="26"/>
  <c r="N44" i="26"/>
  <c r="AB44" i="26"/>
  <c r="T44" i="26"/>
  <c r="V44" i="26"/>
  <c r="P44" i="26"/>
  <c r="R44" i="26"/>
  <c r="Z44" i="26"/>
  <c r="T13" i="29"/>
  <c r="H24" i="29"/>
  <c r="N15" i="26"/>
  <c r="AB15" i="26"/>
  <c r="AD15" i="26"/>
  <c r="T15" i="26"/>
  <c r="V15" i="26"/>
  <c r="R15" i="26"/>
  <c r="Z15" i="26"/>
  <c r="J15" i="26"/>
  <c r="P15" i="26"/>
  <c r="L15" i="26"/>
  <c r="AD45" i="26"/>
  <c r="AI45" i="26"/>
  <c r="AJ44" i="26"/>
  <c r="L44" i="26"/>
  <c r="AF6" i="26"/>
  <c r="E10" i="21"/>
  <c r="E9" i="21" s="1"/>
  <c r="O61" i="26"/>
  <c r="F65" i="26" s="1"/>
  <c r="M61" i="26"/>
  <c r="D66" i="26" s="1"/>
  <c r="AJ14" i="26"/>
  <c r="AF15" i="26"/>
  <c r="AI34" i="26"/>
  <c r="AF34" i="26"/>
  <c r="K61" i="26"/>
  <c r="D65" i="26" s="1"/>
  <c r="Y61" i="26"/>
  <c r="K66" i="26" s="1"/>
  <c r="K67" i="26" s="1"/>
  <c r="U61" i="26"/>
  <c r="I66" i="26" s="1"/>
  <c r="AA61" i="26"/>
  <c r="M65" i="26" s="1"/>
  <c r="AI27" i="26"/>
  <c r="AI14" i="26" s="1"/>
  <c r="AI13" i="26" s="1"/>
  <c r="AF27" i="26"/>
  <c r="AH15" i="26"/>
  <c r="AK14" i="26"/>
  <c r="AF45" i="26"/>
  <c r="AC61" i="26"/>
  <c r="M66" i="26" s="1"/>
  <c r="AJ13" i="26"/>
  <c r="S61" i="26"/>
  <c r="I65" i="26" s="1"/>
  <c r="C20" i="21"/>
  <c r="E22" i="21"/>
  <c r="E21" i="21" s="1"/>
  <c r="C17" i="21"/>
  <c r="B17" i="21" s="1"/>
  <c r="F17" i="21" s="1"/>
  <c r="E27" i="26"/>
  <c r="C22" i="21"/>
  <c r="C23" i="21"/>
  <c r="AD14" i="26"/>
  <c r="E15" i="26"/>
  <c r="B61" i="26"/>
  <c r="C15" i="26"/>
  <c r="E44" i="26"/>
  <c r="C27" i="26"/>
  <c r="E23" i="21"/>
  <c r="E16" i="21"/>
  <c r="B21" i="29"/>
  <c r="G18" i="29"/>
  <c r="T12" i="33" l="1"/>
  <c r="T11" i="33" s="1"/>
  <c r="Q24" i="29"/>
  <c r="V24" i="29"/>
  <c r="T12" i="29"/>
  <c r="T11" i="29" s="1"/>
  <c r="E12" i="33"/>
  <c r="E11" i="33" s="1"/>
  <c r="E24" i="33" s="1"/>
  <c r="V24" i="33"/>
  <c r="O24" i="29"/>
  <c r="N27" i="29" s="1"/>
  <c r="N29" i="29" s="1"/>
  <c r="H29" i="33"/>
  <c r="H31" i="33" s="1"/>
  <c r="B24" i="33"/>
  <c r="Q31" i="33"/>
  <c r="N30" i="33"/>
  <c r="N29" i="33"/>
  <c r="N31" i="33" s="1"/>
  <c r="T19" i="33"/>
  <c r="T18" i="33" s="1"/>
  <c r="D24" i="33"/>
  <c r="B28" i="33" s="1"/>
  <c r="K31" i="33"/>
  <c r="AH45" i="26"/>
  <c r="AK45" i="26"/>
  <c r="M67" i="26"/>
  <c r="AE61" i="26"/>
  <c r="AJ61" i="26" s="1"/>
  <c r="I67" i="26"/>
  <c r="T13" i="26"/>
  <c r="T24" i="29"/>
  <c r="O65" i="26"/>
  <c r="P65" i="26" s="1"/>
  <c r="F67" i="26"/>
  <c r="T14" i="26"/>
  <c r="P14" i="26"/>
  <c r="AD13" i="26"/>
  <c r="AB14" i="26"/>
  <c r="X13" i="26"/>
  <c r="Z13" i="26"/>
  <c r="N13" i="26"/>
  <c r="C14" i="26"/>
  <c r="AH14" i="26"/>
  <c r="AF14" i="26"/>
  <c r="AH13" i="26"/>
  <c r="L14" i="26"/>
  <c r="N65" i="26"/>
  <c r="J65" i="26"/>
  <c r="E65" i="26"/>
  <c r="L65" i="26"/>
  <c r="C65" i="26"/>
  <c r="G65" i="26"/>
  <c r="J13" i="26"/>
  <c r="R13" i="26"/>
  <c r="V14" i="26"/>
  <c r="AB13" i="26"/>
  <c r="J14" i="26"/>
  <c r="Z14" i="26"/>
  <c r="R14" i="26"/>
  <c r="L13" i="26"/>
  <c r="V13" i="26"/>
  <c r="X14" i="26"/>
  <c r="N14" i="26"/>
  <c r="P13" i="26"/>
  <c r="D67" i="26"/>
  <c r="O66" i="26"/>
  <c r="N66" i="26"/>
  <c r="J66" i="26"/>
  <c r="E66" i="26"/>
  <c r="L66" i="26"/>
  <c r="G66" i="26"/>
  <c r="C66" i="26"/>
  <c r="B22" i="21"/>
  <c r="B21" i="21" s="1"/>
  <c r="F21" i="21" s="1"/>
  <c r="AD44" i="26"/>
  <c r="AF13" i="26"/>
  <c r="AF44" i="26"/>
  <c r="E20" i="21"/>
  <c r="B20" i="21" s="1"/>
  <c r="F20" i="21" s="1"/>
  <c r="E13" i="26"/>
  <c r="C13" i="26"/>
  <c r="C21" i="21"/>
  <c r="G24" i="29"/>
  <c r="E28" i="29" s="1"/>
  <c r="D17" i="21"/>
  <c r="B23" i="21"/>
  <c r="D23" i="21" s="1"/>
  <c r="E14" i="26"/>
  <c r="C15" i="21"/>
  <c r="E15" i="21"/>
  <c r="C16" i="21"/>
  <c r="C10" i="21"/>
  <c r="F9" i="29"/>
  <c r="D18" i="29"/>
  <c r="B29" i="33" l="1"/>
  <c r="B31" i="33" s="1"/>
  <c r="T28" i="33"/>
  <c r="T24" i="33"/>
  <c r="H30" i="33"/>
  <c r="AI44" i="26"/>
  <c r="AI61" i="26" s="1"/>
  <c r="AK44" i="26"/>
  <c r="O67" i="26"/>
  <c r="P67" i="26" s="1"/>
  <c r="P66" i="26"/>
  <c r="N67" i="26"/>
  <c r="C67" i="26"/>
  <c r="L67" i="26"/>
  <c r="E67" i="26"/>
  <c r="G67" i="26"/>
  <c r="J67" i="26"/>
  <c r="J61" i="26"/>
  <c r="R61" i="26"/>
  <c r="X61" i="26"/>
  <c r="AF61" i="26"/>
  <c r="Z61" i="26"/>
  <c r="AD61" i="26"/>
  <c r="L61" i="26"/>
  <c r="N61" i="26"/>
  <c r="P61" i="26"/>
  <c r="AB61" i="26"/>
  <c r="V61" i="26"/>
  <c r="T61" i="26"/>
  <c r="D21" i="21"/>
  <c r="F22" i="21"/>
  <c r="D22" i="21"/>
  <c r="AH44" i="26"/>
  <c r="AG61" i="26"/>
  <c r="E13" i="21"/>
  <c r="E14" i="21"/>
  <c r="G13" i="26"/>
  <c r="F23" i="21"/>
  <c r="B16" i="21"/>
  <c r="F16" i="21" s="1"/>
  <c r="B15" i="21"/>
  <c r="D15" i="21" s="1"/>
  <c r="E19" i="21"/>
  <c r="C9" i="21"/>
  <c r="B10" i="21"/>
  <c r="D20" i="21"/>
  <c r="G14" i="26"/>
  <c r="C61" i="26"/>
  <c r="G61" i="26"/>
  <c r="G59" i="26"/>
  <c r="G56" i="26"/>
  <c r="G53" i="26"/>
  <c r="G32" i="26"/>
  <c r="G31" i="26"/>
  <c r="G43" i="26"/>
  <c r="G42" i="26"/>
  <c r="G41" i="26"/>
  <c r="G23" i="26"/>
  <c r="G22" i="26"/>
  <c r="G21" i="26"/>
  <c r="G20" i="26"/>
  <c r="G19" i="26"/>
  <c r="G18" i="26"/>
  <c r="G17" i="26"/>
  <c r="G12" i="26"/>
  <c r="G11" i="26"/>
  <c r="G10" i="26"/>
  <c r="G9" i="26"/>
  <c r="G8" i="26"/>
  <c r="G7" i="26"/>
  <c r="G29" i="26"/>
  <c r="G26" i="26"/>
  <c r="G49" i="26"/>
  <c r="G38" i="26"/>
  <c r="G35" i="26"/>
  <c r="G50" i="26"/>
  <c r="G51" i="26"/>
  <c r="G39" i="26"/>
  <c r="G48" i="26"/>
  <c r="G55" i="26"/>
  <c r="G25" i="26"/>
  <c r="G36" i="26"/>
  <c r="G37" i="26"/>
  <c r="G54" i="26"/>
  <c r="G47" i="26"/>
  <c r="G52" i="26"/>
  <c r="G40" i="26"/>
  <c r="G60" i="26"/>
  <c r="G33" i="26"/>
  <c r="G6" i="26"/>
  <c r="G24" i="26"/>
  <c r="G58" i="26"/>
  <c r="G57" i="26"/>
  <c r="G46" i="26"/>
  <c r="G30" i="26"/>
  <c r="G45" i="26"/>
  <c r="G28" i="26"/>
  <c r="G16" i="26"/>
  <c r="G34" i="26"/>
  <c r="G15" i="26"/>
  <c r="G44" i="26"/>
  <c r="G27" i="26"/>
  <c r="E61" i="26"/>
  <c r="F18" i="29"/>
  <c r="B18" i="29"/>
  <c r="C14" i="21"/>
  <c r="C13" i="21"/>
  <c r="K32" i="33" l="1"/>
  <c r="K6" i="33" s="1"/>
  <c r="N32" i="33"/>
  <c r="N6" i="33" s="1"/>
  <c r="Q32" i="33"/>
  <c r="Q6" i="33" s="1"/>
  <c r="H32" i="33"/>
  <c r="H6" i="33" s="1"/>
  <c r="T29" i="33"/>
  <c r="T30" i="33" s="1"/>
  <c r="B30" i="33"/>
  <c r="E32" i="33"/>
  <c r="E6" i="33" s="1"/>
  <c r="B32" i="33"/>
  <c r="AH61" i="26"/>
  <c r="AK61" i="26"/>
  <c r="B24" i="29"/>
  <c r="F24" i="29"/>
  <c r="E27" i="29" s="1"/>
  <c r="E29" i="29" s="1"/>
  <c r="E24" i="29"/>
  <c r="E12" i="21"/>
  <c r="E11" i="21" s="1"/>
  <c r="D16" i="21"/>
  <c r="B14" i="21"/>
  <c r="F14" i="21" s="1"/>
  <c r="F15" i="21"/>
  <c r="B9" i="21"/>
  <c r="F10" i="21"/>
  <c r="E18" i="21"/>
  <c r="B13" i="21"/>
  <c r="D13" i="21" s="1"/>
  <c r="C12" i="21"/>
  <c r="D10" i="21"/>
  <c r="C19" i="21"/>
  <c r="D24" i="29"/>
  <c r="B28" i="29" s="1"/>
  <c r="B29" i="29" s="1"/>
  <c r="B6" i="33" l="1"/>
  <c r="T32" i="33"/>
  <c r="T6" i="33" s="1"/>
  <c r="T31" i="33"/>
  <c r="E30" i="29"/>
  <c r="E24" i="21"/>
  <c r="K30" i="29"/>
  <c r="F9" i="21"/>
  <c r="B19" i="21"/>
  <c r="C18" i="21"/>
  <c r="C11" i="21"/>
  <c r="F13" i="21"/>
  <c r="B12" i="21"/>
  <c r="D14" i="21"/>
  <c r="D9" i="21"/>
  <c r="E31" i="29"/>
  <c r="H30" i="29"/>
  <c r="N30" i="29"/>
  <c r="Q30" i="29"/>
  <c r="K31" i="29" l="1"/>
  <c r="C24" i="21"/>
  <c r="B18" i="21"/>
  <c r="F18" i="21" s="1"/>
  <c r="F19" i="21"/>
  <c r="B11" i="21"/>
  <c r="F12" i="21"/>
  <c r="D12" i="21"/>
  <c r="D19" i="21"/>
  <c r="N31" i="29"/>
  <c r="Q31" i="29"/>
  <c r="H31" i="29"/>
  <c r="D18" i="21" l="1"/>
  <c r="F11" i="21"/>
  <c r="B24" i="21"/>
  <c r="F24" i="21" s="1"/>
  <c r="D11" i="21"/>
  <c r="B31" i="29"/>
  <c r="T27" i="29"/>
  <c r="E32" i="29" l="1"/>
  <c r="E6" i="29" s="1"/>
  <c r="Q32" i="29"/>
  <c r="Q6" i="29" s="1"/>
  <c r="H32" i="29"/>
  <c r="H6" i="29" s="1"/>
  <c r="K32" i="29"/>
  <c r="K6" i="29" s="1"/>
  <c r="N32" i="29"/>
  <c r="N6" i="29" s="1"/>
  <c r="D24" i="21"/>
  <c r="B32" i="29"/>
  <c r="B6" i="29" s="1"/>
  <c r="T28" i="29"/>
  <c r="B30" i="29"/>
  <c r="T29" i="29"/>
  <c r="T30" i="29" s="1"/>
  <c r="T32" i="29" l="1"/>
  <c r="T6" i="29" s="1"/>
  <c r="T31" i="29"/>
</calcChain>
</file>

<file path=xl/sharedStrings.xml><?xml version="1.0" encoding="utf-8"?>
<sst xmlns="http://schemas.openxmlformats.org/spreadsheetml/2006/main" count="276" uniqueCount="101">
  <si>
    <t>(em equivalentes de US$)</t>
  </si>
  <si>
    <t>CATEGORIA DE INVERSÃO</t>
  </si>
  <si>
    <t>QUADRO DE CONTROLE DOS DESEMBOLSOS</t>
  </si>
  <si>
    <t>TOTAL GERAL</t>
  </si>
  <si>
    <t>CONFORME CONTRATO FIRMADO EM XX.XXX.XX</t>
  </si>
  <si>
    <t>EMPRÉSTIMO A DEFINIR</t>
  </si>
  <si>
    <t>TOTAL</t>
  </si>
  <si>
    <t>TOTAL BID</t>
  </si>
  <si>
    <t>% BID</t>
  </si>
  <si>
    <t>% APORTE LOCAL</t>
  </si>
  <si>
    <t>TOTAl GERAL</t>
  </si>
  <si>
    <t>% ANUAL</t>
  </si>
  <si>
    <t>ANO 1</t>
  </si>
  <si>
    <t>ANO 2</t>
  </si>
  <si>
    <t>ANO 3</t>
  </si>
  <si>
    <t>ANO 4</t>
  </si>
  <si>
    <t>ANO 5</t>
  </si>
  <si>
    <t>BID</t>
  </si>
  <si>
    <t>PROGRAMA ESTRATÉGICO DE INFRAESTRUTURA E LOGÍSTICA DE TRANSPORTES DO PARANÁ</t>
  </si>
  <si>
    <t>NÃO MEXER - ESPAÇO PARA COLAGEM DO PROJECT</t>
  </si>
  <si>
    <t>CATEGORIAS DE INVERSÃO</t>
  </si>
  <si>
    <t>ESTADO</t>
  </si>
  <si>
    <t>Ano 2017</t>
  </si>
  <si>
    <t>Ano 2018 (1) 
Assinatura Contrato</t>
  </si>
  <si>
    <t>Ano 2019 (2)</t>
  </si>
  <si>
    <t>Ano 2020 (3)</t>
  </si>
  <si>
    <t>ANO 2021 (4)</t>
  </si>
  <si>
    <t>ANO 2022 (ANO 5)</t>
  </si>
  <si>
    <t>Total</t>
  </si>
  <si>
    <t>Total Geral 
(US$)</t>
  </si>
  <si>
    <t>%</t>
  </si>
  <si>
    <t>ESTADO  
()</t>
  </si>
  <si>
    <t>BID 
()</t>
  </si>
  <si>
    <t>COMP 1. ENGENHARIA</t>
  </si>
  <si>
    <t>1.1.  ESTUDOS E PROJETOS</t>
  </si>
  <si>
    <t xml:space="preserve">       1.1.1 Estudos e Projetos de Engenharia</t>
  </si>
  <si>
    <t>1.1.2 Estudos de Viabilidade Técnica Econômica e Ambiental</t>
  </si>
  <si>
    <t>1.1.3 Estudos do Modal Aquaviário</t>
  </si>
  <si>
    <t xml:space="preserve">       1.1.4  Estudos dos Centros Logísticos Multimodais</t>
  </si>
  <si>
    <t xml:space="preserve">       1.1.5.  Estudos para Concessões e PPP</t>
  </si>
  <si>
    <t>COMP 2. OBRAS CIVIS E SUPERVISÃO DE OBRAS</t>
  </si>
  <si>
    <t>2.1.1  AMPLIAÇÃO DA CAPACIDADE RODO E FERROVIÁRIA</t>
  </si>
  <si>
    <t>2.1.1.1  Reabilitação e Ampliação Capacidade de Rodovias</t>
  </si>
  <si>
    <t xml:space="preserve">2.1.1.1.1. PR-417: Curitiba - Colombo  (Lote 1) </t>
  </si>
  <si>
    <t>2.1.1.1.2. PR-415: Curitiba – Pinhais – Piraquara</t>
  </si>
  <si>
    <t>2.1.1.1.3. PR- 090: Curitiba - Campo Magro</t>
  </si>
  <si>
    <t xml:space="preserve">2.1.1.1.4. PR-417: Curitiba - Colombo (Lote 2) </t>
  </si>
  <si>
    <t>2.1.1.1.5. PR-417: Curitiba - Colombo (Lote 2) - OAE</t>
  </si>
  <si>
    <t>2.1.1.1.6. PRC-466: Ampliação de Capacidade em Guarapuava</t>
  </si>
  <si>
    <t>2.1.1.1.7. PR-092: Curitiba - Almirante Tamandaré</t>
  </si>
  <si>
    <t>2.1.1.1.8. Demais Obras</t>
  </si>
  <si>
    <t>2.1.1.2 Tratamento de Pontos Críticos em Rodovias</t>
  </si>
  <si>
    <t>2.1.1.3 Tratamento de Pontos Críticos na Linha Ferrea - FERROESTE</t>
  </si>
  <si>
    <t>2.1.2. PAVIMENTAÇÃO DE RODOVIAS</t>
  </si>
  <si>
    <t>2.1.2.1. Pavimentação de Rodovias</t>
  </si>
  <si>
    <t>2.1.2.1.1. PR-090: Acesso Contorno de Castro</t>
  </si>
  <si>
    <t>2.1.2.1.2.  PR-912: Entr. PR-449 - Coronel Domingos Soares</t>
  </si>
  <si>
    <t>2.1.2.1.3. PR-364: São Mateus do Sul -Irati</t>
  </si>
  <si>
    <t>2.1.2.1.4. PR-691: Porto Rico - Porto São José (Estrada Beira Rio)</t>
  </si>
  <si>
    <t>2.1.2.1.5. PR-239: Pitanga – Mato Rico</t>
  </si>
  <si>
    <t>2.1.3. CONSTRUÇÃO DE RODOVIAS</t>
  </si>
  <si>
    <t>2.1.3.1.  Construção de Contornos de Cidades</t>
  </si>
  <si>
    <t xml:space="preserve">       2.1.3.1.1. Construção: Contorno de Mal. Cândido Rondon</t>
  </si>
  <si>
    <t xml:space="preserve">       2.1.3.1.2. Construção: Contorno de Francisco Beltrão</t>
  </si>
  <si>
    <t xml:space="preserve">       2.1.3.1.3. Construção: Contorno Castro</t>
  </si>
  <si>
    <t xml:space="preserve">       2.1.3.1.4. Construção: Contorno Wenceslau Braz</t>
  </si>
  <si>
    <t>COMP 3. APOIO PARA O PLANEJAMENTO E LOGÍSTICA</t>
  </si>
  <si>
    <t>3.1.  SISTEMAS DE PLANEJAMENTO MULTIMODAL</t>
  </si>
  <si>
    <t xml:space="preserve">        3.1.1 Plano Estratégico de Logística e Transportes</t>
  </si>
  <si>
    <t xml:space="preserve">        3.1.2 Plano Diretor Rodoviário</t>
  </si>
  <si>
    <t xml:space="preserve">        3.1.3 Planos Diretores Aeroportuários</t>
  </si>
  <si>
    <t>3.1.3.1. Atualização Plano Aeroviário do Estado</t>
  </si>
  <si>
    <t>3.1.3.2. Plano Aeroportuário de Cascavel</t>
  </si>
  <si>
    <t>3.1.3.3. Demais Planos Aeroportuários</t>
  </si>
  <si>
    <t>3.2. APOIO AO DESENVOLVIMENTO INSTITUCIONAL DO DER</t>
  </si>
  <si>
    <t xml:space="preserve">         3.2.1  Integração de Sistemas do DER</t>
  </si>
  <si>
    <r>
      <t xml:space="preserve">         3.2.2 Reestruturação e Padronização de Processos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(Licitações, Ambiental, Auditoria)</t>
    </r>
  </si>
  <si>
    <t>COMP 4. COMPENSAÇÃO AMBIENTAL E DESAPROPRIAÇÕES</t>
  </si>
  <si>
    <t>4.1 COMPENSAÇÃO AMBIENTAL E DESAPROPRIAÇÕES</t>
  </si>
  <si>
    <t>5.   ADMINISTRAÇÃO DO PROGRAMA</t>
  </si>
  <si>
    <t>5.1 Apoio à Administração do Programa</t>
  </si>
  <si>
    <t>5.2 Auditoria Externa</t>
  </si>
  <si>
    <t>5.3 Monitoramento e Avaliação</t>
  </si>
  <si>
    <t>TOTAL DO PROGRAMA</t>
  </si>
  <si>
    <t>VALORES TOTAIS</t>
  </si>
  <si>
    <t>ANO 0</t>
  </si>
  <si>
    <t>TOTAL ESTADO PR</t>
  </si>
  <si>
    <t>ESTADO PR</t>
  </si>
  <si>
    <t>TOTAL  ESTADO DO PARANÁ</t>
  </si>
  <si>
    <t>ESTADO DO PR</t>
  </si>
  <si>
    <t>% ESTADO DO PR</t>
  </si>
  <si>
    <t>INVESTIMENTOS POR CATEGORIAS DE INVERSÃO -Revisão 4</t>
  </si>
  <si>
    <t>ESTADO 
()</t>
  </si>
  <si>
    <t>ESTADO
()</t>
  </si>
  <si>
    <t>2.1.4 OBRAS DE REPOTENCIALIZAÇÃO DE TERMINAIS DE CARGAS</t>
  </si>
  <si>
    <t xml:space="preserve">      2.1.4.1 Acessos Internos</t>
  </si>
  <si>
    <t xml:space="preserve">      2.1.4.2 Construção Silo </t>
  </si>
  <si>
    <t>2.2. SUPERVISÃO DE OBRAS RODOVIÁRIAS</t>
  </si>
  <si>
    <t>2.1. OBRAS CIVIS</t>
  </si>
  <si>
    <t>2.1.4. OBRAS DE REPOTENCIALIZAÇÃO DE TERMINAIS DE CARGAS</t>
  </si>
  <si>
    <t>Data de atualização: 25/08/2017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</si>
</sst>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0.00_)"/>
    <numFmt numFmtId="166" formatCode="0.0000_)"/>
    <numFmt numFmtId="167" formatCode="[$-416]General"/>
    <numFmt numFmtId="168" formatCode="[$R$-416]&quot; &quot;#,##0.00;[Red]&quot;-&quot;[$R$-416]&quot; &quot;#,##0.00"/>
    <numFmt numFmtId="169" formatCode="#,##0.00\ ;&quot; (&quot;#,##0.00\);&quot; -&quot;#\ ;@\ "/>
    <numFmt numFmtId="170" formatCode="#,##0.0\ ;&quot; (&quot;#,##0.0\);&quot; -&quot;#\ ;@\ "/>
    <numFmt numFmtId="171" formatCode="0.0%"/>
    <numFmt numFmtId="172" formatCode="#,##0.0"/>
    <numFmt numFmtId="173" formatCode="#,##0\ ;&quot; (&quot;#,##0\);&quot; -&quot;#\ ;@\ "/>
  </numFmts>
  <fonts count="18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34"/>
      </patternFill>
    </fill>
    <fill>
      <patternFill patternType="solid">
        <fgColor rgb="FFFFFF00"/>
        <bgColor indexed="64"/>
      </patternFill>
    </fill>
    <fill>
      <patternFill patternType="gray125">
        <fgColor indexed="34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65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7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8" fontId="7" fillId="0" borderId="0" applyBorder="0" applyProtection="0"/>
    <xf numFmtId="0" fontId="8" fillId="0" borderId="0"/>
    <xf numFmtId="169" fontId="8" fillId="0" borderId="0" applyFill="0" applyBorder="0" applyAlignment="0" applyProtection="0"/>
    <xf numFmtId="9" fontId="8" fillId="0" borderId="0" applyFill="0" applyBorder="0" applyAlignment="0" applyProtection="0"/>
  </cellStyleXfs>
  <cellXfs count="301">
    <xf numFmtId="165" fontId="0" fillId="0" borderId="0" xfId="0"/>
    <xf numFmtId="0" fontId="10" fillId="0" borderId="0" xfId="12" applyFont="1" applyAlignment="1">
      <alignment vertical="center"/>
    </xf>
    <xf numFmtId="0" fontId="10" fillId="0" borderId="0" xfId="12" applyFont="1" applyAlignment="1">
      <alignment horizontal="center" vertical="center"/>
    </xf>
    <xf numFmtId="0" fontId="10" fillId="0" borderId="0" xfId="12" applyFont="1" applyBorder="1" applyAlignment="1">
      <alignment vertical="center"/>
    </xf>
    <xf numFmtId="0" fontId="10" fillId="0" borderId="0" xfId="12" applyFont="1" applyBorder="1" applyAlignment="1">
      <alignment horizontal="center" vertical="center"/>
    </xf>
    <xf numFmtId="17" fontId="10" fillId="0" borderId="0" xfId="12" applyNumberFormat="1" applyFont="1" applyBorder="1" applyAlignment="1">
      <alignment horizontal="right" vertical="center"/>
    </xf>
    <xf numFmtId="0" fontId="9" fillId="5" borderId="30" xfId="12" applyFont="1" applyFill="1" applyBorder="1" applyAlignment="1">
      <alignment horizontal="center" vertical="center" wrapText="1"/>
    </xf>
    <xf numFmtId="0" fontId="10" fillId="0" borderId="0" xfId="12" applyFont="1" applyFill="1" applyAlignment="1">
      <alignment vertical="center" wrapText="1"/>
    </xf>
    <xf numFmtId="0" fontId="9" fillId="5" borderId="34" xfId="12" applyFont="1" applyFill="1" applyBorder="1" applyAlignment="1">
      <alignment horizontal="center" vertical="center"/>
    </xf>
    <xf numFmtId="0" fontId="9" fillId="5" borderId="35" xfId="12" applyFont="1" applyFill="1" applyBorder="1" applyAlignment="1">
      <alignment horizontal="center" vertical="center"/>
    </xf>
    <xf numFmtId="0" fontId="10" fillId="0" borderId="0" xfId="12" applyFont="1" applyFill="1" applyAlignment="1">
      <alignment vertical="center"/>
    </xf>
    <xf numFmtId="0" fontId="9" fillId="6" borderId="38" xfId="12" applyFont="1" applyFill="1" applyBorder="1" applyAlignment="1">
      <alignment vertical="center"/>
    </xf>
    <xf numFmtId="3" fontId="9" fillId="6" borderId="39" xfId="13" applyNumberFormat="1" applyFont="1" applyFill="1" applyBorder="1" applyAlignment="1">
      <alignment vertical="center"/>
    </xf>
    <xf numFmtId="3" fontId="9" fillId="6" borderId="41" xfId="13" applyNumberFormat="1" applyFont="1" applyFill="1" applyBorder="1" applyAlignment="1">
      <alignment vertical="center"/>
    </xf>
    <xf numFmtId="170" fontId="9" fillId="0" borderId="0" xfId="13" applyNumberFormat="1" applyFont="1" applyFill="1" applyBorder="1" applyAlignment="1">
      <alignment vertical="center"/>
    </xf>
    <xf numFmtId="3" fontId="9" fillId="6" borderId="42" xfId="13" applyNumberFormat="1" applyFont="1" applyFill="1" applyBorder="1" applyAlignment="1">
      <alignment vertical="center"/>
    </xf>
    <xf numFmtId="3" fontId="9" fillId="6" borderId="5" xfId="13" applyNumberFormat="1" applyFont="1" applyFill="1" applyBorder="1" applyAlignment="1">
      <alignment vertical="center"/>
    </xf>
    <xf numFmtId="0" fontId="10" fillId="6" borderId="38" xfId="12" applyFont="1" applyFill="1" applyBorder="1" applyAlignment="1">
      <alignment vertical="center"/>
    </xf>
    <xf numFmtId="3" fontId="10" fillId="6" borderId="39" xfId="13" applyNumberFormat="1" applyFont="1" applyFill="1" applyBorder="1" applyAlignment="1">
      <alignment vertical="center"/>
    </xf>
    <xf numFmtId="170" fontId="10" fillId="0" borderId="23" xfId="13" applyNumberFormat="1" applyFont="1" applyFill="1" applyBorder="1" applyAlignment="1">
      <alignment vertical="center"/>
    </xf>
    <xf numFmtId="3" fontId="10" fillId="6" borderId="44" xfId="13" applyNumberFormat="1" applyFont="1" applyFill="1" applyBorder="1" applyAlignment="1">
      <alignment vertical="center"/>
    </xf>
    <xf numFmtId="3" fontId="10" fillId="6" borderId="41" xfId="13" applyNumberFormat="1" applyFont="1" applyFill="1" applyBorder="1" applyAlignment="1">
      <alignment vertical="center"/>
    </xf>
    <xf numFmtId="0" fontId="10" fillId="6" borderId="38" xfId="12" applyFont="1" applyFill="1" applyBorder="1" applyAlignment="1">
      <alignment horizontal="left" vertical="center" indent="2"/>
    </xf>
    <xf numFmtId="170" fontId="10" fillId="0" borderId="0" xfId="13" applyNumberFormat="1" applyFont="1" applyFill="1" applyBorder="1" applyAlignment="1">
      <alignment vertical="center"/>
    </xf>
    <xf numFmtId="0" fontId="10" fillId="7" borderId="0" xfId="12" applyFont="1" applyFill="1" applyAlignment="1">
      <alignment vertical="center"/>
    </xf>
    <xf numFmtId="0" fontId="10" fillId="6" borderId="32" xfId="12" applyFont="1" applyFill="1" applyBorder="1" applyAlignment="1">
      <alignment vertical="center"/>
    </xf>
    <xf numFmtId="3" fontId="10" fillId="6" borderId="45" xfId="13" applyNumberFormat="1" applyFont="1" applyFill="1" applyBorder="1" applyAlignment="1">
      <alignment vertical="center"/>
    </xf>
    <xf numFmtId="170" fontId="10" fillId="0" borderId="30" xfId="13" applyNumberFormat="1" applyFont="1" applyFill="1" applyBorder="1" applyAlignment="1">
      <alignment vertical="center"/>
    </xf>
    <xf numFmtId="3" fontId="10" fillId="6" borderId="46" xfId="13" applyNumberFormat="1" applyFont="1" applyFill="1" applyBorder="1" applyAlignment="1">
      <alignment vertical="center"/>
    </xf>
    <xf numFmtId="3" fontId="10" fillId="6" borderId="35" xfId="13" applyNumberFormat="1" applyFont="1" applyFill="1" applyBorder="1" applyAlignment="1">
      <alignment vertical="center"/>
    </xf>
    <xf numFmtId="0" fontId="10" fillId="6" borderId="38" xfId="12" applyFont="1" applyFill="1" applyBorder="1" applyAlignment="1">
      <alignment horizontal="left" vertical="center" indent="4"/>
    </xf>
    <xf numFmtId="0" fontId="10" fillId="6" borderId="38" xfId="12" applyFont="1" applyFill="1" applyBorder="1" applyAlignment="1">
      <alignment horizontal="left" vertical="center"/>
    </xf>
    <xf numFmtId="0" fontId="10" fillId="6" borderId="38" xfId="12" applyFont="1" applyFill="1" applyBorder="1" applyAlignment="1">
      <alignment horizontal="left" vertical="center" wrapText="1"/>
    </xf>
    <xf numFmtId="0" fontId="9" fillId="6" borderId="48" xfId="12" applyFont="1" applyFill="1" applyBorder="1" applyAlignment="1">
      <alignment vertical="center"/>
    </xf>
    <xf numFmtId="0" fontId="10" fillId="6" borderId="38" xfId="12" applyFont="1" applyFill="1" applyBorder="1" applyAlignment="1">
      <alignment horizontal="left" vertical="center" indent="5"/>
    </xf>
    <xf numFmtId="3" fontId="0" fillId="6" borderId="39" xfId="13" applyNumberFormat="1" applyFont="1" applyFill="1" applyBorder="1" applyAlignment="1">
      <alignment vertical="center"/>
    </xf>
    <xf numFmtId="3" fontId="0" fillId="6" borderId="41" xfId="13" applyNumberFormat="1" applyFont="1" applyFill="1" applyBorder="1" applyAlignment="1">
      <alignment vertical="center"/>
    </xf>
    <xf numFmtId="3" fontId="11" fillId="6" borderId="39" xfId="13" applyNumberFormat="1" applyFont="1" applyFill="1" applyBorder="1" applyAlignment="1">
      <alignment vertical="center"/>
    </xf>
    <xf numFmtId="3" fontId="11" fillId="6" borderId="41" xfId="13" applyNumberFormat="1" applyFont="1" applyFill="1" applyBorder="1" applyAlignment="1">
      <alignment vertical="center"/>
    </xf>
    <xf numFmtId="0" fontId="10" fillId="6" borderId="38" xfId="12" applyFont="1" applyFill="1" applyBorder="1" applyAlignment="1">
      <alignment vertical="center" wrapText="1"/>
    </xf>
    <xf numFmtId="3" fontId="9" fillId="6" borderId="42" xfId="13" applyNumberFormat="1" applyFont="1" applyFill="1" applyBorder="1" applyAlignment="1">
      <alignment horizontal="right" vertical="center"/>
    </xf>
    <xf numFmtId="3" fontId="9" fillId="6" borderId="39" xfId="13" applyNumberFormat="1" applyFont="1" applyFill="1" applyBorder="1" applyAlignment="1">
      <alignment horizontal="right" vertical="center"/>
    </xf>
    <xf numFmtId="3" fontId="9" fillId="6" borderId="41" xfId="13" applyNumberFormat="1" applyFont="1" applyFill="1" applyBorder="1" applyAlignment="1">
      <alignment horizontal="right" vertical="center"/>
    </xf>
    <xf numFmtId="0" fontId="9" fillId="6" borderId="32" xfId="12" applyFont="1" applyFill="1" applyBorder="1" applyAlignment="1">
      <alignment vertical="center"/>
    </xf>
    <xf numFmtId="0" fontId="9" fillId="0" borderId="0" xfId="12" applyFont="1" applyAlignment="1">
      <alignment vertical="center"/>
    </xf>
    <xf numFmtId="4" fontId="10" fillId="0" borderId="0" xfId="13" applyNumberFormat="1" applyFont="1" applyFill="1" applyBorder="1" applyAlignment="1">
      <alignment vertical="center"/>
    </xf>
    <xf numFmtId="0" fontId="10" fillId="6" borderId="32" xfId="12" applyFont="1" applyFill="1" applyBorder="1" applyAlignment="1">
      <alignment horizontal="left" vertical="center"/>
    </xf>
    <xf numFmtId="3" fontId="10" fillId="0" borderId="0" xfId="12" applyNumberFormat="1" applyFont="1" applyAlignment="1">
      <alignment vertical="center"/>
    </xf>
    <xf numFmtId="0" fontId="9" fillId="0" borderId="0" xfId="12" applyFont="1" applyFill="1" applyBorder="1" applyAlignment="1">
      <alignment vertical="center"/>
    </xf>
    <xf numFmtId="3" fontId="10" fillId="0" borderId="0" xfId="12" applyNumberFormat="1" applyFont="1" applyBorder="1" applyAlignment="1">
      <alignment vertical="center"/>
    </xf>
    <xf numFmtId="0" fontId="10" fillId="0" borderId="0" xfId="12" applyFont="1" applyFill="1" applyBorder="1" applyAlignment="1">
      <alignment vertical="center"/>
    </xf>
    <xf numFmtId="0" fontId="14" fillId="0" borderId="0" xfId="12" applyFont="1" applyBorder="1" applyAlignment="1">
      <alignment vertical="center"/>
    </xf>
    <xf numFmtId="9" fontId="0" fillId="0" borderId="4" xfId="14" applyFont="1" applyBorder="1" applyAlignment="1">
      <alignment horizontal="center" vertical="center"/>
    </xf>
    <xf numFmtId="0" fontId="10" fillId="0" borderId="0" xfId="12" applyFont="1" applyBorder="1" applyAlignment="1">
      <alignment horizontal="center" vertical="center"/>
    </xf>
    <xf numFmtId="3" fontId="15" fillId="0" borderId="0" xfId="12" applyNumberFormat="1" applyFont="1" applyBorder="1" applyAlignment="1">
      <alignment horizontal="center" vertical="center"/>
    </xf>
    <xf numFmtId="3" fontId="15" fillId="0" borderId="0" xfId="12" applyNumberFormat="1" applyFont="1" applyBorder="1" applyAlignment="1">
      <alignment horizontal="center" vertical="center"/>
    </xf>
    <xf numFmtId="171" fontId="15" fillId="0" borderId="0" xfId="14" applyNumberFormat="1" applyFont="1" applyBorder="1" applyAlignment="1">
      <alignment horizontal="center"/>
    </xf>
    <xf numFmtId="171" fontId="15" fillId="0" borderId="0" xfId="14" applyNumberFormat="1" applyFont="1" applyBorder="1" applyAlignment="1">
      <alignment horizontal="center" vertical="center"/>
    </xf>
    <xf numFmtId="171" fontId="15" fillId="0" borderId="0" xfId="14" applyNumberFormat="1" applyFont="1" applyBorder="1" applyAlignment="1">
      <alignment horizontal="center" vertical="center"/>
    </xf>
    <xf numFmtId="171" fontId="15" fillId="0" borderId="0" xfId="14" applyNumberFormat="1" applyFont="1" applyBorder="1" applyAlignment="1">
      <alignment vertical="center"/>
    </xf>
    <xf numFmtId="172" fontId="0" fillId="0" borderId="0" xfId="14" applyNumberFormat="1" applyFont="1" applyBorder="1" applyAlignment="1">
      <alignment vertical="center"/>
    </xf>
    <xf numFmtId="172" fontId="15" fillId="0" borderId="0" xfId="14" applyNumberFormat="1" applyFont="1" applyBorder="1" applyAlignment="1">
      <alignment vertical="center"/>
    </xf>
    <xf numFmtId="3" fontId="10" fillId="0" borderId="0" xfId="12" applyNumberFormat="1" applyFont="1" applyAlignment="1">
      <alignment horizontal="center" vertical="center"/>
    </xf>
    <xf numFmtId="37" fontId="16" fillId="0" borderId="0" xfId="0" applyNumberFormat="1" applyFont="1"/>
    <xf numFmtId="39" fontId="16" fillId="0" borderId="0" xfId="0" applyNumberFormat="1" applyFont="1"/>
    <xf numFmtId="165" fontId="16" fillId="0" borderId="0" xfId="0" applyFont="1"/>
    <xf numFmtId="165" fontId="17" fillId="0" borderId="0" xfId="0" applyFont="1"/>
    <xf numFmtId="170" fontId="9" fillId="7" borderId="0" xfId="13" applyNumberFormat="1" applyFont="1" applyFill="1" applyBorder="1" applyAlignment="1">
      <alignment vertical="center"/>
    </xf>
    <xf numFmtId="170" fontId="10" fillId="8" borderId="0" xfId="13" applyNumberFormat="1" applyFont="1" applyFill="1" applyBorder="1" applyAlignment="1">
      <alignment vertical="center"/>
    </xf>
    <xf numFmtId="0" fontId="10" fillId="8" borderId="0" xfId="12" applyFont="1" applyFill="1" applyAlignment="1">
      <alignment vertical="center"/>
    </xf>
    <xf numFmtId="170" fontId="9" fillId="8" borderId="0" xfId="13" applyNumberFormat="1" applyFont="1" applyFill="1" applyBorder="1" applyAlignment="1">
      <alignment vertical="center"/>
    </xf>
    <xf numFmtId="0" fontId="9" fillId="8" borderId="0" xfId="12" applyFont="1" applyFill="1" applyAlignment="1">
      <alignment vertical="center"/>
    </xf>
    <xf numFmtId="39" fontId="16" fillId="0" borderId="55" xfId="0" applyNumberFormat="1" applyFont="1" applyFill="1" applyBorder="1" applyAlignment="1">
      <alignment horizontal="left" indent="1"/>
    </xf>
    <xf numFmtId="39" fontId="16" fillId="0" borderId="55" xfId="0" applyNumberFormat="1" applyFont="1" applyFill="1" applyBorder="1" applyAlignment="1">
      <alignment horizontal="left" indent="2"/>
    </xf>
    <xf numFmtId="37" fontId="17" fillId="9" borderId="54" xfId="0" applyNumberFormat="1" applyFont="1" applyFill="1" applyBorder="1"/>
    <xf numFmtId="39" fontId="17" fillId="9" borderId="55" xfId="0" applyNumberFormat="1" applyFont="1" applyFill="1" applyBorder="1"/>
    <xf numFmtId="37" fontId="17" fillId="0" borderId="0" xfId="0" applyNumberFormat="1" applyFont="1"/>
    <xf numFmtId="37" fontId="16" fillId="0" borderId="2" xfId="0" applyNumberFormat="1" applyFont="1" applyBorder="1" applyAlignment="1" applyProtection="1">
      <alignment horizontal="left"/>
    </xf>
    <xf numFmtId="39" fontId="16" fillId="0" borderId="2" xfId="0" applyNumberFormat="1" applyFont="1" applyBorder="1" applyProtection="1"/>
    <xf numFmtId="37" fontId="16" fillId="0" borderId="0" xfId="0" applyNumberFormat="1" applyFont="1" applyBorder="1" applyAlignment="1" applyProtection="1">
      <alignment horizontal="left"/>
    </xf>
    <xf numFmtId="39" fontId="16" fillId="0" borderId="0" xfId="0" applyNumberFormat="1" applyFont="1" applyBorder="1" applyProtection="1"/>
    <xf numFmtId="39" fontId="16" fillId="0" borderId="0" xfId="0" applyNumberFormat="1" applyFont="1" applyBorder="1" applyAlignment="1" applyProtection="1">
      <alignment horizontal="left"/>
    </xf>
    <xf numFmtId="39" fontId="17" fillId="0" borderId="1" xfId="0" applyNumberFormat="1" applyFont="1" applyBorder="1" applyAlignment="1" applyProtection="1">
      <alignment horizontal="center"/>
    </xf>
    <xf numFmtId="39" fontId="17" fillId="0" borderId="2" xfId="0" applyNumberFormat="1" applyFont="1" applyBorder="1" applyAlignment="1" applyProtection="1">
      <alignment horizontal="center"/>
    </xf>
    <xf numFmtId="39" fontId="17" fillId="0" borderId="6" xfId="0" applyNumberFormat="1" applyFont="1" applyBorder="1" applyAlignment="1" applyProtection="1">
      <alignment horizontal="center"/>
    </xf>
    <xf numFmtId="39" fontId="17" fillId="0" borderId="7" xfId="0" applyNumberFormat="1" applyFont="1" applyBorder="1" applyAlignment="1" applyProtection="1">
      <alignment horizontal="center"/>
    </xf>
    <xf numFmtId="39" fontId="17" fillId="0" borderId="8" xfId="0" applyNumberFormat="1" applyFont="1" applyBorder="1" applyAlignment="1" applyProtection="1">
      <alignment horizontal="center"/>
    </xf>
    <xf numFmtId="39" fontId="17" fillId="0" borderId="9" xfId="0" applyNumberFormat="1" applyFont="1" applyBorder="1" applyAlignment="1" applyProtection="1">
      <alignment horizontal="center"/>
    </xf>
    <xf numFmtId="39" fontId="16" fillId="0" borderId="3" xfId="0" applyNumberFormat="1" applyFont="1" applyBorder="1" applyProtection="1"/>
    <xf numFmtId="39" fontId="16" fillId="0" borderId="0" xfId="0" applyNumberFormat="1" applyFont="1" applyBorder="1" applyAlignment="1" applyProtection="1">
      <alignment horizontal="center"/>
    </xf>
    <xf numFmtId="39" fontId="16" fillId="0" borderId="10" xfId="0" applyNumberFormat="1" applyFont="1" applyBorder="1" applyAlignment="1" applyProtection="1">
      <alignment horizontal="center"/>
    </xf>
    <xf numFmtId="37" fontId="17" fillId="0" borderId="0" xfId="0" applyNumberFormat="1" applyFont="1" applyBorder="1" applyAlignment="1" applyProtection="1">
      <alignment horizontal="center"/>
    </xf>
    <xf numFmtId="37" fontId="16" fillId="0" borderId="0" xfId="0" applyNumberFormat="1" applyFont="1" applyBorder="1" applyAlignment="1" applyProtection="1">
      <alignment horizontal="center"/>
    </xf>
    <xf numFmtId="9" fontId="16" fillId="0" borderId="0" xfId="2" applyFont="1" applyBorder="1" applyAlignment="1" applyProtection="1">
      <alignment horizontal="center"/>
    </xf>
    <xf numFmtId="9" fontId="16" fillId="0" borderId="10" xfId="2" applyFont="1" applyBorder="1" applyAlignment="1" applyProtection="1">
      <alignment horizontal="center"/>
    </xf>
    <xf numFmtId="39" fontId="17" fillId="0" borderId="7" xfId="0" applyNumberFormat="1" applyFont="1" applyBorder="1" applyAlignment="1" applyProtection="1">
      <alignment horizontal="left"/>
    </xf>
    <xf numFmtId="37" fontId="17" fillId="0" borderId="8" xfId="0" applyNumberFormat="1" applyFont="1" applyBorder="1" applyAlignment="1" applyProtection="1">
      <alignment horizontal="center"/>
    </xf>
    <xf numFmtId="39" fontId="16" fillId="0" borderId="11" xfId="0" applyNumberFormat="1" applyFont="1" applyBorder="1" applyProtection="1"/>
    <xf numFmtId="39" fontId="16" fillId="0" borderId="12" xfId="0" applyNumberFormat="1" applyFont="1" applyBorder="1" applyAlignment="1" applyProtection="1">
      <alignment horizontal="center"/>
    </xf>
    <xf numFmtId="37" fontId="16" fillId="0" borderId="12" xfId="0" applyNumberFormat="1" applyFont="1" applyBorder="1" applyAlignment="1" applyProtection="1">
      <alignment horizontal="center"/>
    </xf>
    <xf numFmtId="39" fontId="16" fillId="0" borderId="13" xfId="0" applyNumberFormat="1" applyFont="1" applyBorder="1" applyAlignment="1" applyProtection="1">
      <alignment horizontal="center"/>
    </xf>
    <xf numFmtId="37" fontId="16" fillId="9" borderId="0" xfId="0" applyNumberFormat="1" applyFont="1" applyFill="1" applyBorder="1" applyAlignment="1" applyProtection="1">
      <alignment horizontal="center"/>
    </xf>
    <xf numFmtId="9" fontId="16" fillId="9" borderId="0" xfId="2" applyFont="1" applyFill="1" applyBorder="1" applyAlignment="1" applyProtection="1">
      <alignment horizontal="center"/>
    </xf>
    <xf numFmtId="9" fontId="16" fillId="9" borderId="10" xfId="2" applyFont="1" applyFill="1" applyBorder="1" applyAlignment="1" applyProtection="1">
      <alignment horizontal="center"/>
    </xf>
    <xf numFmtId="37" fontId="17" fillId="9" borderId="0" xfId="0" applyNumberFormat="1" applyFont="1" applyFill="1" applyBorder="1" applyAlignment="1" applyProtection="1">
      <alignment horizontal="center"/>
    </xf>
    <xf numFmtId="9" fontId="17" fillId="9" borderId="0" xfId="2" applyFont="1" applyFill="1" applyBorder="1" applyAlignment="1" applyProtection="1">
      <alignment horizontal="center"/>
    </xf>
    <xf numFmtId="9" fontId="17" fillId="9" borderId="10" xfId="2" applyFont="1" applyFill="1" applyBorder="1" applyAlignment="1" applyProtection="1">
      <alignment horizontal="center"/>
    </xf>
    <xf numFmtId="9" fontId="16" fillId="0" borderId="61" xfId="2" applyFont="1" applyFill="1" applyBorder="1" applyAlignment="1" applyProtection="1">
      <alignment horizontal="center"/>
    </xf>
    <xf numFmtId="37" fontId="17" fillId="0" borderId="61" xfId="0" applyNumberFormat="1" applyFont="1" applyFill="1" applyBorder="1" applyAlignment="1" applyProtection="1">
      <alignment horizontal="center"/>
    </xf>
    <xf numFmtId="9" fontId="16" fillId="0" borderId="60" xfId="2" applyFont="1" applyFill="1" applyBorder="1" applyAlignment="1" applyProtection="1">
      <alignment horizontal="center"/>
    </xf>
    <xf numFmtId="3" fontId="9" fillId="6" borderId="45" xfId="13" applyNumberFormat="1" applyFont="1" applyFill="1" applyBorder="1" applyAlignment="1">
      <alignment horizontal="right" vertical="center"/>
    </xf>
    <xf numFmtId="9" fontId="0" fillId="6" borderId="43" xfId="14" applyFont="1" applyFill="1" applyBorder="1" applyAlignment="1">
      <alignment horizontal="center" vertical="center"/>
    </xf>
    <xf numFmtId="9" fontId="0" fillId="6" borderId="40" xfId="14" applyFont="1" applyFill="1" applyBorder="1" applyAlignment="1">
      <alignment horizontal="center" vertical="center"/>
    </xf>
    <xf numFmtId="9" fontId="0" fillId="6" borderId="33" xfId="14" applyFont="1" applyFill="1" applyBorder="1" applyAlignment="1">
      <alignment horizontal="center" vertical="center"/>
    </xf>
    <xf numFmtId="3" fontId="9" fillId="6" borderId="45" xfId="13" applyNumberFormat="1" applyFont="1" applyFill="1" applyBorder="1" applyAlignment="1">
      <alignment vertical="center"/>
    </xf>
    <xf numFmtId="3" fontId="9" fillId="6" borderId="35" xfId="13" applyNumberFormat="1" applyFont="1" applyFill="1" applyBorder="1" applyAlignment="1">
      <alignment vertical="center"/>
    </xf>
    <xf numFmtId="3" fontId="9" fillId="6" borderId="35" xfId="13" applyNumberFormat="1" applyFont="1" applyFill="1" applyBorder="1" applyAlignment="1">
      <alignment horizontal="right" vertical="center"/>
    </xf>
    <xf numFmtId="3" fontId="9" fillId="6" borderId="49" xfId="0" applyNumberFormat="1" applyFont="1" applyFill="1" applyBorder="1" applyAlignment="1">
      <alignment horizontal="center" vertical="center"/>
    </xf>
    <xf numFmtId="9" fontId="0" fillId="6" borderId="62" xfId="14" applyFont="1" applyFill="1" applyBorder="1" applyAlignment="1">
      <alignment horizontal="center" vertical="center"/>
    </xf>
    <xf numFmtId="3" fontId="9" fillId="6" borderId="50" xfId="0" applyNumberFormat="1" applyFont="1" applyFill="1" applyBorder="1" applyAlignment="1">
      <alignment horizontal="center" vertical="center"/>
    </xf>
    <xf numFmtId="165" fontId="10" fillId="0" borderId="0" xfId="0" applyFont="1" applyAlignment="1">
      <alignment vertical="center"/>
    </xf>
    <xf numFmtId="165" fontId="10" fillId="4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165" fontId="10" fillId="7" borderId="4" xfId="0" applyFont="1" applyFill="1" applyBorder="1" applyAlignment="1">
      <alignment horizontal="center" vertical="center"/>
    </xf>
    <xf numFmtId="3" fontId="10" fillId="7" borderId="4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165" fontId="9" fillId="4" borderId="4" xfId="0" applyFont="1" applyFill="1" applyBorder="1" applyAlignment="1">
      <alignment horizontal="center" vertical="center"/>
    </xf>
    <xf numFmtId="165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165" fontId="10" fillId="5" borderId="4" xfId="0" applyFont="1" applyFill="1" applyBorder="1" applyAlignment="1">
      <alignment horizontal="center" vertical="center" wrapText="1"/>
    </xf>
    <xf numFmtId="165" fontId="10" fillId="5" borderId="4" xfId="0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horizontal="left" vertical="center"/>
    </xf>
    <xf numFmtId="0" fontId="10" fillId="0" borderId="0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horizontal="center" vertical="center" wrapText="1"/>
    </xf>
    <xf numFmtId="3" fontId="9" fillId="0" borderId="0" xfId="13" applyNumberFormat="1" applyFont="1" applyFill="1" applyBorder="1" applyAlignment="1">
      <alignment vertical="center"/>
    </xf>
    <xf numFmtId="3" fontId="10" fillId="0" borderId="0" xfId="13" applyNumberFormat="1" applyFont="1" applyFill="1" applyBorder="1" applyAlignment="1">
      <alignment vertical="center"/>
    </xf>
    <xf numFmtId="3" fontId="11" fillId="0" borderId="0" xfId="13" applyNumberFormat="1" applyFont="1" applyFill="1" applyBorder="1" applyAlignment="1">
      <alignment vertical="center"/>
    </xf>
    <xf numFmtId="3" fontId="0" fillId="0" borderId="0" xfId="13" applyNumberFormat="1" applyFont="1" applyFill="1" applyBorder="1" applyAlignment="1">
      <alignment vertical="center"/>
    </xf>
    <xf numFmtId="3" fontId="9" fillId="0" borderId="0" xfId="13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165" fontId="9" fillId="5" borderId="36" xfId="0" applyFont="1" applyFill="1" applyBorder="1" applyAlignment="1">
      <alignment horizontal="center" vertical="center" wrapText="1"/>
    </xf>
    <xf numFmtId="165" fontId="9" fillId="5" borderId="63" xfId="0" applyFont="1" applyFill="1" applyBorder="1" applyAlignment="1">
      <alignment horizontal="center" vertical="center"/>
    </xf>
    <xf numFmtId="165" fontId="9" fillId="5" borderId="37" xfId="0" applyFont="1" applyFill="1" applyBorder="1" applyAlignment="1">
      <alignment horizontal="center" vertical="center" wrapText="1"/>
    </xf>
    <xf numFmtId="3" fontId="9" fillId="0" borderId="42" xfId="13" applyNumberFormat="1" applyFont="1" applyFill="1" applyBorder="1" applyAlignment="1">
      <alignment vertical="center"/>
    </xf>
    <xf numFmtId="9" fontId="0" fillId="0" borderId="43" xfId="14" applyFont="1" applyFill="1" applyBorder="1" applyAlignment="1">
      <alignment horizontal="center" vertical="center"/>
    </xf>
    <xf numFmtId="3" fontId="9" fillId="0" borderId="5" xfId="13" applyNumberFormat="1" applyFont="1" applyFill="1" applyBorder="1" applyAlignment="1">
      <alignment vertical="center"/>
    </xf>
    <xf numFmtId="3" fontId="9" fillId="0" borderId="39" xfId="13" applyNumberFormat="1" applyFont="1" applyFill="1" applyBorder="1" applyAlignment="1">
      <alignment vertical="center"/>
    </xf>
    <xf numFmtId="9" fontId="0" fillId="0" borderId="40" xfId="14" applyFont="1" applyFill="1" applyBorder="1" applyAlignment="1">
      <alignment horizontal="center" vertical="center"/>
    </xf>
    <xf numFmtId="3" fontId="10" fillId="0" borderId="39" xfId="13" applyNumberFormat="1" applyFont="1" applyFill="1" applyBorder="1" applyAlignment="1">
      <alignment vertical="center"/>
    </xf>
    <xf numFmtId="3" fontId="10" fillId="0" borderId="44" xfId="13" applyNumberFormat="1" applyFont="1" applyFill="1" applyBorder="1" applyAlignment="1">
      <alignment vertical="center"/>
    </xf>
    <xf numFmtId="3" fontId="10" fillId="0" borderId="45" xfId="13" applyNumberFormat="1" applyFont="1" applyFill="1" applyBorder="1" applyAlignment="1">
      <alignment vertical="center"/>
    </xf>
    <xf numFmtId="9" fontId="0" fillId="0" borderId="33" xfId="14" applyFont="1" applyFill="1" applyBorder="1" applyAlignment="1">
      <alignment horizontal="center" vertical="center"/>
    </xf>
    <xf numFmtId="3" fontId="10" fillId="0" borderId="46" xfId="13" applyNumberFormat="1" applyFont="1" applyFill="1" applyBorder="1" applyAlignment="1">
      <alignment vertical="center"/>
    </xf>
    <xf numFmtId="3" fontId="9" fillId="0" borderId="47" xfId="13" applyNumberFormat="1" applyFont="1" applyFill="1" applyBorder="1" applyAlignment="1">
      <alignment vertical="center"/>
    </xf>
    <xf numFmtId="3" fontId="10" fillId="0" borderId="41" xfId="13" applyNumberFormat="1" applyFont="1" applyFill="1" applyBorder="1" applyAlignment="1">
      <alignment vertical="center"/>
    </xf>
    <xf numFmtId="3" fontId="9" fillId="0" borderId="41" xfId="13" applyNumberFormat="1" applyFont="1" applyFill="1" applyBorder="1" applyAlignment="1">
      <alignment vertical="center"/>
    </xf>
    <xf numFmtId="3" fontId="9" fillId="0" borderId="45" xfId="13" applyNumberFormat="1" applyFont="1" applyFill="1" applyBorder="1" applyAlignment="1">
      <alignment vertical="center"/>
    </xf>
    <xf numFmtId="3" fontId="9" fillId="0" borderId="35" xfId="13" applyNumberFormat="1" applyFont="1" applyFill="1" applyBorder="1" applyAlignment="1">
      <alignment vertical="center"/>
    </xf>
    <xf numFmtId="3" fontId="0" fillId="0" borderId="39" xfId="13" applyNumberFormat="1" applyFont="1" applyFill="1" applyBorder="1" applyAlignment="1">
      <alignment vertical="center"/>
    </xf>
    <xf numFmtId="3" fontId="0" fillId="0" borderId="41" xfId="13" applyNumberFormat="1" applyFont="1" applyFill="1" applyBorder="1" applyAlignment="1">
      <alignment vertical="center"/>
    </xf>
    <xf numFmtId="3" fontId="10" fillId="0" borderId="35" xfId="13" applyNumberFormat="1" applyFont="1" applyFill="1" applyBorder="1" applyAlignment="1">
      <alignment vertical="center"/>
    </xf>
    <xf numFmtId="3" fontId="9" fillId="0" borderId="39" xfId="13" applyNumberFormat="1" applyFont="1" applyFill="1" applyBorder="1" applyAlignment="1">
      <alignment horizontal="right" vertical="center"/>
    </xf>
    <xf numFmtId="3" fontId="9" fillId="0" borderId="41" xfId="13" applyNumberFormat="1" applyFont="1" applyFill="1" applyBorder="1" applyAlignment="1">
      <alignment horizontal="right" vertical="center"/>
    </xf>
    <xf numFmtId="3" fontId="9" fillId="0" borderId="45" xfId="13" applyNumberFormat="1" applyFont="1" applyFill="1" applyBorder="1" applyAlignment="1">
      <alignment horizontal="right" vertical="center"/>
    </xf>
    <xf numFmtId="3" fontId="9" fillId="0" borderId="35" xfId="13" applyNumberFormat="1" applyFont="1" applyFill="1" applyBorder="1" applyAlignment="1">
      <alignment horizontal="right" vertical="center"/>
    </xf>
    <xf numFmtId="3" fontId="9" fillId="0" borderId="49" xfId="0" applyNumberFormat="1" applyFont="1" applyFill="1" applyBorder="1" applyAlignment="1">
      <alignment horizontal="center" vertical="center"/>
    </xf>
    <xf numFmtId="9" fontId="0" fillId="0" borderId="62" xfId="14" applyFont="1" applyFill="1" applyBorder="1" applyAlignment="1">
      <alignment horizontal="center" vertical="center"/>
    </xf>
    <xf numFmtId="3" fontId="9" fillId="0" borderId="50" xfId="0" applyNumberFormat="1" applyFont="1" applyFill="1" applyBorder="1" applyAlignment="1">
      <alignment horizontal="center" vertical="center"/>
    </xf>
    <xf numFmtId="3" fontId="11" fillId="0" borderId="39" xfId="13" applyNumberFormat="1" applyFont="1" applyFill="1" applyBorder="1" applyAlignment="1">
      <alignment vertical="center"/>
    </xf>
    <xf numFmtId="171" fontId="0" fillId="0" borderId="40" xfId="14" applyNumberFormat="1" applyFont="1" applyFill="1" applyBorder="1" applyAlignment="1">
      <alignment horizontal="center" vertical="center"/>
    </xf>
    <xf numFmtId="3" fontId="9" fillId="0" borderId="47" xfId="13" applyNumberFormat="1" applyFont="1" applyFill="1" applyBorder="1" applyAlignment="1">
      <alignment horizontal="right" vertical="center"/>
    </xf>
    <xf numFmtId="165" fontId="9" fillId="5" borderId="4" xfId="0" applyFont="1" applyFill="1" applyBorder="1" applyAlignment="1">
      <alignment horizontal="center" vertical="center"/>
    </xf>
    <xf numFmtId="165" fontId="10" fillId="0" borderId="4" xfId="0" applyFont="1" applyFill="1" applyBorder="1" applyAlignment="1">
      <alignment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9" fontId="0" fillId="0" borderId="4" xfId="14" applyNumberFormat="1" applyFont="1" applyBorder="1" applyAlignment="1">
      <alignment horizontal="center" vertical="center"/>
    </xf>
    <xf numFmtId="37" fontId="17" fillId="0" borderId="0" xfId="0" applyNumberFormat="1" applyFont="1" applyAlignment="1">
      <alignment vertical="center"/>
    </xf>
    <xf numFmtId="37" fontId="16" fillId="0" borderId="0" xfId="0" applyNumberFormat="1" applyFont="1" applyAlignment="1">
      <alignment vertical="center"/>
    </xf>
    <xf numFmtId="39" fontId="16" fillId="0" borderId="0" xfId="0" applyNumberFormat="1" applyFont="1" applyAlignment="1">
      <alignment vertical="center"/>
    </xf>
    <xf numFmtId="37" fontId="16" fillId="0" borderId="0" xfId="0" applyNumberFormat="1" applyFont="1" applyFill="1" applyAlignment="1">
      <alignment vertical="center"/>
    </xf>
    <xf numFmtId="165" fontId="16" fillId="0" borderId="0" xfId="0" applyFont="1" applyAlignment="1">
      <alignment vertical="center"/>
    </xf>
    <xf numFmtId="164" fontId="16" fillId="0" borderId="0" xfId="1" applyFont="1" applyFill="1" applyAlignment="1">
      <alignment vertical="center"/>
    </xf>
    <xf numFmtId="39" fontId="16" fillId="0" borderId="0" xfId="0" applyNumberFormat="1" applyFont="1" applyFill="1" applyAlignment="1">
      <alignment vertical="center"/>
    </xf>
    <xf numFmtId="165" fontId="16" fillId="0" borderId="0" xfId="0" applyFont="1" applyFill="1" applyAlignment="1">
      <alignment vertical="center"/>
    </xf>
    <xf numFmtId="9" fontId="16" fillId="0" borderId="0" xfId="2" applyFont="1" applyAlignment="1">
      <alignment horizontal="center" vertical="center"/>
    </xf>
    <xf numFmtId="39" fontId="17" fillId="0" borderId="0" xfId="0" applyNumberFormat="1" applyFont="1" applyAlignment="1">
      <alignment horizontal="center" vertical="center"/>
    </xf>
    <xf numFmtId="39" fontId="17" fillId="0" borderId="0" xfId="0" applyNumberFormat="1" applyFont="1" applyFill="1" applyAlignment="1">
      <alignment horizontal="center" vertical="center"/>
    </xf>
    <xf numFmtId="164" fontId="17" fillId="0" borderId="0" xfId="1" applyFont="1" applyFill="1" applyAlignment="1">
      <alignment vertical="center"/>
    </xf>
    <xf numFmtId="39" fontId="17" fillId="2" borderId="17" xfId="0" applyNumberFormat="1" applyFont="1" applyFill="1" applyBorder="1" applyAlignment="1">
      <alignment horizontal="center" vertical="center"/>
    </xf>
    <xf numFmtId="39" fontId="17" fillId="0" borderId="4" xfId="0" applyNumberFormat="1" applyFont="1" applyBorder="1" applyAlignment="1">
      <alignment horizontal="center" vertical="center"/>
    </xf>
    <xf numFmtId="39" fontId="17" fillId="0" borderId="18" xfId="0" applyNumberFormat="1" applyFont="1" applyBorder="1" applyAlignment="1">
      <alignment horizontal="center" vertical="center"/>
    </xf>
    <xf numFmtId="39" fontId="17" fillId="0" borderId="4" xfId="0" applyNumberFormat="1" applyFont="1" applyFill="1" applyBorder="1" applyAlignment="1">
      <alignment horizontal="center" vertical="center"/>
    </xf>
    <xf numFmtId="39" fontId="17" fillId="0" borderId="18" xfId="0" applyNumberFormat="1" applyFont="1" applyFill="1" applyBorder="1" applyAlignment="1">
      <alignment horizontal="center" vertical="center"/>
    </xf>
    <xf numFmtId="37" fontId="17" fillId="9" borderId="54" xfId="0" applyNumberFormat="1" applyFont="1" applyFill="1" applyBorder="1" applyAlignment="1">
      <alignment vertical="center"/>
    </xf>
    <xf numFmtId="37" fontId="17" fillId="9" borderId="17" xfId="0" applyNumberFormat="1" applyFont="1" applyFill="1" applyBorder="1" applyAlignment="1">
      <alignment vertical="center"/>
    </xf>
    <xf numFmtId="37" fontId="17" fillId="9" borderId="4" xfId="0" applyNumberFormat="1" applyFont="1" applyFill="1" applyBorder="1" applyAlignment="1">
      <alignment vertical="center"/>
    </xf>
    <xf numFmtId="37" fontId="17" fillId="9" borderId="18" xfId="0" applyNumberFormat="1" applyFont="1" applyFill="1" applyBorder="1" applyAlignment="1">
      <alignment vertical="center"/>
    </xf>
    <xf numFmtId="165" fontId="17" fillId="0" borderId="0" xfId="0" applyFont="1" applyFill="1" applyAlignment="1">
      <alignment vertical="center"/>
    </xf>
    <xf numFmtId="165" fontId="17" fillId="5" borderId="0" xfId="0" applyFont="1" applyFill="1" applyAlignment="1">
      <alignment vertical="center"/>
    </xf>
    <xf numFmtId="39" fontId="16" fillId="0" borderId="55" xfId="0" applyNumberFormat="1" applyFont="1" applyFill="1" applyBorder="1" applyAlignment="1">
      <alignment horizontal="left" vertical="center"/>
    </xf>
    <xf numFmtId="37" fontId="16" fillId="2" borderId="17" xfId="0" applyNumberFormat="1" applyFont="1" applyFill="1" applyBorder="1" applyAlignment="1">
      <alignment vertical="center"/>
    </xf>
    <xf numFmtId="37" fontId="16" fillId="0" borderId="4" xfId="0" applyNumberFormat="1" applyFont="1" applyFill="1" applyBorder="1" applyAlignment="1">
      <alignment vertical="center"/>
    </xf>
    <xf numFmtId="37" fontId="16" fillId="0" borderId="18" xfId="0" applyNumberFormat="1" applyFont="1" applyFill="1" applyBorder="1" applyAlignment="1">
      <alignment vertical="center"/>
    </xf>
    <xf numFmtId="39" fontId="17" fillId="9" borderId="55" xfId="0" applyNumberFormat="1" applyFont="1" applyFill="1" applyBorder="1" applyAlignment="1">
      <alignment vertical="center"/>
    </xf>
    <xf numFmtId="165" fontId="16" fillId="5" borderId="0" xfId="0" applyFont="1" applyFill="1" applyAlignment="1">
      <alignment vertical="center"/>
    </xf>
    <xf numFmtId="39" fontId="17" fillId="0" borderId="55" xfId="0" applyNumberFormat="1" applyFont="1" applyFill="1" applyBorder="1" applyAlignment="1">
      <alignment horizontal="left" vertical="center"/>
    </xf>
    <xf numFmtId="37" fontId="16" fillId="9" borderId="18" xfId="0" applyNumberFormat="1" applyFont="1" applyFill="1" applyBorder="1" applyAlignment="1">
      <alignment vertical="center"/>
    </xf>
    <xf numFmtId="39" fontId="17" fillId="9" borderId="56" xfId="0" applyNumberFormat="1" applyFont="1" applyFill="1" applyBorder="1" applyAlignment="1">
      <alignment vertical="center"/>
    </xf>
    <xf numFmtId="37" fontId="17" fillId="9" borderId="20" xfId="0" applyNumberFormat="1" applyFont="1" applyFill="1" applyBorder="1" applyAlignment="1">
      <alignment vertical="center"/>
    </xf>
    <xf numFmtId="37" fontId="17" fillId="9" borderId="21" xfId="0" applyNumberFormat="1" applyFont="1" applyFill="1" applyBorder="1" applyAlignment="1">
      <alignment vertical="center"/>
    </xf>
    <xf numFmtId="37" fontId="17" fillId="9" borderId="22" xfId="0" applyNumberFormat="1" applyFont="1" applyFill="1" applyBorder="1" applyAlignment="1">
      <alignment vertical="center"/>
    </xf>
    <xf numFmtId="165" fontId="17" fillId="0" borderId="0" xfId="0" applyFont="1" applyAlignment="1">
      <alignment vertical="center"/>
    </xf>
    <xf numFmtId="165" fontId="17" fillId="0" borderId="46" xfId="0" applyFont="1" applyBorder="1" applyAlignment="1">
      <alignment vertical="center"/>
    </xf>
    <xf numFmtId="165" fontId="17" fillId="0" borderId="4" xfId="0" applyFont="1" applyBorder="1" applyAlignment="1">
      <alignment horizontal="center" vertical="center"/>
    </xf>
    <xf numFmtId="165" fontId="16" fillId="0" borderId="4" xfId="0" applyFont="1" applyBorder="1" applyAlignment="1">
      <alignment vertical="center"/>
    </xf>
    <xf numFmtId="37" fontId="16" fillId="0" borderId="4" xfId="0" applyNumberFormat="1" applyFont="1" applyBorder="1" applyAlignment="1">
      <alignment vertical="center"/>
    </xf>
    <xf numFmtId="39" fontId="16" fillId="0" borderId="4" xfId="0" applyNumberFormat="1" applyFont="1" applyBorder="1" applyAlignment="1">
      <alignment vertical="center"/>
    </xf>
    <xf numFmtId="9" fontId="16" fillId="0" borderId="4" xfId="2" applyFont="1" applyBorder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37" fontId="16" fillId="9" borderId="19" xfId="0" applyNumberFormat="1" applyFont="1" applyFill="1" applyBorder="1" applyAlignment="1">
      <alignment vertical="center"/>
    </xf>
    <xf numFmtId="3" fontId="10" fillId="10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>
      <alignment horizontal="center" vertical="center"/>
    </xf>
    <xf numFmtId="4" fontId="10" fillId="0" borderId="0" xfId="12" applyNumberFormat="1" applyFont="1" applyBorder="1" applyAlignment="1">
      <alignment horizontal="center" vertical="center"/>
    </xf>
    <xf numFmtId="4" fontId="10" fillId="0" borderId="0" xfId="12" applyNumberFormat="1" applyFont="1" applyBorder="1" applyAlignment="1">
      <alignment vertical="center"/>
    </xf>
    <xf numFmtId="4" fontId="10" fillId="0" borderId="0" xfId="12" applyNumberFormat="1" applyFont="1" applyBorder="1" applyAlignment="1">
      <alignment horizontal="right" vertical="center"/>
    </xf>
    <xf numFmtId="4" fontId="9" fillId="5" borderId="32" xfId="12" applyNumberFormat="1" applyFont="1" applyFill="1" applyBorder="1" applyAlignment="1">
      <alignment horizontal="center" vertical="center"/>
    </xf>
    <xf numFmtId="4" fontId="9" fillId="5" borderId="33" xfId="12" applyNumberFormat="1" applyFont="1" applyFill="1" applyBorder="1" applyAlignment="1">
      <alignment horizontal="center" vertical="center"/>
    </xf>
    <xf numFmtId="4" fontId="9" fillId="5" borderId="34" xfId="12" applyNumberFormat="1" applyFont="1" applyFill="1" applyBorder="1" applyAlignment="1">
      <alignment horizontal="center" vertical="center"/>
    </xf>
    <xf numFmtId="4" fontId="10" fillId="0" borderId="0" xfId="12" applyNumberFormat="1" applyFont="1" applyAlignment="1">
      <alignment vertical="center"/>
    </xf>
    <xf numFmtId="4" fontId="10" fillId="0" borderId="0" xfId="12" applyNumberFormat="1" applyFont="1" applyFill="1" applyBorder="1" applyAlignment="1">
      <alignment vertical="center"/>
    </xf>
    <xf numFmtId="4" fontId="9" fillId="5" borderId="4" xfId="0" applyNumberFormat="1" applyFont="1" applyFill="1" applyBorder="1" applyAlignment="1">
      <alignment horizontal="center" vertical="center"/>
    </xf>
    <xf numFmtId="4" fontId="10" fillId="5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0" fillId="0" borderId="4" xfId="14" applyNumberFormat="1" applyFont="1" applyBorder="1" applyAlignment="1">
      <alignment horizontal="center" vertical="center"/>
    </xf>
    <xf numFmtId="4" fontId="15" fillId="0" borderId="0" xfId="14" applyNumberFormat="1" applyFont="1" applyBorder="1" applyAlignment="1">
      <alignment horizontal="center"/>
    </xf>
    <xf numFmtId="4" fontId="15" fillId="0" borderId="0" xfId="14" applyNumberFormat="1" applyFont="1" applyBorder="1" applyAlignment="1">
      <alignment horizontal="center" vertical="center"/>
    </xf>
    <xf numFmtId="4" fontId="15" fillId="0" borderId="0" xfId="14" applyNumberFormat="1" applyFont="1" applyBorder="1" applyAlignment="1">
      <alignment vertical="center"/>
    </xf>
    <xf numFmtId="4" fontId="10" fillId="5" borderId="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173" fontId="9" fillId="6" borderId="39" xfId="13" applyNumberFormat="1" applyFont="1" applyFill="1" applyBorder="1" applyAlignment="1">
      <alignment vertical="center"/>
    </xf>
    <xf numFmtId="173" fontId="9" fillId="6" borderId="41" xfId="13" applyNumberFormat="1" applyFont="1" applyFill="1" applyBorder="1" applyAlignment="1">
      <alignment vertical="center"/>
    </xf>
    <xf numFmtId="173" fontId="10" fillId="6" borderId="39" xfId="13" applyNumberFormat="1" applyFont="1" applyFill="1" applyBorder="1" applyAlignment="1">
      <alignment vertical="center"/>
    </xf>
    <xf numFmtId="173" fontId="10" fillId="6" borderId="41" xfId="13" applyNumberFormat="1" applyFont="1" applyFill="1" applyBorder="1" applyAlignment="1">
      <alignment vertical="center"/>
    </xf>
    <xf numFmtId="173" fontId="10" fillId="6" borderId="45" xfId="13" applyNumberFormat="1" applyFont="1" applyFill="1" applyBorder="1" applyAlignment="1">
      <alignment vertical="center"/>
    </xf>
    <xf numFmtId="173" fontId="9" fillId="6" borderId="42" xfId="13" applyNumberFormat="1" applyFont="1" applyFill="1" applyBorder="1" applyAlignment="1">
      <alignment vertical="center"/>
    </xf>
    <xf numFmtId="173" fontId="9" fillId="6" borderId="47" xfId="13" applyNumberFormat="1" applyFont="1" applyFill="1" applyBorder="1" applyAlignment="1">
      <alignment vertical="center"/>
    </xf>
    <xf numFmtId="173" fontId="9" fillId="6" borderId="42" xfId="13" applyNumberFormat="1" applyFont="1" applyFill="1" applyBorder="1" applyAlignment="1">
      <alignment horizontal="right" vertical="center"/>
    </xf>
    <xf numFmtId="173" fontId="10" fillId="6" borderId="43" xfId="13" applyNumberFormat="1" applyFont="1" applyFill="1" applyBorder="1" applyAlignment="1">
      <alignment horizontal="center" vertical="center"/>
    </xf>
    <xf numFmtId="173" fontId="9" fillId="6" borderId="45" xfId="13" applyNumberFormat="1" applyFont="1" applyFill="1" applyBorder="1" applyAlignment="1">
      <alignment horizontal="right" vertical="center"/>
    </xf>
    <xf numFmtId="173" fontId="9" fillId="6" borderId="33" xfId="13" applyNumberFormat="1" applyFont="1" applyFill="1" applyBorder="1" applyAlignment="1">
      <alignment horizontal="center" vertical="center"/>
    </xf>
    <xf numFmtId="173" fontId="10" fillId="6" borderId="40" xfId="13" applyNumberFormat="1" applyFont="1" applyFill="1" applyBorder="1" applyAlignment="1">
      <alignment horizontal="center" vertical="center"/>
    </xf>
    <xf numFmtId="173" fontId="10" fillId="6" borderId="33" xfId="13" applyNumberFormat="1" applyFont="1" applyFill="1" applyBorder="1" applyAlignment="1">
      <alignment horizontal="center" vertical="center"/>
    </xf>
    <xf numFmtId="173" fontId="9" fillId="6" borderId="45" xfId="0" applyNumberFormat="1" applyFont="1" applyFill="1" applyBorder="1" applyAlignment="1">
      <alignment vertical="center"/>
    </xf>
    <xf numFmtId="173" fontId="9" fillId="6" borderId="40" xfId="13" applyNumberFormat="1" applyFont="1" applyFill="1" applyBorder="1" applyAlignment="1">
      <alignment horizontal="center" vertical="center"/>
    </xf>
    <xf numFmtId="173" fontId="9" fillId="6" borderId="43" xfId="13" applyNumberFormat="1" applyFont="1" applyFill="1" applyBorder="1" applyAlignment="1">
      <alignment horizontal="center" vertical="center"/>
    </xf>
    <xf numFmtId="4" fontId="10" fillId="0" borderId="0" xfId="12" applyNumberFormat="1" applyFont="1" applyAlignment="1">
      <alignment horizontal="center" vertical="center"/>
    </xf>
    <xf numFmtId="17" fontId="10" fillId="0" borderId="0" xfId="12" applyNumberFormat="1" applyFont="1" applyBorder="1" applyAlignment="1">
      <alignment horizontal="center" vertical="center"/>
    </xf>
    <xf numFmtId="173" fontId="9" fillId="6" borderId="41" xfId="13" applyNumberFormat="1" applyFont="1" applyFill="1" applyBorder="1" applyAlignment="1">
      <alignment horizontal="center" vertical="center"/>
    </xf>
    <xf numFmtId="173" fontId="10" fillId="6" borderId="41" xfId="13" applyNumberFormat="1" applyFont="1" applyFill="1" applyBorder="1" applyAlignment="1">
      <alignment horizontal="center" vertical="center"/>
    </xf>
    <xf numFmtId="173" fontId="10" fillId="6" borderId="35" xfId="13" applyNumberFormat="1" applyFont="1" applyFill="1" applyBorder="1" applyAlignment="1">
      <alignment horizontal="center" vertical="center"/>
    </xf>
    <xf numFmtId="173" fontId="9" fillId="6" borderId="47" xfId="13" applyNumberFormat="1" applyFont="1" applyFill="1" applyBorder="1" applyAlignment="1">
      <alignment horizontal="center" vertical="center"/>
    </xf>
    <xf numFmtId="173" fontId="9" fillId="6" borderId="35" xfId="13" applyNumberFormat="1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horizontal="center" vertical="center"/>
    </xf>
    <xf numFmtId="39" fontId="17" fillId="0" borderId="52" xfId="0" applyNumberFormat="1" applyFont="1" applyBorder="1" applyAlignment="1">
      <alignment horizontal="center" vertical="center"/>
    </xf>
    <xf numFmtId="39" fontId="17" fillId="0" borderId="53" xfId="0" applyNumberFormat="1" applyFont="1" applyBorder="1" applyAlignment="1">
      <alignment horizontal="center" vertical="center"/>
    </xf>
    <xf numFmtId="165" fontId="17" fillId="0" borderId="14" xfId="0" applyFont="1" applyBorder="1" applyAlignment="1">
      <alignment horizontal="center" vertical="center"/>
    </xf>
    <xf numFmtId="165" fontId="17" fillId="0" borderId="15" xfId="0" applyFont="1" applyBorder="1" applyAlignment="1">
      <alignment horizontal="center" vertical="center"/>
    </xf>
    <xf numFmtId="165" fontId="17" fillId="0" borderId="16" xfId="0" applyFont="1" applyBorder="1" applyAlignment="1">
      <alignment horizontal="center" vertical="center"/>
    </xf>
    <xf numFmtId="165" fontId="16" fillId="0" borderId="57" xfId="0" applyFont="1" applyBorder="1" applyAlignment="1">
      <alignment horizontal="center" vertical="center"/>
    </xf>
    <xf numFmtId="165" fontId="16" fillId="0" borderId="58" xfId="0" applyFont="1" applyBorder="1" applyAlignment="1">
      <alignment horizontal="center" vertical="center"/>
    </xf>
    <xf numFmtId="165" fontId="16" fillId="0" borderId="59" xfId="0" applyFont="1" applyBorder="1" applyAlignment="1">
      <alignment horizontal="center" vertical="center"/>
    </xf>
    <xf numFmtId="39" fontId="17" fillId="0" borderId="19" xfId="0" applyNumberFormat="1" applyFont="1" applyBorder="1" applyAlignment="1">
      <alignment horizontal="center" vertical="center"/>
    </xf>
    <xf numFmtId="39" fontId="17" fillId="0" borderId="51" xfId="0" applyNumberFormat="1" applyFont="1" applyBorder="1" applyAlignment="1">
      <alignment horizontal="center" vertical="center"/>
    </xf>
    <xf numFmtId="39" fontId="17" fillId="0" borderId="37" xfId="0" applyNumberFormat="1" applyFont="1" applyBorder="1" applyAlignment="1">
      <alignment horizontal="center" vertical="center"/>
    </xf>
    <xf numFmtId="37" fontId="16" fillId="0" borderId="19" xfId="0" applyNumberFormat="1" applyFont="1" applyBorder="1" applyAlignment="1">
      <alignment horizontal="center" vertical="center"/>
    </xf>
    <xf numFmtId="37" fontId="16" fillId="0" borderId="51" xfId="0" applyNumberFormat="1" applyFont="1" applyBorder="1" applyAlignment="1">
      <alignment horizontal="center" vertical="center"/>
    </xf>
    <xf numFmtId="37" fontId="16" fillId="0" borderId="37" xfId="0" applyNumberFormat="1" applyFont="1" applyBorder="1" applyAlignment="1">
      <alignment horizontal="center" vertical="center"/>
    </xf>
    <xf numFmtId="9" fontId="16" fillId="0" borderId="19" xfId="2" applyFont="1" applyBorder="1" applyAlignment="1">
      <alignment horizontal="center" vertical="center"/>
    </xf>
    <xf numFmtId="9" fontId="16" fillId="0" borderId="51" xfId="2" applyFont="1" applyBorder="1" applyAlignment="1">
      <alignment horizontal="center" vertical="center"/>
    </xf>
    <xf numFmtId="9" fontId="16" fillId="0" borderId="37" xfId="2" applyFont="1" applyBorder="1" applyAlignment="1">
      <alignment horizontal="center" vertical="center"/>
    </xf>
    <xf numFmtId="171" fontId="15" fillId="0" borderId="0" xfId="14" applyNumberFormat="1" applyFont="1" applyBorder="1" applyAlignment="1">
      <alignment horizontal="center" vertical="center"/>
    </xf>
    <xf numFmtId="3" fontId="15" fillId="0" borderId="0" xfId="12" applyNumberFormat="1" applyFont="1" applyBorder="1" applyAlignment="1">
      <alignment horizontal="center" vertical="center"/>
    </xf>
    <xf numFmtId="165" fontId="10" fillId="5" borderId="4" xfId="0" applyFont="1" applyFill="1" applyBorder="1" applyAlignment="1">
      <alignment horizontal="center" vertical="center" wrapText="1"/>
    </xf>
    <xf numFmtId="3" fontId="10" fillId="0" borderId="0" xfId="12" applyNumberFormat="1" applyFont="1" applyBorder="1" applyAlignment="1">
      <alignment horizontal="center" vertical="center"/>
    </xf>
    <xf numFmtId="0" fontId="10" fillId="0" borderId="0" xfId="12" applyFont="1" applyBorder="1" applyAlignment="1">
      <alignment horizontal="center" vertical="center"/>
    </xf>
    <xf numFmtId="0" fontId="9" fillId="0" borderId="0" xfId="12" applyFont="1" applyBorder="1" applyAlignment="1">
      <alignment horizontal="left" vertical="center"/>
    </xf>
    <xf numFmtId="0" fontId="9" fillId="3" borderId="23" xfId="12" applyFont="1" applyFill="1" applyBorder="1" applyAlignment="1">
      <alignment horizontal="left" vertical="center"/>
    </xf>
    <xf numFmtId="0" fontId="9" fillId="3" borderId="0" xfId="12" applyFont="1" applyFill="1" applyBorder="1" applyAlignment="1">
      <alignment horizontal="left" vertical="center"/>
    </xf>
    <xf numFmtId="0" fontId="9" fillId="5" borderId="24" xfId="12" applyFont="1" applyFill="1" applyBorder="1" applyAlignment="1">
      <alignment horizontal="center" vertical="center"/>
    </xf>
    <xf numFmtId="0" fontId="9" fillId="5" borderId="32" xfId="12" applyFont="1" applyFill="1" applyBorder="1" applyAlignment="1">
      <alignment horizontal="center" vertical="center"/>
    </xf>
    <xf numFmtId="4" fontId="9" fillId="5" borderId="25" xfId="12" applyNumberFormat="1" applyFont="1" applyFill="1" applyBorder="1" applyAlignment="1">
      <alignment horizontal="center" vertical="center" wrapText="1"/>
    </xf>
    <xf numFmtId="4" fontId="9" fillId="5" borderId="26" xfId="12" applyNumberFormat="1" applyFont="1" applyFill="1" applyBorder="1" applyAlignment="1">
      <alignment horizontal="center" vertical="center" wrapText="1"/>
    </xf>
    <xf numFmtId="4" fontId="9" fillId="5" borderId="27" xfId="12" applyNumberFormat="1" applyFont="1" applyFill="1" applyBorder="1" applyAlignment="1">
      <alignment horizontal="center" vertical="center" wrapText="1"/>
    </xf>
    <xf numFmtId="0" fontId="9" fillId="5" borderId="28" xfId="12" applyFont="1" applyFill="1" applyBorder="1" applyAlignment="1">
      <alignment horizontal="center" vertical="center" wrapText="1"/>
    </xf>
    <xf numFmtId="0" fontId="9" fillId="5" borderId="29" xfId="12" applyFont="1" applyFill="1" applyBorder="1" applyAlignment="1">
      <alignment horizontal="center" vertical="center" wrapText="1"/>
    </xf>
    <xf numFmtId="165" fontId="9" fillId="5" borderId="25" xfId="0" applyFont="1" applyFill="1" applyBorder="1" applyAlignment="1">
      <alignment horizontal="center" vertical="center" wrapText="1"/>
    </xf>
    <xf numFmtId="165" fontId="9" fillId="5" borderId="26" xfId="0" applyFont="1" applyFill="1" applyBorder="1" applyAlignment="1">
      <alignment horizontal="center" vertical="center" wrapText="1"/>
    </xf>
    <xf numFmtId="165" fontId="9" fillId="5" borderId="28" xfId="0" applyFont="1" applyFill="1" applyBorder="1" applyAlignment="1">
      <alignment horizontal="center" vertical="center" wrapText="1"/>
    </xf>
    <xf numFmtId="165" fontId="9" fillId="0" borderId="31" xfId="0" applyFont="1" applyFill="1" applyBorder="1" applyAlignment="1">
      <alignment horizontal="center" vertical="center" wrapText="1"/>
    </xf>
    <xf numFmtId="165" fontId="9" fillId="0" borderId="33" xfId="0" applyFont="1" applyFill="1" applyBorder="1" applyAlignment="1">
      <alignment horizontal="center" vertical="center" wrapText="1"/>
    </xf>
  </cellXfs>
  <cellStyles count="15">
    <cellStyle name="Comma" xfId="1" builtinId="3"/>
    <cellStyle name="Excel Built-in Normal" xfId="7" xr:uid="{00000000-0005-0000-0000-000000000000}"/>
    <cellStyle name="Heading" xfId="8" xr:uid="{00000000-0005-0000-0000-000001000000}"/>
    <cellStyle name="Heading1" xfId="9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Normal 3" xfId="4" xr:uid="{00000000-0005-0000-0000-000006000000}"/>
    <cellStyle name="Normal 4" xfId="12" xr:uid="{00000000-0005-0000-0000-000007000000}"/>
    <cellStyle name="Percent" xfId="2" builtinId="5"/>
    <cellStyle name="Porcentagem 2" xfId="5" xr:uid="{00000000-0005-0000-0000-000009000000}"/>
    <cellStyle name="Porcentagem 3" xfId="14" xr:uid="{00000000-0005-0000-0000-00000A000000}"/>
    <cellStyle name="Result" xfId="10" xr:uid="{00000000-0005-0000-0000-00000B000000}"/>
    <cellStyle name="Result2" xfId="11" xr:uid="{00000000-0005-0000-0000-00000C000000}"/>
    <cellStyle name="Vírgula 2" xfId="13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Total BID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'POA PSA '!$B$26:$S$26</c15:sqref>
                  </c15:fullRef>
                </c:ext>
              </c:extLst>
              <c:f>('POA PSA '!$B$26,'POA PSA '!$E$26,'POA PSA '!$H$26,'POA PSA '!$K$26,'POA PSA '!$N$26,'POA PSA '!$Q$26)</c:f>
              <c:strCache>
                <c:ptCount val="6"/>
                <c:pt idx="0">
                  <c:v>ANO 0</c:v>
                </c:pt>
                <c:pt idx="1">
                  <c:v>ANO 1</c:v>
                </c:pt>
                <c:pt idx="2">
                  <c:v>ANO 2</c:v>
                </c:pt>
                <c:pt idx="3">
                  <c:v>ANO 3</c:v>
                </c:pt>
                <c:pt idx="4">
                  <c:v>ANO 4</c:v>
                </c:pt>
                <c:pt idx="5">
                  <c:v>ANO 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'POA PSA '!$B$27:$S$27</c15:sqref>
                  </c15:fullRef>
                </c:ext>
              </c:extLst>
              <c:f>('POA PSA '!$B$27,'POA PSA '!$E$27,'POA PSA '!$H$27,'POA PSA '!$K$27,'POA PSA '!$N$27,'POA PSA '!$Q$27)</c:f>
              <c:numCache>
                <c:formatCode>#,##0_);\(#,##0\)</c:formatCode>
                <c:ptCount val="6"/>
                <c:pt idx="0">
                  <c:v>0</c:v>
                </c:pt>
                <c:pt idx="1">
                  <c:v>52667659</c:v>
                </c:pt>
                <c:pt idx="2">
                  <c:v>89463723</c:v>
                </c:pt>
                <c:pt idx="3">
                  <c:v>46131776</c:v>
                </c:pt>
                <c:pt idx="4">
                  <c:v>29438418</c:v>
                </c:pt>
                <c:pt idx="5">
                  <c:v>17298424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B-4EB8-B9FA-C797D1AD1CA2}"/>
            </c:ext>
          </c:extLst>
        </c:ser>
        <c:ser>
          <c:idx val="1"/>
          <c:order val="1"/>
          <c:tx>
            <c:v>Total Aporte Local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'POA PSA '!$B$26:$S$26</c15:sqref>
                  </c15:fullRef>
                </c:ext>
              </c:extLst>
              <c:f>('POA PSA '!$B$26,'POA PSA '!$E$26,'POA PSA '!$H$26,'POA PSA '!$K$26,'POA PSA '!$N$26,'POA PSA '!$Q$26)</c:f>
              <c:strCache>
                <c:ptCount val="6"/>
                <c:pt idx="0">
                  <c:v>ANO 0</c:v>
                </c:pt>
                <c:pt idx="1">
                  <c:v>ANO 1</c:v>
                </c:pt>
                <c:pt idx="2">
                  <c:v>ANO 2</c:v>
                </c:pt>
                <c:pt idx="3">
                  <c:v>ANO 3</c:v>
                </c:pt>
                <c:pt idx="4">
                  <c:v>ANO 4</c:v>
                </c:pt>
                <c:pt idx="5">
                  <c:v>ANO 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'POA PSA '!$B$28:$S$28</c15:sqref>
                  </c15:fullRef>
                </c:ext>
              </c:extLst>
              <c:f>('POA PSA '!$B$28,'POA PSA '!$E$28,'POA PSA '!$H$28,'POA PSA '!$K$28,'POA PSA '!$N$28,'POA PSA '!$Q$28)</c:f>
              <c:numCache>
                <c:formatCode>#,##0_);\(#,##0\)</c:formatCode>
                <c:ptCount val="6"/>
                <c:pt idx="0">
                  <c:v>30231664</c:v>
                </c:pt>
                <c:pt idx="1">
                  <c:v>86038279</c:v>
                </c:pt>
                <c:pt idx="2">
                  <c:v>61537106</c:v>
                </c:pt>
                <c:pt idx="3">
                  <c:v>14068370</c:v>
                </c:pt>
                <c:pt idx="4">
                  <c:v>5100730</c:v>
                </c:pt>
                <c:pt idx="5">
                  <c:v>3023851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6B-4EB8-B9FA-C797D1AD1C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8478464"/>
        <c:axId val="218480000"/>
      </c:barChart>
      <c:catAx>
        <c:axId val="21847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80000"/>
        <c:crosses val="autoZero"/>
        <c:auto val="1"/>
        <c:lblAlgn val="ctr"/>
        <c:lblOffset val="100"/>
        <c:noMultiLvlLbl val="0"/>
      </c:catAx>
      <c:valAx>
        <c:axId val="21848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784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6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6885" cy="602273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zoomScale="70" zoomScaleNormal="70" workbookViewId="0">
      <selection activeCell="Z9" sqref="Z9"/>
    </sheetView>
  </sheetViews>
  <sheetFormatPr defaultColWidth="8.8984375" defaultRowHeight="15.6" x14ac:dyDescent="0.35"/>
  <cols>
    <col min="1" max="1" width="49" style="180" customWidth="1"/>
    <col min="2" max="2" width="11.296875" style="180" customWidth="1"/>
    <col min="3" max="4" width="9.3984375" style="180" hidden="1" customWidth="1"/>
    <col min="5" max="5" width="11.09765625" style="180" customWidth="1"/>
    <col min="6" max="7" width="9.3984375" style="180" hidden="1" customWidth="1"/>
    <col min="8" max="8" width="10.59765625" style="180" bestFit="1" customWidth="1"/>
    <col min="9" max="10" width="9.3984375" style="180" hidden="1" customWidth="1"/>
    <col min="11" max="11" width="9.3984375" style="180" customWidth="1"/>
    <col min="12" max="13" width="9.3984375" style="180" hidden="1" customWidth="1"/>
    <col min="14" max="14" width="9.3984375" style="180" customWidth="1"/>
    <col min="15" max="16" width="9.3984375" style="180" hidden="1" customWidth="1"/>
    <col min="17" max="17" width="9.3984375" style="180" customWidth="1"/>
    <col min="18" max="19" width="9.3984375" style="183" hidden="1" customWidth="1"/>
    <col min="20" max="20" width="10.59765625" style="180" bestFit="1" customWidth="1"/>
    <col min="21" max="22" width="10.59765625" style="181" hidden="1" customWidth="1"/>
    <col min="23" max="24" width="8.8984375" style="180"/>
    <col min="25" max="25" width="6" style="180" customWidth="1"/>
    <col min="26" max="16384" width="8.8984375" style="180"/>
  </cols>
  <sheetData>
    <row r="1" spans="1:29" x14ac:dyDescent="0.35">
      <c r="A1" s="176" t="s">
        <v>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O1" s="178"/>
      <c r="P1" s="178"/>
      <c r="Q1" s="177"/>
      <c r="R1" s="179"/>
      <c r="S1" s="179"/>
    </row>
    <row r="2" spans="1:29" x14ac:dyDescent="0.35">
      <c r="A2" s="177" t="s">
        <v>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178"/>
      <c r="P2" s="178"/>
      <c r="Q2" s="177"/>
      <c r="R2" s="179"/>
      <c r="S2" s="179"/>
    </row>
    <row r="3" spans="1:29" x14ac:dyDescent="0.35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82"/>
      <c r="S3" s="182"/>
    </row>
    <row r="4" spans="1:29" x14ac:dyDescent="0.35">
      <c r="A4" s="178" t="s">
        <v>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82"/>
      <c r="S4" s="182"/>
    </row>
    <row r="5" spans="1:29" x14ac:dyDescent="0.35">
      <c r="A5" s="178" t="s">
        <v>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T5" s="178"/>
    </row>
    <row r="6" spans="1:29" ht="16.2" thickBot="1" x14ac:dyDescent="0.4">
      <c r="B6" s="184">
        <f>B32</f>
        <v>6.9498078160919546E-2</v>
      </c>
      <c r="D6" s="178"/>
      <c r="E6" s="184">
        <f>E32</f>
        <v>0.31886422528735631</v>
      </c>
      <c r="H6" s="184">
        <f>H32</f>
        <v>0.34712834252873565</v>
      </c>
      <c r="I6" s="185"/>
      <c r="J6" s="185"/>
      <c r="K6" s="184">
        <f>K32</f>
        <v>0.13839114022988505</v>
      </c>
      <c r="L6" s="185"/>
      <c r="M6" s="185"/>
      <c r="N6" s="184">
        <f>N32</f>
        <v>7.9400340229885055E-2</v>
      </c>
      <c r="O6" s="185"/>
      <c r="P6" s="185"/>
      <c r="Q6" s="184">
        <f>Q32</f>
        <v>4.6717873563218389E-2</v>
      </c>
      <c r="R6" s="186"/>
      <c r="S6" s="186"/>
      <c r="T6" s="184">
        <f>T32</f>
        <v>1</v>
      </c>
      <c r="U6" s="187"/>
      <c r="V6" s="187"/>
    </row>
    <row r="7" spans="1:29" ht="26.25" customHeight="1" x14ac:dyDescent="0.35">
      <c r="A7" s="264" t="s">
        <v>1</v>
      </c>
      <c r="B7" s="266" t="s">
        <v>85</v>
      </c>
      <c r="C7" s="267"/>
      <c r="D7" s="268"/>
      <c r="E7" s="266" t="s">
        <v>12</v>
      </c>
      <c r="F7" s="267"/>
      <c r="G7" s="268"/>
      <c r="H7" s="269" t="s">
        <v>13</v>
      </c>
      <c r="I7" s="270"/>
      <c r="J7" s="271"/>
      <c r="K7" s="266" t="s">
        <v>14</v>
      </c>
      <c r="L7" s="267"/>
      <c r="M7" s="268"/>
      <c r="N7" s="266" t="s">
        <v>15</v>
      </c>
      <c r="O7" s="267"/>
      <c r="P7" s="268"/>
      <c r="Q7" s="266" t="s">
        <v>16</v>
      </c>
      <c r="R7" s="267"/>
      <c r="S7" s="268"/>
      <c r="T7" s="269" t="s">
        <v>3</v>
      </c>
      <c r="U7" s="270"/>
      <c r="V7" s="271"/>
      <c r="W7" s="183"/>
      <c r="X7" s="183"/>
      <c r="Y7" s="183"/>
      <c r="Z7" s="183"/>
      <c r="AA7" s="183"/>
      <c r="AB7" s="183"/>
      <c r="AC7" s="183"/>
    </row>
    <row r="8" spans="1:29" ht="26.25" customHeight="1" thickBot="1" x14ac:dyDescent="0.4">
      <c r="A8" s="265"/>
      <c r="B8" s="188" t="s">
        <v>6</v>
      </c>
      <c r="C8" s="189" t="s">
        <v>17</v>
      </c>
      <c r="D8" s="190" t="s">
        <v>87</v>
      </c>
      <c r="E8" s="188" t="s">
        <v>6</v>
      </c>
      <c r="F8" s="189" t="s">
        <v>17</v>
      </c>
      <c r="G8" s="190" t="s">
        <v>87</v>
      </c>
      <c r="H8" s="188" t="s">
        <v>6</v>
      </c>
      <c r="I8" s="189" t="s">
        <v>17</v>
      </c>
      <c r="J8" s="190" t="s">
        <v>87</v>
      </c>
      <c r="K8" s="188" t="s">
        <v>6</v>
      </c>
      <c r="L8" s="189" t="s">
        <v>17</v>
      </c>
      <c r="M8" s="190" t="s">
        <v>87</v>
      </c>
      <c r="N8" s="188" t="s">
        <v>6</v>
      </c>
      <c r="O8" s="189" t="s">
        <v>17</v>
      </c>
      <c r="P8" s="190" t="s">
        <v>87</v>
      </c>
      <c r="Q8" s="188" t="s">
        <v>6</v>
      </c>
      <c r="R8" s="191" t="s">
        <v>17</v>
      </c>
      <c r="S8" s="192" t="s">
        <v>87</v>
      </c>
      <c r="T8" s="188" t="s">
        <v>6</v>
      </c>
      <c r="U8" s="191" t="s">
        <v>17</v>
      </c>
      <c r="V8" s="192" t="s">
        <v>87</v>
      </c>
      <c r="W8" s="183"/>
      <c r="X8" s="183"/>
      <c r="Y8" s="183"/>
      <c r="Z8" s="183"/>
      <c r="AA8" s="183"/>
      <c r="AB8" s="183"/>
      <c r="AC8" s="183"/>
    </row>
    <row r="9" spans="1:29" s="198" customFormat="1" ht="26.25" customHeight="1" x14ac:dyDescent="0.35">
      <c r="A9" s="193" t="s">
        <v>33</v>
      </c>
      <c r="B9" s="194">
        <f>SUM(B10)</f>
        <v>0</v>
      </c>
      <c r="C9" s="195">
        <f>SUM(C10)</f>
        <v>0</v>
      </c>
      <c r="D9" s="196">
        <f>SUM(D10)</f>
        <v>0</v>
      </c>
      <c r="E9" s="194">
        <f>E10</f>
        <v>3179737</v>
      </c>
      <c r="F9" s="195">
        <f>SUM(F10)</f>
        <v>2371165</v>
      </c>
      <c r="G9" s="196">
        <f>SUM(G10)</f>
        <v>808572</v>
      </c>
      <c r="H9" s="194">
        <f>H10</f>
        <v>4810841</v>
      </c>
      <c r="I9" s="195">
        <f>SUM(I10)</f>
        <v>3871059</v>
      </c>
      <c r="J9" s="196">
        <f>SUM(J10)</f>
        <v>939782</v>
      </c>
      <c r="K9" s="194">
        <f>K10</f>
        <v>3572153</v>
      </c>
      <c r="L9" s="195">
        <f>SUM(L10)</f>
        <v>2848617</v>
      </c>
      <c r="M9" s="196">
        <f>SUM(M10)</f>
        <v>723536</v>
      </c>
      <c r="N9" s="194">
        <f>N10</f>
        <v>3321458</v>
      </c>
      <c r="O9" s="195">
        <f>SUM(O10)</f>
        <v>2687701</v>
      </c>
      <c r="P9" s="196">
        <f>SUM(P10)</f>
        <v>633757</v>
      </c>
      <c r="Q9" s="194">
        <f>Q10</f>
        <v>959811</v>
      </c>
      <c r="R9" s="195">
        <f>SUM(R10)</f>
        <v>741458</v>
      </c>
      <c r="S9" s="196">
        <f>SUM(S10)</f>
        <v>218353</v>
      </c>
      <c r="T9" s="194">
        <f>SUM(T10)</f>
        <v>15844000</v>
      </c>
      <c r="U9" s="195">
        <f t="shared" ref="U9:V9" si="0">SUM(U10)</f>
        <v>12520000</v>
      </c>
      <c r="V9" s="196">
        <f t="shared" si="0"/>
        <v>3324000</v>
      </c>
      <c r="W9" s="197"/>
      <c r="X9" s="197"/>
      <c r="Y9" s="197"/>
      <c r="Z9" s="197"/>
      <c r="AA9" s="197"/>
      <c r="AB9" s="197"/>
      <c r="AC9" s="197"/>
    </row>
    <row r="10" spans="1:29" s="183" customFormat="1" ht="26.25" customHeight="1" x14ac:dyDescent="0.35">
      <c r="A10" s="199" t="s">
        <v>34</v>
      </c>
      <c r="B10" s="200"/>
      <c r="C10" s="201">
        <v>0</v>
      </c>
      <c r="D10" s="202">
        <f>'Cronog Detalhado'!I7</f>
        <v>0</v>
      </c>
      <c r="E10" s="200">
        <f t="shared" ref="E10:E23" si="1">F10+G10</f>
        <v>3179737</v>
      </c>
      <c r="F10" s="201">
        <f>'Cronog Detalhado'!K7</f>
        <v>2371165</v>
      </c>
      <c r="G10" s="202">
        <f>'Cronog Detalhado'!M7</f>
        <v>808572</v>
      </c>
      <c r="H10" s="200">
        <f t="shared" ref="H10" si="2">I10+J10</f>
        <v>4810841</v>
      </c>
      <c r="I10" s="201">
        <f>'Cronog Detalhado'!O7</f>
        <v>3871059</v>
      </c>
      <c r="J10" s="202">
        <f>'Cronog Detalhado'!Q7</f>
        <v>939782</v>
      </c>
      <c r="K10" s="200">
        <f t="shared" ref="K10" si="3">L10+M10</f>
        <v>3572153</v>
      </c>
      <c r="L10" s="201">
        <f>'Cronog Detalhado'!S7</f>
        <v>2848617</v>
      </c>
      <c r="M10" s="202">
        <f>'Cronog Detalhado'!U7</f>
        <v>723536</v>
      </c>
      <c r="N10" s="200">
        <f t="shared" ref="N10" si="4">O10+P10</f>
        <v>3321458</v>
      </c>
      <c r="O10" s="201">
        <f>'Cronog Detalhado'!W7</f>
        <v>2687701</v>
      </c>
      <c r="P10" s="202">
        <f>'Cronog Detalhado'!Y7</f>
        <v>633757</v>
      </c>
      <c r="Q10" s="200">
        <f t="shared" ref="Q10" si="5">R10+S10</f>
        <v>959811</v>
      </c>
      <c r="R10" s="201">
        <f>'Cronog Detalhado'!AA7</f>
        <v>741458</v>
      </c>
      <c r="S10" s="202">
        <f>'Cronog Detalhado'!AC7</f>
        <v>218353</v>
      </c>
      <c r="T10" s="200">
        <f t="shared" ref="T10:V10" si="6">B10+E10+H10+K10+N10+Q10</f>
        <v>15844000</v>
      </c>
      <c r="U10" s="201">
        <f t="shared" si="6"/>
        <v>12520000</v>
      </c>
      <c r="V10" s="202">
        <f t="shared" si="6"/>
        <v>3324000</v>
      </c>
    </row>
    <row r="11" spans="1:29" s="204" customFormat="1" ht="26.25" customHeight="1" x14ac:dyDescent="0.35">
      <c r="A11" s="203" t="s">
        <v>40</v>
      </c>
      <c r="B11" s="194">
        <f t="shared" ref="B11:V11" si="7">B12+B17</f>
        <v>28938940</v>
      </c>
      <c r="C11" s="195">
        <f t="shared" si="7"/>
        <v>0</v>
      </c>
      <c r="D11" s="196">
        <f t="shared" si="7"/>
        <v>28938940</v>
      </c>
      <c r="E11" s="194">
        <f t="shared" si="7"/>
        <v>128476614</v>
      </c>
      <c r="F11" s="195">
        <f t="shared" si="7"/>
        <v>47453358</v>
      </c>
      <c r="G11" s="196">
        <f t="shared" si="7"/>
        <v>81023256</v>
      </c>
      <c r="H11" s="194">
        <f t="shared" si="7"/>
        <v>136213061</v>
      </c>
      <c r="I11" s="195">
        <f t="shared" si="7"/>
        <v>80713716</v>
      </c>
      <c r="J11" s="196">
        <f t="shared" si="7"/>
        <v>55499345</v>
      </c>
      <c r="K11" s="194">
        <f t="shared" si="7"/>
        <v>52122076</v>
      </c>
      <c r="L11" s="195">
        <f t="shared" si="7"/>
        <v>41910253</v>
      </c>
      <c r="M11" s="196">
        <f t="shared" si="7"/>
        <v>10211823</v>
      </c>
      <c r="N11" s="194">
        <f t="shared" si="7"/>
        <v>26389220</v>
      </c>
      <c r="O11" s="195">
        <f t="shared" si="7"/>
        <v>23420217</v>
      </c>
      <c r="P11" s="196">
        <f t="shared" si="7"/>
        <v>2969003</v>
      </c>
      <c r="Q11" s="194">
        <f t="shared" si="7"/>
        <v>15994089</v>
      </c>
      <c r="R11" s="195">
        <f t="shared" si="7"/>
        <v>14210456</v>
      </c>
      <c r="S11" s="196">
        <f t="shared" si="7"/>
        <v>1783633</v>
      </c>
      <c r="T11" s="194">
        <f t="shared" si="7"/>
        <v>388134000</v>
      </c>
      <c r="U11" s="195">
        <f t="shared" si="7"/>
        <v>207708000</v>
      </c>
      <c r="V11" s="196">
        <f t="shared" si="7"/>
        <v>180426000</v>
      </c>
      <c r="W11" s="183"/>
      <c r="X11" s="183"/>
      <c r="Y11" s="183"/>
      <c r="Z11" s="183"/>
      <c r="AA11" s="183"/>
      <c r="AB11" s="183"/>
      <c r="AC11" s="183"/>
    </row>
    <row r="12" spans="1:29" s="183" customFormat="1" ht="26.25" customHeight="1" x14ac:dyDescent="0.35">
      <c r="A12" s="199" t="s">
        <v>98</v>
      </c>
      <c r="B12" s="200">
        <f t="shared" ref="B12:V12" si="8">SUM(B13:B16)</f>
        <v>28584809</v>
      </c>
      <c r="C12" s="201">
        <f t="shared" si="8"/>
        <v>0</v>
      </c>
      <c r="D12" s="202">
        <f t="shared" si="8"/>
        <v>28584809</v>
      </c>
      <c r="E12" s="200">
        <f t="shared" si="8"/>
        <v>125047548</v>
      </c>
      <c r="F12" s="201">
        <f t="shared" si="8"/>
        <v>44660518</v>
      </c>
      <c r="G12" s="202">
        <f t="shared" si="8"/>
        <v>80387030</v>
      </c>
      <c r="H12" s="200">
        <f t="shared" si="8"/>
        <v>132487785</v>
      </c>
      <c r="I12" s="201">
        <f t="shared" si="8"/>
        <v>77624666</v>
      </c>
      <c r="J12" s="202">
        <f t="shared" si="8"/>
        <v>54863119</v>
      </c>
      <c r="K12" s="200">
        <f t="shared" si="8"/>
        <v>48386593</v>
      </c>
      <c r="L12" s="201">
        <f t="shared" si="8"/>
        <v>38812739</v>
      </c>
      <c r="M12" s="202">
        <f t="shared" si="8"/>
        <v>9573854</v>
      </c>
      <c r="N12" s="200">
        <f t="shared" si="8"/>
        <v>22663944</v>
      </c>
      <c r="O12" s="201">
        <f t="shared" si="8"/>
        <v>20331167</v>
      </c>
      <c r="P12" s="202">
        <f t="shared" si="8"/>
        <v>2332777</v>
      </c>
      <c r="Q12" s="200">
        <f t="shared" si="8"/>
        <v>13552321</v>
      </c>
      <c r="R12" s="201">
        <f t="shared" si="8"/>
        <v>12153910</v>
      </c>
      <c r="S12" s="202">
        <f t="shared" si="8"/>
        <v>1398411</v>
      </c>
      <c r="T12" s="200">
        <f t="shared" si="8"/>
        <v>370723000</v>
      </c>
      <c r="U12" s="201">
        <f t="shared" si="8"/>
        <v>193583000</v>
      </c>
      <c r="V12" s="202">
        <f t="shared" si="8"/>
        <v>177140000</v>
      </c>
    </row>
    <row r="13" spans="1:29" s="197" customFormat="1" ht="26.25" customHeight="1" x14ac:dyDescent="0.35">
      <c r="A13" s="199" t="s">
        <v>41</v>
      </c>
      <c r="B13" s="200">
        <f t="shared" ref="B13:B23" si="9">C13+D13</f>
        <v>27148554</v>
      </c>
      <c r="C13" s="201">
        <v>0</v>
      </c>
      <c r="D13" s="202">
        <f>'Cronog Detalhado'!I15</f>
        <v>27148554</v>
      </c>
      <c r="E13" s="200">
        <f t="shared" si="1"/>
        <v>56812931</v>
      </c>
      <c r="F13" s="201">
        <f>'Cronog Detalhado'!K15</f>
        <v>5557344</v>
      </c>
      <c r="G13" s="202">
        <f>'Cronog Detalhado'!M15</f>
        <v>51255587</v>
      </c>
      <c r="H13" s="200">
        <f t="shared" ref="H13:H17" si="10">I13+J13</f>
        <v>60236237</v>
      </c>
      <c r="I13" s="201">
        <f>'Cronog Detalhado'!O15</f>
        <v>29520955</v>
      </c>
      <c r="J13" s="202">
        <f>'Cronog Detalhado'!Q15</f>
        <v>30715282</v>
      </c>
      <c r="K13" s="200">
        <f t="shared" ref="K13:K17" si="11">L13+M13</f>
        <v>23003816</v>
      </c>
      <c r="L13" s="201">
        <f>'Cronog Detalhado'!S15</f>
        <v>20664647</v>
      </c>
      <c r="M13" s="202">
        <f>'Cronog Detalhado'!U15</f>
        <v>2339169</v>
      </c>
      <c r="N13" s="200">
        <f t="shared" ref="N13:N17" si="12">O13+P13</f>
        <v>22663944</v>
      </c>
      <c r="O13" s="201">
        <f>'Cronog Detalhado'!W15</f>
        <v>20331167</v>
      </c>
      <c r="P13" s="202">
        <f>'Cronog Detalhado'!Y15</f>
        <v>2332777</v>
      </c>
      <c r="Q13" s="200">
        <f>R13+S13</f>
        <v>13552321</v>
      </c>
      <c r="R13" s="201">
        <f>'Cronog Detalhado'!AA15</f>
        <v>12153910</v>
      </c>
      <c r="S13" s="202">
        <f>'Cronog Detalhado'!AC15</f>
        <v>1398411</v>
      </c>
      <c r="T13" s="200">
        <f>B13+E13+H13+K13+N13+Q13</f>
        <v>203417803</v>
      </c>
      <c r="U13" s="201">
        <f>C13+F13+I13+L13+O13+R13</f>
        <v>88228023</v>
      </c>
      <c r="V13" s="202">
        <f>D13+G13+J13+M13+P13+S13</f>
        <v>115189780</v>
      </c>
    </row>
    <row r="14" spans="1:29" s="183" customFormat="1" ht="26.25" customHeight="1" x14ac:dyDescent="0.35">
      <c r="A14" s="199" t="s">
        <v>53</v>
      </c>
      <c r="B14" s="200">
        <f t="shared" si="9"/>
        <v>1436255</v>
      </c>
      <c r="C14" s="201">
        <v>0</v>
      </c>
      <c r="D14" s="202">
        <f>'Cronog Detalhado'!I27</f>
        <v>1436255</v>
      </c>
      <c r="E14" s="200">
        <f t="shared" si="1"/>
        <v>52404243</v>
      </c>
      <c r="F14" s="201">
        <f>'Cronog Detalhado'!K27</f>
        <v>31104228</v>
      </c>
      <c r="G14" s="202">
        <f>'Cronog Detalhado'!M27</f>
        <v>21300015</v>
      </c>
      <c r="H14" s="200">
        <f t="shared" si="10"/>
        <v>52821160</v>
      </c>
      <c r="I14" s="201">
        <f>'Cronog Detalhado'!O27</f>
        <v>36943822</v>
      </c>
      <c r="J14" s="202">
        <f>'Cronog Detalhado'!Q27</f>
        <v>15877338</v>
      </c>
      <c r="K14" s="200">
        <f t="shared" si="11"/>
        <v>14864028</v>
      </c>
      <c r="L14" s="201">
        <f>'Cronog Detalhado'!S27</f>
        <v>10268405</v>
      </c>
      <c r="M14" s="202">
        <f>'Cronog Detalhado'!U27</f>
        <v>4595623</v>
      </c>
      <c r="N14" s="200">
        <f t="shared" si="12"/>
        <v>0</v>
      </c>
      <c r="O14" s="201">
        <f>'Cronog Detalhado'!W27</f>
        <v>0</v>
      </c>
      <c r="P14" s="202">
        <f>'Cronog Detalhado'!Y27</f>
        <v>0</v>
      </c>
      <c r="Q14" s="200">
        <f t="shared" ref="Q14:Q17" si="13">R14+S14</f>
        <v>0</v>
      </c>
      <c r="R14" s="201">
        <f>'Cronog Detalhado'!AA27</f>
        <v>0</v>
      </c>
      <c r="S14" s="202">
        <f>'Cronog Detalhado'!AC27</f>
        <v>0</v>
      </c>
      <c r="T14" s="200">
        <f t="shared" ref="T14:V17" si="14">B14+E14+H14+K14+N14+Q14</f>
        <v>121525686</v>
      </c>
      <c r="U14" s="201">
        <f t="shared" si="14"/>
        <v>78316455</v>
      </c>
      <c r="V14" s="202">
        <f t="shared" si="14"/>
        <v>43209231</v>
      </c>
    </row>
    <row r="15" spans="1:29" s="183" customFormat="1" ht="26.25" customHeight="1" x14ac:dyDescent="0.35">
      <c r="A15" s="199" t="s">
        <v>60</v>
      </c>
      <c r="B15" s="200">
        <f t="shared" si="9"/>
        <v>0</v>
      </c>
      <c r="C15" s="201">
        <v>0</v>
      </c>
      <c r="D15" s="202">
        <f>'Cronog Detalhado'!I34</f>
        <v>0</v>
      </c>
      <c r="E15" s="200">
        <f t="shared" si="1"/>
        <v>15830374</v>
      </c>
      <c r="F15" s="201">
        <f>'Cronog Detalhado'!K34</f>
        <v>7998946</v>
      </c>
      <c r="G15" s="202">
        <f>'Cronog Detalhado'!M34</f>
        <v>7831428</v>
      </c>
      <c r="H15" s="200">
        <f t="shared" si="10"/>
        <v>19430388</v>
      </c>
      <c r="I15" s="201">
        <f>'Cronog Detalhado'!O34</f>
        <v>11159889</v>
      </c>
      <c r="J15" s="202">
        <f>'Cronog Detalhado'!Q34</f>
        <v>8270499</v>
      </c>
      <c r="K15" s="200">
        <f t="shared" si="11"/>
        <v>5468749</v>
      </c>
      <c r="L15" s="201">
        <f>'Cronog Detalhado'!S34</f>
        <v>4429687</v>
      </c>
      <c r="M15" s="202">
        <f>'Cronog Detalhado'!U34</f>
        <v>1039062</v>
      </c>
      <c r="N15" s="200">
        <f t="shared" si="12"/>
        <v>0</v>
      </c>
      <c r="O15" s="201">
        <f>'Cronog Detalhado'!W34</f>
        <v>0</v>
      </c>
      <c r="P15" s="202">
        <f>'Cronog Detalhado'!Y34</f>
        <v>0</v>
      </c>
      <c r="Q15" s="200">
        <f t="shared" si="13"/>
        <v>0</v>
      </c>
      <c r="R15" s="201">
        <f>'Cronog Detalhado'!AA34</f>
        <v>0</v>
      </c>
      <c r="S15" s="202">
        <f>'Cronog Detalhado'!AC34</f>
        <v>0</v>
      </c>
      <c r="T15" s="200">
        <f t="shared" si="14"/>
        <v>40729511</v>
      </c>
      <c r="U15" s="201">
        <f t="shared" si="14"/>
        <v>23588522</v>
      </c>
      <c r="V15" s="202">
        <f t="shared" si="14"/>
        <v>17140989</v>
      </c>
    </row>
    <row r="16" spans="1:29" s="183" customFormat="1" ht="26.25" customHeight="1" x14ac:dyDescent="0.35">
      <c r="A16" s="199" t="s">
        <v>99</v>
      </c>
      <c r="B16" s="200">
        <f t="shared" si="9"/>
        <v>0</v>
      </c>
      <c r="C16" s="201">
        <v>0</v>
      </c>
      <c r="D16" s="202">
        <f>'Cronog Detalhado'!I40</f>
        <v>0</v>
      </c>
      <c r="E16" s="200">
        <f t="shared" si="1"/>
        <v>0</v>
      </c>
      <c r="F16" s="201">
        <f>'Cronog Detalhado'!K40</f>
        <v>0</v>
      </c>
      <c r="G16" s="202">
        <f>'Cronog Detalhado'!M40</f>
        <v>0</v>
      </c>
      <c r="H16" s="200">
        <f t="shared" si="10"/>
        <v>0</v>
      </c>
      <c r="I16" s="201">
        <f>'Cronog Detalhado'!O40</f>
        <v>0</v>
      </c>
      <c r="J16" s="202">
        <f>'Cronog Detalhado'!Q40</f>
        <v>0</v>
      </c>
      <c r="K16" s="200">
        <f t="shared" si="11"/>
        <v>5050000</v>
      </c>
      <c r="L16" s="201">
        <f>'Cronog Detalhado'!S40</f>
        <v>3450000</v>
      </c>
      <c r="M16" s="202">
        <f>'Cronog Detalhado'!U40</f>
        <v>1600000</v>
      </c>
      <c r="N16" s="200">
        <f t="shared" si="12"/>
        <v>0</v>
      </c>
      <c r="O16" s="201">
        <f>'Cronog Detalhado'!W40</f>
        <v>0</v>
      </c>
      <c r="P16" s="202">
        <f>'Cronog Detalhado'!Y40</f>
        <v>0</v>
      </c>
      <c r="Q16" s="200">
        <f t="shared" si="13"/>
        <v>0</v>
      </c>
      <c r="R16" s="201">
        <f>'Cronog Detalhado'!AA40</f>
        <v>0</v>
      </c>
      <c r="S16" s="202">
        <f>'Cronog Detalhado'!AC40</f>
        <v>0</v>
      </c>
      <c r="T16" s="200">
        <f t="shared" si="14"/>
        <v>5050000</v>
      </c>
      <c r="U16" s="201">
        <f t="shared" si="14"/>
        <v>3450000</v>
      </c>
      <c r="V16" s="202">
        <f t="shared" si="14"/>
        <v>1600000</v>
      </c>
    </row>
    <row r="17" spans="1:29" s="183" customFormat="1" ht="26.25" customHeight="1" x14ac:dyDescent="0.35">
      <c r="A17" s="199" t="s">
        <v>97</v>
      </c>
      <c r="B17" s="200">
        <f t="shared" si="9"/>
        <v>354131</v>
      </c>
      <c r="C17" s="201">
        <v>0</v>
      </c>
      <c r="D17" s="202">
        <f>'Cronog Detalhado'!I43</f>
        <v>354131</v>
      </c>
      <c r="E17" s="200">
        <f t="shared" si="1"/>
        <v>3429066</v>
      </c>
      <c r="F17" s="201">
        <f>'Cronog Detalhado'!K43</f>
        <v>2792840</v>
      </c>
      <c r="G17" s="202">
        <f>'Cronog Detalhado'!M43</f>
        <v>636226</v>
      </c>
      <c r="H17" s="200">
        <f t="shared" si="10"/>
        <v>3725276</v>
      </c>
      <c r="I17" s="201">
        <f>'Cronog Detalhado'!O43</f>
        <v>3089050</v>
      </c>
      <c r="J17" s="202">
        <f>'Cronog Detalhado'!Q43</f>
        <v>636226</v>
      </c>
      <c r="K17" s="200">
        <f t="shared" si="11"/>
        <v>3735483</v>
      </c>
      <c r="L17" s="201">
        <f>'Cronog Detalhado'!S43</f>
        <v>3097514</v>
      </c>
      <c r="M17" s="202">
        <f>'Cronog Detalhado'!U43</f>
        <v>637969</v>
      </c>
      <c r="N17" s="200">
        <f t="shared" si="12"/>
        <v>3725276</v>
      </c>
      <c r="O17" s="201">
        <f>'Cronog Detalhado'!W43</f>
        <v>3089050</v>
      </c>
      <c r="P17" s="202">
        <f>'Cronog Detalhado'!Y43</f>
        <v>636226</v>
      </c>
      <c r="Q17" s="200">
        <f t="shared" si="13"/>
        <v>2441768</v>
      </c>
      <c r="R17" s="201">
        <f>'Cronog Detalhado'!AA43</f>
        <v>2056546</v>
      </c>
      <c r="S17" s="202">
        <f>'Cronog Detalhado'!AC43</f>
        <v>385222</v>
      </c>
      <c r="T17" s="200">
        <f t="shared" si="14"/>
        <v>17411000</v>
      </c>
      <c r="U17" s="201">
        <f t="shared" si="14"/>
        <v>14125000</v>
      </c>
      <c r="V17" s="202">
        <f t="shared" si="14"/>
        <v>3286000</v>
      </c>
    </row>
    <row r="18" spans="1:29" s="198" customFormat="1" ht="26.25" customHeight="1" x14ac:dyDescent="0.35">
      <c r="A18" s="203" t="s">
        <v>66</v>
      </c>
      <c r="B18" s="194">
        <f t="shared" si="9"/>
        <v>0</v>
      </c>
      <c r="C18" s="195">
        <f t="shared" ref="C18:V18" si="15">SUM(C19:C20)</f>
        <v>0</v>
      </c>
      <c r="D18" s="196">
        <f t="shared" si="15"/>
        <v>0</v>
      </c>
      <c r="E18" s="194">
        <f t="shared" si="15"/>
        <v>2336942</v>
      </c>
      <c r="F18" s="195">
        <f t="shared" si="15"/>
        <v>1622206</v>
      </c>
      <c r="G18" s="196">
        <f t="shared" si="15"/>
        <v>714736</v>
      </c>
      <c r="H18" s="194">
        <f t="shared" si="15"/>
        <v>5116058</v>
      </c>
      <c r="I18" s="195">
        <f t="shared" si="15"/>
        <v>3509794</v>
      </c>
      <c r="J18" s="196">
        <f t="shared" si="15"/>
        <v>1606264</v>
      </c>
      <c r="K18" s="194">
        <f t="shared" si="15"/>
        <v>0</v>
      </c>
      <c r="L18" s="195">
        <f t="shared" si="15"/>
        <v>0</v>
      </c>
      <c r="M18" s="196">
        <f t="shared" si="15"/>
        <v>0</v>
      </c>
      <c r="N18" s="194">
        <f t="shared" si="15"/>
        <v>2954673</v>
      </c>
      <c r="O18" s="195">
        <f t="shared" si="15"/>
        <v>1961346</v>
      </c>
      <c r="P18" s="196">
        <f t="shared" si="15"/>
        <v>993327</v>
      </c>
      <c r="Q18" s="194">
        <f t="shared" si="15"/>
        <v>1715327</v>
      </c>
      <c r="R18" s="195">
        <f t="shared" si="15"/>
        <v>1138654</v>
      </c>
      <c r="S18" s="196">
        <f t="shared" si="15"/>
        <v>576673</v>
      </c>
      <c r="T18" s="194">
        <f t="shared" si="15"/>
        <v>12123000</v>
      </c>
      <c r="U18" s="195">
        <f t="shared" si="15"/>
        <v>8232000</v>
      </c>
      <c r="V18" s="196">
        <f t="shared" si="15"/>
        <v>3891000</v>
      </c>
      <c r="W18" s="197"/>
      <c r="X18" s="197"/>
      <c r="Y18" s="197"/>
      <c r="Z18" s="197"/>
      <c r="AA18" s="197"/>
      <c r="AB18" s="197"/>
      <c r="AC18" s="197"/>
    </row>
    <row r="19" spans="1:29" s="183" customFormat="1" ht="26.25" customHeight="1" x14ac:dyDescent="0.35">
      <c r="A19" s="205" t="s">
        <v>67</v>
      </c>
      <c r="B19" s="200">
        <f t="shared" si="9"/>
        <v>0</v>
      </c>
      <c r="C19" s="201">
        <v>0</v>
      </c>
      <c r="D19" s="202">
        <f>'Cronog Detalhado'!I45</f>
        <v>0</v>
      </c>
      <c r="E19" s="200">
        <f t="shared" si="1"/>
        <v>1818442</v>
      </c>
      <c r="F19" s="201">
        <f>'Cronog Detalhado'!K45</f>
        <v>1282206</v>
      </c>
      <c r="G19" s="202">
        <f>'Cronog Detalhado'!M45</f>
        <v>536236</v>
      </c>
      <c r="H19" s="200">
        <f t="shared" ref="H19:H20" si="16">I19+J19</f>
        <v>2889558</v>
      </c>
      <c r="I19" s="201">
        <f>'Cronog Detalhado'!O45</f>
        <v>2049794</v>
      </c>
      <c r="J19" s="202">
        <f>'Cronog Detalhado'!Q45</f>
        <v>839764</v>
      </c>
      <c r="K19" s="200">
        <f t="shared" ref="K19:K20" si="17">L19+M19</f>
        <v>0</v>
      </c>
      <c r="L19" s="201">
        <f>'Cronog Detalhado'!S45</f>
        <v>0</v>
      </c>
      <c r="M19" s="202">
        <f>'Cronog Detalhado'!U45</f>
        <v>0</v>
      </c>
      <c r="N19" s="200">
        <f t="shared" ref="N19:N20" si="18">O19+P19</f>
        <v>2954673</v>
      </c>
      <c r="O19" s="201">
        <f>'Cronog Detalhado'!W45</f>
        <v>1961346</v>
      </c>
      <c r="P19" s="202">
        <f>'Cronog Detalhado'!Y45</f>
        <v>993327</v>
      </c>
      <c r="Q19" s="200">
        <f t="shared" ref="Q19:Q20" si="19">R19+S19</f>
        <v>1715327</v>
      </c>
      <c r="R19" s="201">
        <f>'Cronog Detalhado'!AA45</f>
        <v>1138654</v>
      </c>
      <c r="S19" s="202">
        <f>'Cronog Detalhado'!AC45</f>
        <v>576673</v>
      </c>
      <c r="T19" s="200">
        <f t="shared" ref="T19:V20" si="20">B19+E19+H19+K19+N19+Q19</f>
        <v>9378000</v>
      </c>
      <c r="U19" s="201">
        <f t="shared" si="20"/>
        <v>6432000</v>
      </c>
      <c r="V19" s="202">
        <f t="shared" si="20"/>
        <v>2946000</v>
      </c>
    </row>
    <row r="20" spans="1:29" s="183" customFormat="1" ht="26.25" customHeight="1" x14ac:dyDescent="0.35">
      <c r="A20" s="199" t="s">
        <v>74</v>
      </c>
      <c r="B20" s="200">
        <f t="shared" si="9"/>
        <v>0</v>
      </c>
      <c r="C20" s="201">
        <v>0</v>
      </c>
      <c r="D20" s="202">
        <f>'Cronog Detalhado'!I52</f>
        <v>0</v>
      </c>
      <c r="E20" s="200">
        <f t="shared" si="1"/>
        <v>518500</v>
      </c>
      <c r="F20" s="201">
        <f>'Cronog Detalhado'!K52</f>
        <v>340000</v>
      </c>
      <c r="G20" s="202">
        <f>'Cronog Detalhado'!M52</f>
        <v>178500</v>
      </c>
      <c r="H20" s="200">
        <f t="shared" si="16"/>
        <v>2226500</v>
      </c>
      <c r="I20" s="201">
        <f>'Cronog Detalhado'!O52</f>
        <v>1460000</v>
      </c>
      <c r="J20" s="202">
        <f>'Cronog Detalhado'!Q52</f>
        <v>766500</v>
      </c>
      <c r="K20" s="200">
        <f t="shared" si="17"/>
        <v>0</v>
      </c>
      <c r="L20" s="201">
        <f>'Cronog Detalhado'!S52</f>
        <v>0</v>
      </c>
      <c r="M20" s="202">
        <f>'Cronog Detalhado'!U52</f>
        <v>0</v>
      </c>
      <c r="N20" s="200">
        <f t="shared" si="18"/>
        <v>0</v>
      </c>
      <c r="O20" s="201">
        <f>'Cronog Detalhado'!W52</f>
        <v>0</v>
      </c>
      <c r="P20" s="202">
        <f>'Cronog Detalhado'!Y52</f>
        <v>0</v>
      </c>
      <c r="Q20" s="200">
        <f t="shared" si="19"/>
        <v>0</v>
      </c>
      <c r="R20" s="201">
        <f>'Cronog Detalhado'!AA52</f>
        <v>0</v>
      </c>
      <c r="S20" s="202">
        <f>'Cronog Detalhado'!AC52</f>
        <v>0</v>
      </c>
      <c r="T20" s="200">
        <f t="shared" si="20"/>
        <v>2745000</v>
      </c>
      <c r="U20" s="201">
        <f t="shared" si="20"/>
        <v>1800000</v>
      </c>
      <c r="V20" s="202">
        <f t="shared" si="20"/>
        <v>945000</v>
      </c>
    </row>
    <row r="21" spans="1:29" s="198" customFormat="1" ht="26.25" customHeight="1" x14ac:dyDescent="0.35">
      <c r="A21" s="203" t="s">
        <v>77</v>
      </c>
      <c r="B21" s="194">
        <f t="shared" si="9"/>
        <v>1178870</v>
      </c>
      <c r="C21" s="195">
        <f t="shared" ref="C21:T21" si="21">SUM(C22)</f>
        <v>0</v>
      </c>
      <c r="D21" s="195">
        <f t="shared" si="21"/>
        <v>1178870</v>
      </c>
      <c r="E21" s="194">
        <f t="shared" si="21"/>
        <v>2987072</v>
      </c>
      <c r="F21" s="195">
        <f t="shared" si="21"/>
        <v>0</v>
      </c>
      <c r="G21" s="206">
        <f t="shared" si="21"/>
        <v>2987072</v>
      </c>
      <c r="H21" s="194">
        <f t="shared" si="21"/>
        <v>2987072</v>
      </c>
      <c r="I21" s="195">
        <f t="shared" si="21"/>
        <v>0</v>
      </c>
      <c r="J21" s="206">
        <f t="shared" si="21"/>
        <v>2987072</v>
      </c>
      <c r="K21" s="194">
        <f t="shared" si="21"/>
        <v>2626986</v>
      </c>
      <c r="L21" s="195">
        <f t="shared" si="21"/>
        <v>0</v>
      </c>
      <c r="M21" s="206">
        <f t="shared" si="21"/>
        <v>2626986</v>
      </c>
      <c r="N21" s="194">
        <f t="shared" si="21"/>
        <v>0</v>
      </c>
      <c r="O21" s="195">
        <f t="shared" si="21"/>
        <v>0</v>
      </c>
      <c r="P21" s="206">
        <f t="shared" si="21"/>
        <v>0</v>
      </c>
      <c r="Q21" s="194">
        <f t="shared" si="21"/>
        <v>0</v>
      </c>
      <c r="R21" s="195">
        <f t="shared" si="21"/>
        <v>0</v>
      </c>
      <c r="S21" s="219">
        <f t="shared" si="21"/>
        <v>0</v>
      </c>
      <c r="T21" s="194">
        <f t="shared" si="21"/>
        <v>9780000</v>
      </c>
      <c r="U21" s="195">
        <f t="shared" ref="U21:V21" si="22">SUM(U22)</f>
        <v>0</v>
      </c>
      <c r="V21" s="196">
        <f t="shared" si="22"/>
        <v>9780000</v>
      </c>
      <c r="W21" s="197"/>
      <c r="X21" s="197"/>
      <c r="Y21" s="197"/>
      <c r="Z21" s="197"/>
      <c r="AA21" s="197"/>
      <c r="AB21" s="197"/>
      <c r="AC21" s="197"/>
    </row>
    <row r="22" spans="1:29" s="183" customFormat="1" ht="26.25" customHeight="1" x14ac:dyDescent="0.35">
      <c r="A22" s="199" t="s">
        <v>78</v>
      </c>
      <c r="B22" s="200">
        <f t="shared" si="9"/>
        <v>1178870</v>
      </c>
      <c r="C22" s="201">
        <v>0</v>
      </c>
      <c r="D22" s="202">
        <f>'Cronog Detalhado'!I56</f>
        <v>1178870</v>
      </c>
      <c r="E22" s="200">
        <f t="shared" si="1"/>
        <v>2987072</v>
      </c>
      <c r="F22" s="201">
        <f>'Cronog Detalhado'!K56</f>
        <v>0</v>
      </c>
      <c r="G22" s="202">
        <f>'Cronog Detalhado'!M56</f>
        <v>2987072</v>
      </c>
      <c r="H22" s="200">
        <f t="shared" ref="H22:H23" si="23">I22+J22</f>
        <v>2987072</v>
      </c>
      <c r="I22" s="201">
        <f>'Cronog Detalhado'!O56</f>
        <v>0</v>
      </c>
      <c r="J22" s="202">
        <f>'Cronog Detalhado'!Q56</f>
        <v>2987072</v>
      </c>
      <c r="K22" s="200">
        <f t="shared" ref="K22:K23" si="24">L22+M22</f>
        <v>2626986</v>
      </c>
      <c r="L22" s="201">
        <f>'Cronog Detalhado'!S56</f>
        <v>0</v>
      </c>
      <c r="M22" s="202">
        <f>'Cronog Detalhado'!U56</f>
        <v>2626986</v>
      </c>
      <c r="N22" s="200">
        <f t="shared" ref="N22:N23" si="25">O22+P22</f>
        <v>0</v>
      </c>
      <c r="O22" s="201">
        <f>'Cronog Detalhado'!W56</f>
        <v>0</v>
      </c>
      <c r="P22" s="202">
        <f>'Cronog Detalhado'!Y56</f>
        <v>0</v>
      </c>
      <c r="Q22" s="200">
        <f t="shared" ref="Q22:Q23" si="26">R22+S22</f>
        <v>0</v>
      </c>
      <c r="R22" s="201">
        <f>'Cronog Detalhado'!AA56</f>
        <v>0</v>
      </c>
      <c r="S22" s="202">
        <f>'Cronog Detalhado'!AC56</f>
        <v>0</v>
      </c>
      <c r="T22" s="200">
        <f t="shared" ref="T22:V23" si="27">B22+E22+H22+K22+N22+Q22</f>
        <v>9780000</v>
      </c>
      <c r="U22" s="201">
        <f t="shared" si="27"/>
        <v>0</v>
      </c>
      <c r="V22" s="202">
        <f t="shared" si="27"/>
        <v>9780000</v>
      </c>
    </row>
    <row r="23" spans="1:29" s="204" customFormat="1" ht="26.25" customHeight="1" x14ac:dyDescent="0.35">
      <c r="A23" s="203" t="s">
        <v>79</v>
      </c>
      <c r="B23" s="194">
        <f t="shared" si="9"/>
        <v>113854</v>
      </c>
      <c r="C23" s="195">
        <v>0</v>
      </c>
      <c r="D23" s="196">
        <f>'Cronog Detalhado'!I57</f>
        <v>113854</v>
      </c>
      <c r="E23" s="194">
        <f t="shared" si="1"/>
        <v>1725573</v>
      </c>
      <c r="F23" s="195">
        <f>'Cronog Detalhado'!K57</f>
        <v>1220930</v>
      </c>
      <c r="G23" s="196">
        <f>'Cronog Detalhado'!M57</f>
        <v>504643</v>
      </c>
      <c r="H23" s="194">
        <f t="shared" si="23"/>
        <v>1873797</v>
      </c>
      <c r="I23" s="195">
        <f>'Cronog Detalhado'!O57</f>
        <v>1369154</v>
      </c>
      <c r="J23" s="196">
        <f>'Cronog Detalhado'!Q57</f>
        <v>504643</v>
      </c>
      <c r="K23" s="194">
        <f t="shared" si="24"/>
        <v>1878931</v>
      </c>
      <c r="L23" s="195">
        <f>'Cronog Detalhado'!S57</f>
        <v>1372906</v>
      </c>
      <c r="M23" s="196">
        <f>'Cronog Detalhado'!U57</f>
        <v>506025</v>
      </c>
      <c r="N23" s="194">
        <f t="shared" si="25"/>
        <v>1873797</v>
      </c>
      <c r="O23" s="195">
        <f>'Cronog Detalhado'!W57</f>
        <v>1369154</v>
      </c>
      <c r="P23" s="196">
        <f>'Cronog Detalhado'!Y57</f>
        <v>504643</v>
      </c>
      <c r="Q23" s="194">
        <f t="shared" si="26"/>
        <v>1653048</v>
      </c>
      <c r="R23" s="195">
        <f>'Cronog Detalhado'!AA57</f>
        <v>1207856</v>
      </c>
      <c r="S23" s="196">
        <f>'Cronog Detalhado'!AC57</f>
        <v>445192</v>
      </c>
      <c r="T23" s="194">
        <f t="shared" si="27"/>
        <v>9119000</v>
      </c>
      <c r="U23" s="195">
        <f t="shared" si="27"/>
        <v>6540000</v>
      </c>
      <c r="V23" s="196">
        <f t="shared" si="27"/>
        <v>2579000</v>
      </c>
      <c r="W23" s="183"/>
      <c r="X23" s="183"/>
      <c r="Y23" s="183"/>
      <c r="Z23" s="183"/>
      <c r="AA23" s="183"/>
      <c r="AB23" s="183"/>
      <c r="AC23" s="183"/>
    </row>
    <row r="24" spans="1:29" s="211" customFormat="1" ht="26.25" customHeight="1" thickBot="1" x14ac:dyDescent="0.4">
      <c r="A24" s="207" t="s">
        <v>83</v>
      </c>
      <c r="B24" s="208">
        <f t="shared" ref="B24:S24" si="28">B21+B18+B11+B9+B23</f>
        <v>30231664</v>
      </c>
      <c r="C24" s="209">
        <f t="shared" si="28"/>
        <v>0</v>
      </c>
      <c r="D24" s="210">
        <f t="shared" si="28"/>
        <v>30231664</v>
      </c>
      <c r="E24" s="208">
        <f t="shared" si="28"/>
        <v>138705938</v>
      </c>
      <c r="F24" s="209">
        <f t="shared" si="28"/>
        <v>52667659</v>
      </c>
      <c r="G24" s="210">
        <f t="shared" si="28"/>
        <v>86038279</v>
      </c>
      <c r="H24" s="208">
        <f t="shared" si="28"/>
        <v>151000829</v>
      </c>
      <c r="I24" s="209">
        <f t="shared" si="28"/>
        <v>89463723</v>
      </c>
      <c r="J24" s="210">
        <f t="shared" si="28"/>
        <v>61537106</v>
      </c>
      <c r="K24" s="208">
        <f t="shared" si="28"/>
        <v>60200146</v>
      </c>
      <c r="L24" s="209">
        <f t="shared" si="28"/>
        <v>46131776</v>
      </c>
      <c r="M24" s="210">
        <f t="shared" si="28"/>
        <v>14068370</v>
      </c>
      <c r="N24" s="208">
        <f t="shared" si="28"/>
        <v>34539148</v>
      </c>
      <c r="O24" s="209">
        <f t="shared" si="28"/>
        <v>29438418</v>
      </c>
      <c r="P24" s="210">
        <f t="shared" si="28"/>
        <v>5100730</v>
      </c>
      <c r="Q24" s="208">
        <f t="shared" si="28"/>
        <v>20322275</v>
      </c>
      <c r="R24" s="209">
        <f t="shared" si="28"/>
        <v>17298424</v>
      </c>
      <c r="S24" s="210">
        <f t="shared" si="28"/>
        <v>3023851</v>
      </c>
      <c r="T24" s="208">
        <f>T9+T11+T18+T21+T23</f>
        <v>435000000</v>
      </c>
      <c r="U24" s="209">
        <f t="shared" ref="U24:V24" si="29">U9+U11+U18+U21+U23</f>
        <v>235000000</v>
      </c>
      <c r="V24" s="209">
        <f t="shared" si="29"/>
        <v>200000000</v>
      </c>
      <c r="W24" s="197"/>
      <c r="X24" s="197"/>
      <c r="Y24" s="197"/>
      <c r="Z24" s="197"/>
      <c r="AA24" s="197"/>
      <c r="AB24" s="197"/>
      <c r="AC24" s="197"/>
    </row>
    <row r="25" spans="1:29" ht="26.25" customHeight="1" x14ac:dyDescent="0.3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82"/>
      <c r="S25" s="182"/>
      <c r="T25" s="178"/>
      <c r="W25" s="183"/>
      <c r="X25" s="183"/>
      <c r="Y25" s="183"/>
      <c r="Z25" s="183"/>
      <c r="AA25" s="183"/>
      <c r="AB25" s="183"/>
      <c r="AC25" s="183"/>
    </row>
    <row r="26" spans="1:29" s="211" customFormat="1" ht="26.25" customHeight="1" x14ac:dyDescent="0.35">
      <c r="A26" s="212"/>
      <c r="B26" s="272" t="s">
        <v>85</v>
      </c>
      <c r="C26" s="273"/>
      <c r="D26" s="274"/>
      <c r="E26" s="272" t="s">
        <v>12</v>
      </c>
      <c r="F26" s="273"/>
      <c r="G26" s="274"/>
      <c r="H26" s="272" t="s">
        <v>13</v>
      </c>
      <c r="I26" s="273"/>
      <c r="J26" s="274"/>
      <c r="K26" s="272" t="s">
        <v>14</v>
      </c>
      <c r="L26" s="273"/>
      <c r="M26" s="274"/>
      <c r="N26" s="272" t="s">
        <v>15</v>
      </c>
      <c r="O26" s="273"/>
      <c r="P26" s="274"/>
      <c r="Q26" s="272" t="s">
        <v>16</v>
      </c>
      <c r="R26" s="273"/>
      <c r="S26" s="274"/>
      <c r="T26" s="213" t="s">
        <v>6</v>
      </c>
      <c r="U26" s="187"/>
      <c r="V26" s="187"/>
      <c r="W26" s="197"/>
      <c r="X26" s="197"/>
      <c r="Y26" s="197"/>
      <c r="Z26" s="197"/>
      <c r="AA26" s="197"/>
      <c r="AB26" s="197"/>
      <c r="AC26" s="197"/>
    </row>
    <row r="27" spans="1:29" ht="26.25" customHeight="1" x14ac:dyDescent="0.35">
      <c r="A27" s="214" t="s">
        <v>7</v>
      </c>
      <c r="B27" s="275">
        <f>C24</f>
        <v>0</v>
      </c>
      <c r="C27" s="276"/>
      <c r="D27" s="277"/>
      <c r="E27" s="275">
        <f>F24</f>
        <v>52667659</v>
      </c>
      <c r="F27" s="276"/>
      <c r="G27" s="277"/>
      <c r="H27" s="275">
        <f>I24</f>
        <v>89463723</v>
      </c>
      <c r="I27" s="276"/>
      <c r="J27" s="277"/>
      <c r="K27" s="275">
        <f>L24</f>
        <v>46131776</v>
      </c>
      <c r="L27" s="276"/>
      <c r="M27" s="277"/>
      <c r="N27" s="275">
        <f>O24</f>
        <v>29438418</v>
      </c>
      <c r="O27" s="276"/>
      <c r="P27" s="277"/>
      <c r="Q27" s="275">
        <f>R24</f>
        <v>17298424</v>
      </c>
      <c r="R27" s="276"/>
      <c r="S27" s="277"/>
      <c r="T27" s="215">
        <f>SUM(B27:Q27)</f>
        <v>235000000</v>
      </c>
      <c r="W27" s="183"/>
      <c r="X27" s="183"/>
      <c r="Y27" s="183"/>
      <c r="Z27" s="183"/>
      <c r="AA27" s="183"/>
      <c r="AB27" s="183"/>
      <c r="AC27" s="183"/>
    </row>
    <row r="28" spans="1:29" ht="26.25" customHeight="1" x14ac:dyDescent="0.35">
      <c r="A28" s="214" t="s">
        <v>88</v>
      </c>
      <c r="B28" s="275">
        <f>D24</f>
        <v>30231664</v>
      </c>
      <c r="C28" s="276"/>
      <c r="D28" s="277"/>
      <c r="E28" s="275">
        <f>G24</f>
        <v>86038279</v>
      </c>
      <c r="F28" s="276"/>
      <c r="G28" s="277"/>
      <c r="H28" s="275">
        <f>J24</f>
        <v>61537106</v>
      </c>
      <c r="I28" s="276"/>
      <c r="J28" s="277"/>
      <c r="K28" s="275">
        <f>M24</f>
        <v>14068370</v>
      </c>
      <c r="L28" s="276"/>
      <c r="M28" s="277"/>
      <c r="N28" s="275">
        <f>P24</f>
        <v>5100730</v>
      </c>
      <c r="O28" s="276"/>
      <c r="P28" s="277"/>
      <c r="Q28" s="275">
        <f>S24</f>
        <v>3023851</v>
      </c>
      <c r="R28" s="276"/>
      <c r="S28" s="277"/>
      <c r="T28" s="215">
        <f>SUM(B28:Q28)</f>
        <v>200000000</v>
      </c>
      <c r="W28" s="183"/>
      <c r="X28" s="183"/>
      <c r="Y28" s="183"/>
      <c r="Z28" s="183"/>
      <c r="AA28" s="183"/>
      <c r="AB28" s="183"/>
      <c r="AC28" s="183"/>
    </row>
    <row r="29" spans="1:29" ht="26.25" customHeight="1" x14ac:dyDescent="0.35">
      <c r="A29" s="214" t="s">
        <v>10</v>
      </c>
      <c r="B29" s="275">
        <f>B27+B28</f>
        <v>30231664</v>
      </c>
      <c r="C29" s="276"/>
      <c r="D29" s="277"/>
      <c r="E29" s="275">
        <f t="shared" ref="E29" si="30">E27+E28</f>
        <v>138705938</v>
      </c>
      <c r="F29" s="276"/>
      <c r="G29" s="277"/>
      <c r="H29" s="275">
        <f t="shared" ref="H29" si="31">H27+H28</f>
        <v>151000829</v>
      </c>
      <c r="I29" s="276"/>
      <c r="J29" s="277"/>
      <c r="K29" s="275">
        <f t="shared" ref="K29" si="32">K27+K28</f>
        <v>60200146</v>
      </c>
      <c r="L29" s="276"/>
      <c r="M29" s="277"/>
      <c r="N29" s="275">
        <f t="shared" ref="N29" si="33">N27+N28</f>
        <v>34539148</v>
      </c>
      <c r="O29" s="276"/>
      <c r="P29" s="277"/>
      <c r="Q29" s="275">
        <f t="shared" ref="Q29" si="34">Q27+Q28</f>
        <v>20322275</v>
      </c>
      <c r="R29" s="276"/>
      <c r="S29" s="277"/>
      <c r="T29" s="215">
        <f>SUM(B29:Q29)</f>
        <v>435000000</v>
      </c>
      <c r="W29" s="183"/>
      <c r="X29" s="183"/>
      <c r="Y29" s="183"/>
      <c r="Z29" s="183"/>
      <c r="AA29" s="183"/>
      <c r="AB29" s="183"/>
      <c r="AC29" s="183"/>
    </row>
    <row r="30" spans="1:29" s="181" customFormat="1" ht="26.25" customHeight="1" x14ac:dyDescent="0.35">
      <c r="A30" s="216" t="s">
        <v>8</v>
      </c>
      <c r="B30" s="278">
        <f>B27/B$29</f>
        <v>0</v>
      </c>
      <c r="C30" s="279"/>
      <c r="D30" s="280"/>
      <c r="E30" s="278">
        <f t="shared" ref="E30:E31" si="35">E27/E$29</f>
        <v>0.37970731289095927</v>
      </c>
      <c r="F30" s="279"/>
      <c r="G30" s="280"/>
      <c r="H30" s="278">
        <f t="shared" ref="H30:H31" si="36">H27/H$29</f>
        <v>0.59247173404591047</v>
      </c>
      <c r="I30" s="279"/>
      <c r="J30" s="280"/>
      <c r="K30" s="278">
        <f t="shared" ref="K30:K31" si="37">K27/K$29</f>
        <v>0.76630671294385233</v>
      </c>
      <c r="L30" s="279"/>
      <c r="M30" s="280"/>
      <c r="N30" s="278">
        <f t="shared" ref="N30:N31" si="38">N27/N$29</f>
        <v>0.8523203293839211</v>
      </c>
      <c r="O30" s="279"/>
      <c r="P30" s="280"/>
      <c r="Q30" s="278">
        <f t="shared" ref="Q30:Q31" si="39">Q27/Q$29</f>
        <v>0.8512050939178808</v>
      </c>
      <c r="R30" s="279"/>
      <c r="S30" s="280"/>
      <c r="T30" s="217">
        <f>T27/T29</f>
        <v>0.54022988505747127</v>
      </c>
      <c r="W30" s="183"/>
      <c r="X30" s="183"/>
      <c r="Y30" s="183"/>
    </row>
    <row r="31" spans="1:29" s="181" customFormat="1" ht="26.25" customHeight="1" x14ac:dyDescent="0.35">
      <c r="A31" s="216" t="s">
        <v>9</v>
      </c>
      <c r="B31" s="278">
        <f>B28/B$29</f>
        <v>1</v>
      </c>
      <c r="C31" s="279"/>
      <c r="D31" s="280"/>
      <c r="E31" s="278">
        <f t="shared" si="35"/>
        <v>0.62029268710904073</v>
      </c>
      <c r="F31" s="279"/>
      <c r="G31" s="280"/>
      <c r="H31" s="278">
        <f t="shared" si="36"/>
        <v>0.40752826595408959</v>
      </c>
      <c r="I31" s="279"/>
      <c r="J31" s="280"/>
      <c r="K31" s="278">
        <f t="shared" si="37"/>
        <v>0.23369328705614767</v>
      </c>
      <c r="L31" s="279"/>
      <c r="M31" s="280"/>
      <c r="N31" s="278">
        <f t="shared" si="38"/>
        <v>0.1476796706160789</v>
      </c>
      <c r="O31" s="279"/>
      <c r="P31" s="280"/>
      <c r="Q31" s="278">
        <f t="shared" si="39"/>
        <v>0.14879490608211926</v>
      </c>
      <c r="R31" s="279"/>
      <c r="S31" s="280"/>
      <c r="T31" s="217">
        <f>T28/T29</f>
        <v>0.45977011494252873</v>
      </c>
      <c r="W31" s="183"/>
      <c r="X31" s="183"/>
      <c r="Y31" s="183"/>
    </row>
    <row r="32" spans="1:29" s="181" customFormat="1" ht="26.25" customHeight="1" x14ac:dyDescent="0.35">
      <c r="A32" s="214" t="s">
        <v>11</v>
      </c>
      <c r="B32" s="278">
        <f>B24/$T$24</f>
        <v>6.9498078160919546E-2</v>
      </c>
      <c r="C32" s="279"/>
      <c r="D32" s="280"/>
      <c r="E32" s="278">
        <f t="shared" ref="E32" si="40">E24/$T$24</f>
        <v>0.31886422528735631</v>
      </c>
      <c r="F32" s="279"/>
      <c r="G32" s="280"/>
      <c r="H32" s="278">
        <f t="shared" ref="H32" si="41">H24/$T$24</f>
        <v>0.34712834252873565</v>
      </c>
      <c r="I32" s="279"/>
      <c r="J32" s="280"/>
      <c r="K32" s="278">
        <f t="shared" ref="K32" si="42">K24/$T$24</f>
        <v>0.13839114022988505</v>
      </c>
      <c r="L32" s="279"/>
      <c r="M32" s="280"/>
      <c r="N32" s="278">
        <f t="shared" ref="N32" si="43">N24/$T$24</f>
        <v>7.9400340229885055E-2</v>
      </c>
      <c r="O32" s="279"/>
      <c r="P32" s="280"/>
      <c r="Q32" s="278">
        <f t="shared" ref="Q32" si="44">Q24/$T$24</f>
        <v>4.6717873563218389E-2</v>
      </c>
      <c r="R32" s="279"/>
      <c r="S32" s="280"/>
      <c r="T32" s="217">
        <f>SUM(B32:Q32)</f>
        <v>1</v>
      </c>
      <c r="W32" s="183"/>
      <c r="X32" s="183"/>
      <c r="Y32" s="183"/>
    </row>
    <row r="33" spans="1:25" s="181" customFormat="1" ht="26.25" customHeight="1" x14ac:dyDescent="0.35">
      <c r="A33" s="180"/>
      <c r="B33" s="180"/>
      <c r="C33" s="180"/>
      <c r="D33" s="180"/>
      <c r="E33" s="218"/>
      <c r="F33" s="218"/>
      <c r="G33" s="218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3"/>
      <c r="S33" s="183"/>
      <c r="T33" s="180"/>
      <c r="W33" s="183"/>
      <c r="X33" s="183"/>
      <c r="Y33" s="183"/>
    </row>
    <row r="34" spans="1:25" s="181" customFormat="1" x14ac:dyDescent="0.3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82"/>
      <c r="S34" s="182"/>
      <c r="T34" s="180"/>
      <c r="W34" s="183"/>
      <c r="X34" s="183"/>
      <c r="Y34" s="183"/>
    </row>
    <row r="35" spans="1:25" s="181" customFormat="1" x14ac:dyDescent="0.3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82"/>
      <c r="S35" s="182"/>
      <c r="T35" s="180"/>
      <c r="W35" s="183"/>
      <c r="X35" s="183"/>
      <c r="Y35" s="183"/>
    </row>
  </sheetData>
  <mergeCells count="50">
    <mergeCell ref="Q32:S32"/>
    <mergeCell ref="B31:D31"/>
    <mergeCell ref="E31:G31"/>
    <mergeCell ref="H31:J31"/>
    <mergeCell ref="K31:M31"/>
    <mergeCell ref="N31:P31"/>
    <mergeCell ref="Q31:S31"/>
    <mergeCell ref="B32:D32"/>
    <mergeCell ref="E32:G32"/>
    <mergeCell ref="H32:J32"/>
    <mergeCell ref="K32:M32"/>
    <mergeCell ref="N32:P32"/>
    <mergeCell ref="Q30:S30"/>
    <mergeCell ref="B29:D29"/>
    <mergeCell ref="E29:G29"/>
    <mergeCell ref="H29:J29"/>
    <mergeCell ref="K29:M29"/>
    <mergeCell ref="N29:P29"/>
    <mergeCell ref="Q29:S29"/>
    <mergeCell ref="B30:D30"/>
    <mergeCell ref="E30:G30"/>
    <mergeCell ref="H30:J30"/>
    <mergeCell ref="K30:M30"/>
    <mergeCell ref="N30:P30"/>
    <mergeCell ref="Q28:S28"/>
    <mergeCell ref="B27:D27"/>
    <mergeCell ref="E27:G27"/>
    <mergeCell ref="H27:J27"/>
    <mergeCell ref="K27:M27"/>
    <mergeCell ref="N27:P27"/>
    <mergeCell ref="Q27:S27"/>
    <mergeCell ref="B28:D28"/>
    <mergeCell ref="E28:G28"/>
    <mergeCell ref="H28:J28"/>
    <mergeCell ref="K28:M28"/>
    <mergeCell ref="N28:P28"/>
    <mergeCell ref="Q7:S7"/>
    <mergeCell ref="T7:V7"/>
    <mergeCell ref="B26:D26"/>
    <mergeCell ref="E26:G26"/>
    <mergeCell ref="H26:J26"/>
    <mergeCell ref="K26:M26"/>
    <mergeCell ref="N26:P26"/>
    <mergeCell ref="Q26:S26"/>
    <mergeCell ref="N7:P7"/>
    <mergeCell ref="A7:A8"/>
    <mergeCell ref="B7:D7"/>
    <mergeCell ref="E7:G7"/>
    <mergeCell ref="H7:J7"/>
    <mergeCell ref="K7:M7"/>
  </mergeCells>
  <pageMargins left="0.511811024" right="0.511811024" top="0.78740157499999996" bottom="0.78740157499999996" header="0.31496062000000002" footer="0.31496062000000002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tabSelected="1" zoomScale="90" zoomScaleNormal="90" workbookViewId="0">
      <selection activeCell="E14" sqref="E14"/>
    </sheetView>
  </sheetViews>
  <sheetFormatPr defaultColWidth="8.8984375" defaultRowHeight="15.6" x14ac:dyDescent="0.3"/>
  <cols>
    <col min="1" max="1" width="62.8984375" style="65" customWidth="1"/>
    <col min="2" max="4" width="15" style="65" customWidth="1"/>
    <col min="5" max="5" width="16.8984375" style="65" bestFit="1" customWidth="1"/>
    <col min="6" max="6" width="13.69921875" style="65" customWidth="1"/>
    <col min="7" max="16384" width="8.8984375" style="65"/>
  </cols>
  <sheetData>
    <row r="1" spans="1:6" x14ac:dyDescent="0.3">
      <c r="A1" s="76" t="s">
        <v>18</v>
      </c>
      <c r="B1" s="77"/>
      <c r="C1" s="77"/>
      <c r="D1" s="77"/>
      <c r="E1" s="78"/>
      <c r="F1" s="77"/>
    </row>
    <row r="2" spans="1:6" x14ac:dyDescent="0.3">
      <c r="A2" s="63" t="s">
        <v>5</v>
      </c>
      <c r="B2" s="79"/>
      <c r="C2" s="79"/>
      <c r="D2" s="79"/>
      <c r="E2" s="80"/>
      <c r="F2" s="79"/>
    </row>
    <row r="3" spans="1:6" x14ac:dyDescent="0.3">
      <c r="A3" s="64" t="s">
        <v>2</v>
      </c>
      <c r="B3" s="81"/>
      <c r="C3" s="81"/>
      <c r="D3" s="81"/>
      <c r="E3" s="80"/>
      <c r="F3" s="81"/>
    </row>
    <row r="4" spans="1:6" x14ac:dyDescent="0.3">
      <c r="A4" s="64" t="s">
        <v>0</v>
      </c>
      <c r="B4" s="81"/>
      <c r="C4" s="81"/>
      <c r="D4" s="81"/>
      <c r="E4" s="80"/>
      <c r="F4" s="81"/>
    </row>
    <row r="5" spans="1:6" ht="16.2" thickBot="1" x14ac:dyDescent="0.35">
      <c r="A5" s="64"/>
      <c r="B5" s="81"/>
      <c r="C5" s="81"/>
      <c r="D5" s="81"/>
      <c r="E5" s="80"/>
      <c r="F5" s="81"/>
    </row>
    <row r="6" spans="1:6" s="66" customFormat="1" x14ac:dyDescent="0.3">
      <c r="A6" s="82" t="s">
        <v>4</v>
      </c>
      <c r="B6" s="83"/>
      <c r="C6" s="83"/>
      <c r="D6" s="83"/>
      <c r="E6" s="83"/>
      <c r="F6" s="84"/>
    </row>
    <row r="7" spans="1:6" s="66" customFormat="1" x14ac:dyDescent="0.3">
      <c r="A7" s="85" t="s">
        <v>1</v>
      </c>
      <c r="B7" s="86" t="s">
        <v>6</v>
      </c>
      <c r="C7" s="86" t="s">
        <v>7</v>
      </c>
      <c r="D7" s="86" t="s">
        <v>8</v>
      </c>
      <c r="E7" s="86" t="s">
        <v>89</v>
      </c>
      <c r="F7" s="87" t="s">
        <v>90</v>
      </c>
    </row>
    <row r="8" spans="1:6" x14ac:dyDescent="0.3">
      <c r="A8" s="88"/>
      <c r="B8" s="89"/>
      <c r="C8" s="89"/>
      <c r="D8" s="89"/>
      <c r="E8" s="89"/>
      <c r="F8" s="90"/>
    </row>
    <row r="9" spans="1:6" s="66" customFormat="1" x14ac:dyDescent="0.3">
      <c r="A9" s="74" t="s">
        <v>33</v>
      </c>
      <c r="B9" s="104">
        <f>B10</f>
        <v>15844000</v>
      </c>
      <c r="C9" s="104">
        <f>C10</f>
        <v>12520000</v>
      </c>
      <c r="D9" s="105">
        <f t="shared" ref="D9:D24" si="0">C9/$B9</f>
        <v>0.79020449381469327</v>
      </c>
      <c r="E9" s="104">
        <f>E10</f>
        <v>3324000</v>
      </c>
      <c r="F9" s="106">
        <f t="shared" ref="F9:F24" si="1">E9/$B9</f>
        <v>0.20979550618530673</v>
      </c>
    </row>
    <row r="10" spans="1:6" x14ac:dyDescent="0.3">
      <c r="A10" s="72" t="s">
        <v>34</v>
      </c>
      <c r="B10" s="92">
        <f>C10+E10</f>
        <v>15844000</v>
      </c>
      <c r="C10" s="92">
        <f>'POA PSA '!U10</f>
        <v>12520000</v>
      </c>
      <c r="D10" s="93">
        <f>C10/$B10</f>
        <v>0.79020449381469327</v>
      </c>
      <c r="E10" s="92">
        <f>'POA PSA '!V10</f>
        <v>3324000</v>
      </c>
      <c r="F10" s="94">
        <f>E10/$B10</f>
        <v>0.20979550618530673</v>
      </c>
    </row>
    <row r="11" spans="1:6" x14ac:dyDescent="0.3">
      <c r="A11" s="75" t="s">
        <v>40</v>
      </c>
      <c r="B11" s="104">
        <f>B12+B16+B17</f>
        <v>388134000</v>
      </c>
      <c r="C11" s="104">
        <f>C12+C16+C17</f>
        <v>207708000</v>
      </c>
      <c r="D11" s="105">
        <f t="shared" si="0"/>
        <v>0.53514507876145867</v>
      </c>
      <c r="E11" s="104">
        <f>E12+E16+E17</f>
        <v>180426000</v>
      </c>
      <c r="F11" s="106">
        <f t="shared" si="1"/>
        <v>0.46485492123854133</v>
      </c>
    </row>
    <row r="12" spans="1:6" x14ac:dyDescent="0.3">
      <c r="A12" s="72" t="s">
        <v>98</v>
      </c>
      <c r="B12" s="92">
        <f>B13+B14+B15</f>
        <v>365673000</v>
      </c>
      <c r="C12" s="92">
        <f>C13+C14+C15</f>
        <v>190133000</v>
      </c>
      <c r="D12" s="93">
        <f t="shared" si="0"/>
        <v>0.51995361976410615</v>
      </c>
      <c r="E12" s="92">
        <f>E13+E14+E15</f>
        <v>175540000</v>
      </c>
      <c r="F12" s="94">
        <f t="shared" si="1"/>
        <v>0.4800463802358938</v>
      </c>
    </row>
    <row r="13" spans="1:6" s="66" customFormat="1" x14ac:dyDescent="0.3">
      <c r="A13" s="73" t="s">
        <v>41</v>
      </c>
      <c r="B13" s="92">
        <f>C13+E13</f>
        <v>203417803</v>
      </c>
      <c r="C13" s="91">
        <f>'POA PSA '!U13</f>
        <v>88228023</v>
      </c>
      <c r="D13" s="93">
        <f t="shared" si="0"/>
        <v>0.43372812850603837</v>
      </c>
      <c r="E13" s="91">
        <f>'POA PSA '!V13</f>
        <v>115189780</v>
      </c>
      <c r="F13" s="94">
        <f t="shared" si="1"/>
        <v>0.56627187149396163</v>
      </c>
    </row>
    <row r="14" spans="1:6" x14ac:dyDescent="0.3">
      <c r="A14" s="73" t="s">
        <v>53</v>
      </c>
      <c r="B14" s="92">
        <f>C14+E14</f>
        <v>121525686</v>
      </c>
      <c r="C14" s="91">
        <f>'POA PSA '!U14</f>
        <v>78316455</v>
      </c>
      <c r="D14" s="93">
        <f t="shared" si="0"/>
        <v>0.64444363638482161</v>
      </c>
      <c r="E14" s="91">
        <f>'POA PSA '!V14</f>
        <v>43209231</v>
      </c>
      <c r="F14" s="94">
        <f t="shared" si="1"/>
        <v>0.35555636361517845</v>
      </c>
    </row>
    <row r="15" spans="1:6" x14ac:dyDescent="0.3">
      <c r="A15" s="73" t="s">
        <v>60</v>
      </c>
      <c r="B15" s="92">
        <f>C15+E15</f>
        <v>40729511</v>
      </c>
      <c r="C15" s="91">
        <f>'POA PSA '!U15</f>
        <v>23588522</v>
      </c>
      <c r="D15" s="93">
        <f t="shared" si="0"/>
        <v>0.57915063109891007</v>
      </c>
      <c r="E15" s="91">
        <f>'POA PSA '!V15</f>
        <v>17140989</v>
      </c>
      <c r="F15" s="94">
        <f t="shared" si="1"/>
        <v>0.42084936890108993</v>
      </c>
    </row>
    <row r="16" spans="1:6" x14ac:dyDescent="0.3">
      <c r="A16" s="73" t="s">
        <v>99</v>
      </c>
      <c r="B16" s="92">
        <f>C16+E16</f>
        <v>5050000</v>
      </c>
      <c r="C16" s="91">
        <f>'POA PSA '!U16</f>
        <v>3450000</v>
      </c>
      <c r="D16" s="93">
        <f t="shared" si="0"/>
        <v>0.68316831683168322</v>
      </c>
      <c r="E16" s="91">
        <f>'POA PSA '!V16</f>
        <v>1600000</v>
      </c>
      <c r="F16" s="94">
        <f t="shared" si="1"/>
        <v>0.31683168316831684</v>
      </c>
    </row>
    <row r="17" spans="1:6" x14ac:dyDescent="0.3">
      <c r="A17" s="72" t="s">
        <v>97</v>
      </c>
      <c r="B17" s="92">
        <f>C17+E17</f>
        <v>17411000</v>
      </c>
      <c r="C17" s="91">
        <f>'POA PSA '!U17</f>
        <v>14125000</v>
      </c>
      <c r="D17" s="93">
        <f t="shared" si="0"/>
        <v>0.81126873815404055</v>
      </c>
      <c r="E17" s="91">
        <f>'POA PSA '!V17</f>
        <v>3286000</v>
      </c>
      <c r="F17" s="94">
        <f t="shared" si="1"/>
        <v>0.18873126184595945</v>
      </c>
    </row>
    <row r="18" spans="1:6" s="66" customFormat="1" x14ac:dyDescent="0.3">
      <c r="A18" s="75" t="s">
        <v>66</v>
      </c>
      <c r="B18" s="101">
        <f>B19+B20</f>
        <v>12123000</v>
      </c>
      <c r="C18" s="101">
        <f>C19+C20</f>
        <v>8232000</v>
      </c>
      <c r="D18" s="102">
        <f t="shared" si="0"/>
        <v>0.67903984162336051</v>
      </c>
      <c r="E18" s="101">
        <f>E19+E20</f>
        <v>3891000</v>
      </c>
      <c r="F18" s="103">
        <f t="shared" si="1"/>
        <v>0.32096015837663944</v>
      </c>
    </row>
    <row r="19" spans="1:6" x14ac:dyDescent="0.3">
      <c r="A19" s="72" t="s">
        <v>67</v>
      </c>
      <c r="B19" s="92">
        <f>C19+E19</f>
        <v>9378000</v>
      </c>
      <c r="C19" s="91">
        <f>'POA PSA '!U19</f>
        <v>6432000</v>
      </c>
      <c r="D19" s="93">
        <f t="shared" si="0"/>
        <v>0.68586052463211777</v>
      </c>
      <c r="E19" s="91">
        <f>'POA PSA '!V19</f>
        <v>2946000</v>
      </c>
      <c r="F19" s="94">
        <f t="shared" si="1"/>
        <v>0.31413947536788228</v>
      </c>
    </row>
    <row r="20" spans="1:6" x14ac:dyDescent="0.3">
      <c r="A20" s="72" t="s">
        <v>74</v>
      </c>
      <c r="B20" s="92">
        <f>C20+E20</f>
        <v>2745000</v>
      </c>
      <c r="C20" s="91">
        <f>'POA PSA '!U20</f>
        <v>1800000</v>
      </c>
      <c r="D20" s="93">
        <f t="shared" si="0"/>
        <v>0.65573770491803274</v>
      </c>
      <c r="E20" s="91">
        <f>'POA PSA '!V20</f>
        <v>945000</v>
      </c>
      <c r="F20" s="94">
        <f t="shared" si="1"/>
        <v>0.34426229508196721</v>
      </c>
    </row>
    <row r="21" spans="1:6" s="66" customFormat="1" x14ac:dyDescent="0.3">
      <c r="A21" s="75" t="s">
        <v>77</v>
      </c>
      <c r="B21" s="104">
        <f>B22</f>
        <v>9780000</v>
      </c>
      <c r="C21" s="104">
        <f>C22</f>
        <v>0</v>
      </c>
      <c r="D21" s="105">
        <f t="shared" si="0"/>
        <v>0</v>
      </c>
      <c r="E21" s="104">
        <f>E22</f>
        <v>9780000</v>
      </c>
      <c r="F21" s="106">
        <f t="shared" si="1"/>
        <v>1</v>
      </c>
    </row>
    <row r="22" spans="1:6" x14ac:dyDescent="0.3">
      <c r="A22" s="72" t="s">
        <v>78</v>
      </c>
      <c r="B22" s="92">
        <f>C22+E22</f>
        <v>9780000</v>
      </c>
      <c r="C22" s="91">
        <f>'POA PSA '!U22</f>
        <v>0</v>
      </c>
      <c r="D22" s="93">
        <f t="shared" si="0"/>
        <v>0</v>
      </c>
      <c r="E22" s="91">
        <f>'POA PSA '!V22</f>
        <v>9780000</v>
      </c>
      <c r="F22" s="94">
        <f t="shared" si="1"/>
        <v>1</v>
      </c>
    </row>
    <row r="23" spans="1:6" x14ac:dyDescent="0.3">
      <c r="A23" s="75" t="s">
        <v>79</v>
      </c>
      <c r="B23" s="104">
        <f>C23+E23</f>
        <v>9119000</v>
      </c>
      <c r="C23" s="104">
        <f>'POA PSA '!U23</f>
        <v>6540000</v>
      </c>
      <c r="D23" s="105">
        <f t="shared" si="0"/>
        <v>0.71718390174361224</v>
      </c>
      <c r="E23" s="104">
        <f>'POA PSA '!V23</f>
        <v>2579000</v>
      </c>
      <c r="F23" s="106">
        <f t="shared" si="1"/>
        <v>0.28281609825638776</v>
      </c>
    </row>
    <row r="24" spans="1:6" s="66" customFormat="1" x14ac:dyDescent="0.3">
      <c r="A24" s="95" t="s">
        <v>83</v>
      </c>
      <c r="B24" s="96">
        <f>B9+B11+B18+B21+B23</f>
        <v>435000000</v>
      </c>
      <c r="C24" s="96">
        <f>C9+C11+C18+C21+C23</f>
        <v>235000000</v>
      </c>
      <c r="D24" s="107">
        <f t="shared" si="0"/>
        <v>0.54022988505747127</v>
      </c>
      <c r="E24" s="108">
        <f>E9+E11+E18+E21+E23</f>
        <v>200000000</v>
      </c>
      <c r="F24" s="109">
        <f t="shared" si="1"/>
        <v>0.45977011494252873</v>
      </c>
    </row>
    <row r="25" spans="1:6" ht="16.2" thickBot="1" x14ac:dyDescent="0.35">
      <c r="A25" s="97"/>
      <c r="B25" s="98"/>
      <c r="C25" s="98"/>
      <c r="D25" s="98"/>
      <c r="E25" s="99"/>
      <c r="F25" s="100"/>
    </row>
  </sheetData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5"/>
  <sheetViews>
    <sheetView zoomScale="70" zoomScaleNormal="70" workbookViewId="0">
      <selection activeCell="B12" sqref="B12"/>
    </sheetView>
  </sheetViews>
  <sheetFormatPr defaultColWidth="8.8984375" defaultRowHeight="15.6" x14ac:dyDescent="0.35"/>
  <cols>
    <col min="1" max="1" width="49" style="180" customWidth="1"/>
    <col min="2" max="4" width="9.3984375" style="180" customWidth="1"/>
    <col min="5" max="5" width="11.09765625" style="180" customWidth="1"/>
    <col min="6" max="7" width="9.3984375" style="180" customWidth="1"/>
    <col min="8" max="8" width="10.59765625" style="180" bestFit="1" customWidth="1"/>
    <col min="9" max="17" width="9.3984375" style="180" customWidth="1"/>
    <col min="18" max="19" width="9.3984375" style="183" customWidth="1"/>
    <col min="20" max="20" width="10.59765625" style="180" bestFit="1" customWidth="1"/>
    <col min="21" max="22" width="10.59765625" style="181" bestFit="1" customWidth="1"/>
    <col min="23" max="24" width="8.8984375" style="180"/>
    <col min="25" max="25" width="6" style="180" customWidth="1"/>
    <col min="26" max="16384" width="8.8984375" style="180"/>
  </cols>
  <sheetData>
    <row r="1" spans="1:29" x14ac:dyDescent="0.35">
      <c r="A1" s="176" t="s">
        <v>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O1" s="178"/>
      <c r="P1" s="178"/>
      <c r="Q1" s="177"/>
      <c r="R1" s="179"/>
      <c r="S1" s="179"/>
    </row>
    <row r="2" spans="1:29" x14ac:dyDescent="0.35">
      <c r="A2" s="177" t="s">
        <v>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178"/>
      <c r="P2" s="178"/>
      <c r="Q2" s="177"/>
      <c r="R2" s="179"/>
      <c r="S2" s="179"/>
    </row>
    <row r="3" spans="1:29" x14ac:dyDescent="0.35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82"/>
      <c r="S3" s="182"/>
    </row>
    <row r="4" spans="1:29" x14ac:dyDescent="0.35">
      <c r="A4" s="178" t="s">
        <v>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82"/>
      <c r="S4" s="182"/>
    </row>
    <row r="5" spans="1:29" x14ac:dyDescent="0.35">
      <c r="A5" s="178" t="s">
        <v>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T5" s="178"/>
    </row>
    <row r="6" spans="1:29" ht="16.2" thickBot="1" x14ac:dyDescent="0.4">
      <c r="B6" s="184">
        <f>B32</f>
        <v>6.9498078160919546E-2</v>
      </c>
      <c r="D6" s="178"/>
      <c r="E6" s="184">
        <f>E32</f>
        <v>0.31886422528735631</v>
      </c>
      <c r="H6" s="184">
        <f>H32</f>
        <v>0.34712834252873565</v>
      </c>
      <c r="I6" s="185"/>
      <c r="J6" s="185"/>
      <c r="K6" s="184">
        <f>K32</f>
        <v>0.13839114022988505</v>
      </c>
      <c r="L6" s="185"/>
      <c r="M6" s="185"/>
      <c r="N6" s="184">
        <f>N32</f>
        <v>7.9400340229885055E-2</v>
      </c>
      <c r="O6" s="185"/>
      <c r="P6" s="185"/>
      <c r="Q6" s="184">
        <f>Q32</f>
        <v>4.6717873563218389E-2</v>
      </c>
      <c r="R6" s="186"/>
      <c r="S6" s="186"/>
      <c r="T6" s="184">
        <f>T32</f>
        <v>1</v>
      </c>
      <c r="U6" s="187"/>
      <c r="V6" s="187"/>
    </row>
    <row r="7" spans="1:29" ht="26.25" customHeight="1" x14ac:dyDescent="0.35">
      <c r="A7" s="264" t="s">
        <v>1</v>
      </c>
      <c r="B7" s="266" t="s">
        <v>85</v>
      </c>
      <c r="C7" s="267"/>
      <c r="D7" s="268"/>
      <c r="E7" s="266" t="s">
        <v>12</v>
      </c>
      <c r="F7" s="267"/>
      <c r="G7" s="268"/>
      <c r="H7" s="269" t="s">
        <v>13</v>
      </c>
      <c r="I7" s="270"/>
      <c r="J7" s="271"/>
      <c r="K7" s="266" t="s">
        <v>14</v>
      </c>
      <c r="L7" s="267"/>
      <c r="M7" s="268"/>
      <c r="N7" s="266" t="s">
        <v>15</v>
      </c>
      <c r="O7" s="267"/>
      <c r="P7" s="268"/>
      <c r="Q7" s="266" t="s">
        <v>16</v>
      </c>
      <c r="R7" s="267"/>
      <c r="S7" s="268"/>
      <c r="T7" s="269" t="s">
        <v>3</v>
      </c>
      <c r="U7" s="270"/>
      <c r="V7" s="271"/>
      <c r="W7" s="183"/>
      <c r="X7" s="183"/>
      <c r="Y7" s="183"/>
      <c r="Z7" s="183"/>
      <c r="AA7" s="183"/>
      <c r="AB7" s="183"/>
      <c r="AC7" s="183"/>
    </row>
    <row r="8" spans="1:29" ht="26.25" customHeight="1" thickBot="1" x14ac:dyDescent="0.4">
      <c r="A8" s="265"/>
      <c r="B8" s="188" t="s">
        <v>6</v>
      </c>
      <c r="C8" s="189" t="s">
        <v>17</v>
      </c>
      <c r="D8" s="190" t="s">
        <v>87</v>
      </c>
      <c r="E8" s="188" t="s">
        <v>6</v>
      </c>
      <c r="F8" s="189" t="s">
        <v>17</v>
      </c>
      <c r="G8" s="190" t="s">
        <v>87</v>
      </c>
      <c r="H8" s="188" t="s">
        <v>6</v>
      </c>
      <c r="I8" s="189" t="s">
        <v>17</v>
      </c>
      <c r="J8" s="190" t="s">
        <v>87</v>
      </c>
      <c r="K8" s="188" t="s">
        <v>6</v>
      </c>
      <c r="L8" s="189" t="s">
        <v>17</v>
      </c>
      <c r="M8" s="190" t="s">
        <v>87</v>
      </c>
      <c r="N8" s="188" t="s">
        <v>6</v>
      </c>
      <c r="O8" s="189" t="s">
        <v>17</v>
      </c>
      <c r="P8" s="190" t="s">
        <v>87</v>
      </c>
      <c r="Q8" s="188" t="s">
        <v>6</v>
      </c>
      <c r="R8" s="191" t="s">
        <v>17</v>
      </c>
      <c r="S8" s="192" t="s">
        <v>87</v>
      </c>
      <c r="T8" s="188" t="s">
        <v>6</v>
      </c>
      <c r="U8" s="191" t="s">
        <v>17</v>
      </c>
      <c r="V8" s="192" t="s">
        <v>87</v>
      </c>
      <c r="W8" s="183"/>
      <c r="X8" s="183"/>
      <c r="Y8" s="183"/>
      <c r="Z8" s="183"/>
      <c r="AA8" s="183"/>
      <c r="AB8" s="183"/>
      <c r="AC8" s="183"/>
    </row>
    <row r="9" spans="1:29" s="198" customFormat="1" ht="26.25" customHeight="1" x14ac:dyDescent="0.35">
      <c r="A9" s="193" t="s">
        <v>33</v>
      </c>
      <c r="B9" s="194">
        <f>SUM(B10)</f>
        <v>0</v>
      </c>
      <c r="C9" s="195">
        <f>SUM(C10)</f>
        <v>0</v>
      </c>
      <c r="D9" s="196">
        <f>SUM(D10)</f>
        <v>0</v>
      </c>
      <c r="E9" s="194">
        <f>E10</f>
        <v>3179737</v>
      </c>
      <c r="F9" s="195">
        <f>SUM(F10)</f>
        <v>2371165</v>
      </c>
      <c r="G9" s="196">
        <f>SUM(G10)</f>
        <v>808572</v>
      </c>
      <c r="H9" s="194">
        <f>H10</f>
        <v>4810841</v>
      </c>
      <c r="I9" s="195">
        <f>SUM(I10)</f>
        <v>3871059</v>
      </c>
      <c r="J9" s="196">
        <f>SUM(J10)</f>
        <v>939782</v>
      </c>
      <c r="K9" s="194">
        <f>K10</f>
        <v>3572153</v>
      </c>
      <c r="L9" s="195">
        <f>SUM(L10)</f>
        <v>2848617</v>
      </c>
      <c r="M9" s="196">
        <f>SUM(M10)</f>
        <v>723536</v>
      </c>
      <c r="N9" s="194">
        <f>N10</f>
        <v>3321458</v>
      </c>
      <c r="O9" s="195">
        <f>SUM(O10)</f>
        <v>2687701</v>
      </c>
      <c r="P9" s="196">
        <f>SUM(P10)</f>
        <v>633757</v>
      </c>
      <c r="Q9" s="194">
        <f>Q10</f>
        <v>959811</v>
      </c>
      <c r="R9" s="195">
        <f>SUM(R10)</f>
        <v>741458</v>
      </c>
      <c r="S9" s="196">
        <f>SUM(S10)</f>
        <v>218353</v>
      </c>
      <c r="T9" s="194">
        <f>SUM(T10)</f>
        <v>15844000</v>
      </c>
      <c r="U9" s="195">
        <f t="shared" ref="U9" si="0">SUM(U10)</f>
        <v>12520000</v>
      </c>
      <c r="V9" s="196">
        <f t="shared" ref="V9" si="1">SUM(V10)</f>
        <v>3324000</v>
      </c>
      <c r="W9" s="197"/>
      <c r="X9" s="197"/>
      <c r="Y9" s="197"/>
      <c r="Z9" s="197"/>
      <c r="AA9" s="197"/>
      <c r="AB9" s="197"/>
      <c r="AC9" s="197"/>
    </row>
    <row r="10" spans="1:29" s="183" customFormat="1" ht="26.25" customHeight="1" x14ac:dyDescent="0.35">
      <c r="A10" s="199" t="s">
        <v>34</v>
      </c>
      <c r="B10" s="200"/>
      <c r="C10" s="201">
        <v>0</v>
      </c>
      <c r="D10" s="202">
        <f>'Cronog Detalhado'!I7</f>
        <v>0</v>
      </c>
      <c r="E10" s="200">
        <f t="shared" ref="E10:E23" si="2">F10+G10</f>
        <v>3179737</v>
      </c>
      <c r="F10" s="201">
        <f>'Cronog Detalhado'!K7</f>
        <v>2371165</v>
      </c>
      <c r="G10" s="202">
        <f>'Cronog Detalhado'!M7</f>
        <v>808572</v>
      </c>
      <c r="H10" s="200">
        <f t="shared" ref="H10" si="3">I10+J10</f>
        <v>4810841</v>
      </c>
      <c r="I10" s="201">
        <f>'Cronog Detalhado'!O7</f>
        <v>3871059</v>
      </c>
      <c r="J10" s="202">
        <f>'Cronog Detalhado'!Q7</f>
        <v>939782</v>
      </c>
      <c r="K10" s="200">
        <f t="shared" ref="K10" si="4">L10+M10</f>
        <v>3572153</v>
      </c>
      <c r="L10" s="201">
        <f>'Cronog Detalhado'!S7</f>
        <v>2848617</v>
      </c>
      <c r="M10" s="202">
        <f>'Cronog Detalhado'!U7</f>
        <v>723536</v>
      </c>
      <c r="N10" s="200">
        <f t="shared" ref="N10" si="5">O10+P10</f>
        <v>3321458</v>
      </c>
      <c r="O10" s="201">
        <f>'Cronog Detalhado'!W7</f>
        <v>2687701</v>
      </c>
      <c r="P10" s="202">
        <f>'Cronog Detalhado'!Y7</f>
        <v>633757</v>
      </c>
      <c r="Q10" s="200">
        <f t="shared" ref="Q10" si="6">R10+S10</f>
        <v>959811</v>
      </c>
      <c r="R10" s="201">
        <f>'Cronog Detalhado'!AA7</f>
        <v>741458</v>
      </c>
      <c r="S10" s="202">
        <f>'Cronog Detalhado'!AC7</f>
        <v>218353</v>
      </c>
      <c r="T10" s="200">
        <f t="shared" ref="T10" si="7">B10+E10+H10+K10+N10+Q10</f>
        <v>15844000</v>
      </c>
      <c r="U10" s="201">
        <f t="shared" ref="U10" si="8">C10+F10+I10+L10+O10+R10</f>
        <v>12520000</v>
      </c>
      <c r="V10" s="202">
        <f t="shared" ref="V10" si="9">D10+G10+J10+M10+P10+S10</f>
        <v>3324000</v>
      </c>
    </row>
    <row r="11" spans="1:29" s="204" customFormat="1" ht="26.25" customHeight="1" x14ac:dyDescent="0.35">
      <c r="A11" s="203" t="s">
        <v>40</v>
      </c>
      <c r="B11" s="194">
        <f t="shared" ref="B11:V11" si="10">B12+B17</f>
        <v>28938940</v>
      </c>
      <c r="C11" s="195">
        <f t="shared" si="10"/>
        <v>0</v>
      </c>
      <c r="D11" s="196">
        <f t="shared" si="10"/>
        <v>28938940</v>
      </c>
      <c r="E11" s="194">
        <f t="shared" si="10"/>
        <v>128476614</v>
      </c>
      <c r="F11" s="195">
        <f t="shared" si="10"/>
        <v>47453358</v>
      </c>
      <c r="G11" s="196">
        <f t="shared" si="10"/>
        <v>81023256</v>
      </c>
      <c r="H11" s="194">
        <f t="shared" si="10"/>
        <v>136213061</v>
      </c>
      <c r="I11" s="195">
        <f t="shared" si="10"/>
        <v>80713716</v>
      </c>
      <c r="J11" s="196">
        <f t="shared" si="10"/>
        <v>55499345</v>
      </c>
      <c r="K11" s="194">
        <f t="shared" si="10"/>
        <v>52122076</v>
      </c>
      <c r="L11" s="195">
        <f t="shared" si="10"/>
        <v>41910253</v>
      </c>
      <c r="M11" s="196">
        <f t="shared" si="10"/>
        <v>10211823</v>
      </c>
      <c r="N11" s="194">
        <f t="shared" si="10"/>
        <v>26389220</v>
      </c>
      <c r="O11" s="195">
        <f t="shared" si="10"/>
        <v>23420217</v>
      </c>
      <c r="P11" s="196">
        <f t="shared" si="10"/>
        <v>2969003</v>
      </c>
      <c r="Q11" s="194">
        <f t="shared" si="10"/>
        <v>15994089</v>
      </c>
      <c r="R11" s="195">
        <f t="shared" si="10"/>
        <v>14210456</v>
      </c>
      <c r="S11" s="196">
        <f t="shared" si="10"/>
        <v>1783633</v>
      </c>
      <c r="T11" s="194">
        <f t="shared" si="10"/>
        <v>388134000</v>
      </c>
      <c r="U11" s="195">
        <f t="shared" si="10"/>
        <v>207708000</v>
      </c>
      <c r="V11" s="196">
        <f t="shared" si="10"/>
        <v>180426000</v>
      </c>
      <c r="W11" s="183"/>
      <c r="X11" s="183"/>
      <c r="Y11" s="183"/>
      <c r="Z11" s="183"/>
      <c r="AA11" s="183"/>
      <c r="AB11" s="183"/>
      <c r="AC11" s="183"/>
    </row>
    <row r="12" spans="1:29" s="183" customFormat="1" ht="26.25" customHeight="1" x14ac:dyDescent="0.35">
      <c r="A12" s="199" t="s">
        <v>98</v>
      </c>
      <c r="B12" s="200">
        <f t="shared" ref="B12:V12" si="11">SUM(B13:B16)</f>
        <v>28584809</v>
      </c>
      <c r="C12" s="201">
        <f t="shared" si="11"/>
        <v>0</v>
      </c>
      <c r="D12" s="202">
        <f t="shared" si="11"/>
        <v>28584809</v>
      </c>
      <c r="E12" s="200">
        <f t="shared" si="11"/>
        <v>125047548</v>
      </c>
      <c r="F12" s="201">
        <f t="shared" si="11"/>
        <v>44660518</v>
      </c>
      <c r="G12" s="202">
        <f t="shared" si="11"/>
        <v>80387030</v>
      </c>
      <c r="H12" s="200">
        <f t="shared" si="11"/>
        <v>132487785</v>
      </c>
      <c r="I12" s="201">
        <f t="shared" si="11"/>
        <v>77624666</v>
      </c>
      <c r="J12" s="202">
        <f t="shared" si="11"/>
        <v>54863119</v>
      </c>
      <c r="K12" s="200">
        <f t="shared" si="11"/>
        <v>48386593</v>
      </c>
      <c r="L12" s="201">
        <f t="shared" si="11"/>
        <v>38812739</v>
      </c>
      <c r="M12" s="202">
        <f t="shared" si="11"/>
        <v>9573854</v>
      </c>
      <c r="N12" s="200">
        <f t="shared" si="11"/>
        <v>22663944</v>
      </c>
      <c r="O12" s="201">
        <f t="shared" si="11"/>
        <v>20331167</v>
      </c>
      <c r="P12" s="202">
        <f t="shared" si="11"/>
        <v>2332777</v>
      </c>
      <c r="Q12" s="200">
        <f t="shared" si="11"/>
        <v>13552321</v>
      </c>
      <c r="R12" s="201">
        <f t="shared" si="11"/>
        <v>12153910</v>
      </c>
      <c r="S12" s="202">
        <f t="shared" si="11"/>
        <v>1398411</v>
      </c>
      <c r="T12" s="200">
        <f t="shared" si="11"/>
        <v>370723000</v>
      </c>
      <c r="U12" s="201">
        <f t="shared" si="11"/>
        <v>193583000</v>
      </c>
      <c r="V12" s="202">
        <f t="shared" si="11"/>
        <v>177140000</v>
      </c>
    </row>
    <row r="13" spans="1:29" s="197" customFormat="1" ht="26.25" customHeight="1" x14ac:dyDescent="0.35">
      <c r="A13" s="199" t="s">
        <v>41</v>
      </c>
      <c r="B13" s="200">
        <f t="shared" ref="B13:B23" si="12">C13+D13</f>
        <v>27148554</v>
      </c>
      <c r="C13" s="201">
        <v>0</v>
      </c>
      <c r="D13" s="202">
        <f>'Cronog Detalhado'!I15</f>
        <v>27148554</v>
      </c>
      <c r="E13" s="200">
        <f t="shared" si="2"/>
        <v>56812931</v>
      </c>
      <c r="F13" s="201">
        <f>'Cronog Detalhado'!K15</f>
        <v>5557344</v>
      </c>
      <c r="G13" s="202">
        <f>'Cronog Detalhado'!M15</f>
        <v>51255587</v>
      </c>
      <c r="H13" s="200">
        <f t="shared" ref="H13:H17" si="13">I13+J13</f>
        <v>60236237</v>
      </c>
      <c r="I13" s="201">
        <f>'Cronog Detalhado'!O15</f>
        <v>29520955</v>
      </c>
      <c r="J13" s="202">
        <f>'Cronog Detalhado'!Q15</f>
        <v>30715282</v>
      </c>
      <c r="K13" s="200">
        <f t="shared" ref="K13:K17" si="14">L13+M13</f>
        <v>23003816</v>
      </c>
      <c r="L13" s="201">
        <f>'Cronog Detalhado'!S15</f>
        <v>20664647</v>
      </c>
      <c r="M13" s="202">
        <f>'Cronog Detalhado'!U15</f>
        <v>2339169</v>
      </c>
      <c r="N13" s="200">
        <f t="shared" ref="N13:N17" si="15">O13+P13</f>
        <v>22663944</v>
      </c>
      <c r="O13" s="201">
        <f>'Cronog Detalhado'!W15</f>
        <v>20331167</v>
      </c>
      <c r="P13" s="202">
        <f>'Cronog Detalhado'!Y15</f>
        <v>2332777</v>
      </c>
      <c r="Q13" s="200">
        <f>R13+S13</f>
        <v>13552321</v>
      </c>
      <c r="R13" s="201">
        <f>'Cronog Detalhado'!AA15</f>
        <v>12153910</v>
      </c>
      <c r="S13" s="202">
        <f>'Cronog Detalhado'!AC15</f>
        <v>1398411</v>
      </c>
      <c r="T13" s="200">
        <f>B13+E13+H13+K13+N13+Q13</f>
        <v>203417803</v>
      </c>
      <c r="U13" s="201">
        <f>C13+F13+I13+L13+O13+R13</f>
        <v>88228023</v>
      </c>
      <c r="V13" s="202">
        <f>D13+G13+J13+M13+P13+S13</f>
        <v>115189780</v>
      </c>
    </row>
    <row r="14" spans="1:29" s="183" customFormat="1" ht="26.25" customHeight="1" x14ac:dyDescent="0.35">
      <c r="A14" s="199" t="s">
        <v>53</v>
      </c>
      <c r="B14" s="200">
        <f t="shared" si="12"/>
        <v>1436255</v>
      </c>
      <c r="C14" s="201">
        <v>0</v>
      </c>
      <c r="D14" s="202">
        <f>'Cronog Detalhado'!I27</f>
        <v>1436255</v>
      </c>
      <c r="E14" s="200">
        <f t="shared" si="2"/>
        <v>52404243</v>
      </c>
      <c r="F14" s="201">
        <f>'Cronog Detalhado'!K27</f>
        <v>31104228</v>
      </c>
      <c r="G14" s="202">
        <f>'Cronog Detalhado'!M27</f>
        <v>21300015</v>
      </c>
      <c r="H14" s="200">
        <f t="shared" si="13"/>
        <v>52821160</v>
      </c>
      <c r="I14" s="201">
        <f>'Cronog Detalhado'!O27</f>
        <v>36943822</v>
      </c>
      <c r="J14" s="202">
        <f>'Cronog Detalhado'!Q27</f>
        <v>15877338</v>
      </c>
      <c r="K14" s="200">
        <f t="shared" si="14"/>
        <v>14864028</v>
      </c>
      <c r="L14" s="201">
        <f>'Cronog Detalhado'!S27</f>
        <v>10268405</v>
      </c>
      <c r="M14" s="202">
        <f>'Cronog Detalhado'!U27</f>
        <v>4595623</v>
      </c>
      <c r="N14" s="200">
        <f t="shared" si="15"/>
        <v>0</v>
      </c>
      <c r="O14" s="201">
        <f>'Cronog Detalhado'!W27</f>
        <v>0</v>
      </c>
      <c r="P14" s="202">
        <f>'Cronog Detalhado'!Y27</f>
        <v>0</v>
      </c>
      <c r="Q14" s="200">
        <f t="shared" ref="Q14:Q17" si="16">R14+S14</f>
        <v>0</v>
      </c>
      <c r="R14" s="201">
        <f>'Cronog Detalhado'!AA27</f>
        <v>0</v>
      </c>
      <c r="S14" s="202">
        <f>'Cronog Detalhado'!AC27</f>
        <v>0</v>
      </c>
      <c r="T14" s="200">
        <f t="shared" ref="T14:T17" si="17">B14+E14+H14+K14+N14+Q14</f>
        <v>121525686</v>
      </c>
      <c r="U14" s="201">
        <f t="shared" ref="U14:U17" si="18">C14+F14+I14+L14+O14+R14</f>
        <v>78316455</v>
      </c>
      <c r="V14" s="202">
        <f t="shared" ref="V14:V17" si="19">D14+G14+J14+M14+P14+S14</f>
        <v>43209231</v>
      </c>
    </row>
    <row r="15" spans="1:29" s="183" customFormat="1" ht="26.25" customHeight="1" x14ac:dyDescent="0.35">
      <c r="A15" s="199" t="s">
        <v>60</v>
      </c>
      <c r="B15" s="200">
        <f t="shared" si="12"/>
        <v>0</v>
      </c>
      <c r="C15" s="201">
        <v>0</v>
      </c>
      <c r="D15" s="202">
        <f>'Cronog Detalhado'!I34</f>
        <v>0</v>
      </c>
      <c r="E15" s="200">
        <f t="shared" si="2"/>
        <v>15830374</v>
      </c>
      <c r="F15" s="201">
        <f>'Cronog Detalhado'!K34</f>
        <v>7998946</v>
      </c>
      <c r="G15" s="202">
        <f>'Cronog Detalhado'!M34</f>
        <v>7831428</v>
      </c>
      <c r="H15" s="200">
        <f t="shared" si="13"/>
        <v>19430388</v>
      </c>
      <c r="I15" s="201">
        <f>'Cronog Detalhado'!O34</f>
        <v>11159889</v>
      </c>
      <c r="J15" s="202">
        <f>'Cronog Detalhado'!Q34</f>
        <v>8270499</v>
      </c>
      <c r="K15" s="200">
        <f t="shared" si="14"/>
        <v>5468749</v>
      </c>
      <c r="L15" s="201">
        <f>'Cronog Detalhado'!S34</f>
        <v>4429687</v>
      </c>
      <c r="M15" s="202">
        <f>'Cronog Detalhado'!U34</f>
        <v>1039062</v>
      </c>
      <c r="N15" s="200">
        <f t="shared" si="15"/>
        <v>0</v>
      </c>
      <c r="O15" s="201">
        <f>'Cronog Detalhado'!W34</f>
        <v>0</v>
      </c>
      <c r="P15" s="202">
        <f>'Cronog Detalhado'!Y34</f>
        <v>0</v>
      </c>
      <c r="Q15" s="200">
        <f t="shared" si="16"/>
        <v>0</v>
      </c>
      <c r="R15" s="201">
        <f>'Cronog Detalhado'!AA34</f>
        <v>0</v>
      </c>
      <c r="S15" s="202">
        <f>'Cronog Detalhado'!AC34</f>
        <v>0</v>
      </c>
      <c r="T15" s="200">
        <f t="shared" si="17"/>
        <v>40729511</v>
      </c>
      <c r="U15" s="201">
        <f t="shared" si="18"/>
        <v>23588522</v>
      </c>
      <c r="V15" s="202">
        <f t="shared" si="19"/>
        <v>17140989</v>
      </c>
    </row>
    <row r="16" spans="1:29" s="183" customFormat="1" ht="26.25" customHeight="1" x14ac:dyDescent="0.35">
      <c r="A16" s="199" t="s">
        <v>99</v>
      </c>
      <c r="B16" s="200">
        <f t="shared" si="12"/>
        <v>0</v>
      </c>
      <c r="C16" s="201">
        <v>0</v>
      </c>
      <c r="D16" s="202">
        <f>'Cronog Detalhado'!I40</f>
        <v>0</v>
      </c>
      <c r="E16" s="200">
        <f t="shared" si="2"/>
        <v>0</v>
      </c>
      <c r="F16" s="201">
        <f>'Cronog Detalhado'!K40</f>
        <v>0</v>
      </c>
      <c r="G16" s="202">
        <f>'Cronog Detalhado'!M40</f>
        <v>0</v>
      </c>
      <c r="H16" s="200">
        <f t="shared" si="13"/>
        <v>0</v>
      </c>
      <c r="I16" s="201">
        <f>'Cronog Detalhado'!O40</f>
        <v>0</v>
      </c>
      <c r="J16" s="202">
        <f>'Cronog Detalhado'!Q40</f>
        <v>0</v>
      </c>
      <c r="K16" s="200">
        <f t="shared" si="14"/>
        <v>5050000</v>
      </c>
      <c r="L16" s="201">
        <f>'Cronog Detalhado'!S40</f>
        <v>3450000</v>
      </c>
      <c r="M16" s="202">
        <f>'Cronog Detalhado'!U40</f>
        <v>1600000</v>
      </c>
      <c r="N16" s="200">
        <f t="shared" si="15"/>
        <v>0</v>
      </c>
      <c r="O16" s="201">
        <f>'Cronog Detalhado'!W40</f>
        <v>0</v>
      </c>
      <c r="P16" s="202">
        <f>'Cronog Detalhado'!Y40</f>
        <v>0</v>
      </c>
      <c r="Q16" s="200">
        <f t="shared" si="16"/>
        <v>0</v>
      </c>
      <c r="R16" s="201">
        <f>'Cronog Detalhado'!AA40</f>
        <v>0</v>
      </c>
      <c r="S16" s="202">
        <f>'Cronog Detalhado'!AC40</f>
        <v>0</v>
      </c>
      <c r="T16" s="200">
        <f t="shared" si="17"/>
        <v>5050000</v>
      </c>
      <c r="U16" s="201">
        <f t="shared" si="18"/>
        <v>3450000</v>
      </c>
      <c r="V16" s="202">
        <f t="shared" si="19"/>
        <v>1600000</v>
      </c>
    </row>
    <row r="17" spans="1:29" s="183" customFormat="1" ht="26.25" customHeight="1" x14ac:dyDescent="0.35">
      <c r="A17" s="199" t="s">
        <v>97</v>
      </c>
      <c r="B17" s="200">
        <f t="shared" si="12"/>
        <v>354131</v>
      </c>
      <c r="C17" s="201">
        <v>0</v>
      </c>
      <c r="D17" s="202">
        <f>'Cronog Detalhado'!I43</f>
        <v>354131</v>
      </c>
      <c r="E17" s="200">
        <f t="shared" si="2"/>
        <v>3429066</v>
      </c>
      <c r="F17" s="201">
        <f>'Cronog Detalhado'!K43</f>
        <v>2792840</v>
      </c>
      <c r="G17" s="202">
        <f>'Cronog Detalhado'!M43</f>
        <v>636226</v>
      </c>
      <c r="H17" s="200">
        <f t="shared" si="13"/>
        <v>3725276</v>
      </c>
      <c r="I17" s="201">
        <f>'Cronog Detalhado'!O43</f>
        <v>3089050</v>
      </c>
      <c r="J17" s="202">
        <f>'Cronog Detalhado'!Q43</f>
        <v>636226</v>
      </c>
      <c r="K17" s="200">
        <f t="shared" si="14"/>
        <v>3735483</v>
      </c>
      <c r="L17" s="201">
        <f>'Cronog Detalhado'!S43</f>
        <v>3097514</v>
      </c>
      <c r="M17" s="202">
        <f>'Cronog Detalhado'!U43</f>
        <v>637969</v>
      </c>
      <c r="N17" s="200">
        <f t="shared" si="15"/>
        <v>3725276</v>
      </c>
      <c r="O17" s="201">
        <f>'Cronog Detalhado'!W43</f>
        <v>3089050</v>
      </c>
      <c r="P17" s="202">
        <f>'Cronog Detalhado'!Y43</f>
        <v>636226</v>
      </c>
      <c r="Q17" s="200">
        <f t="shared" si="16"/>
        <v>2441768</v>
      </c>
      <c r="R17" s="201">
        <f>'Cronog Detalhado'!AA43</f>
        <v>2056546</v>
      </c>
      <c r="S17" s="202">
        <f>'Cronog Detalhado'!AC43</f>
        <v>385222</v>
      </c>
      <c r="T17" s="200">
        <f t="shared" si="17"/>
        <v>17411000</v>
      </c>
      <c r="U17" s="201">
        <f t="shared" si="18"/>
        <v>14125000</v>
      </c>
      <c r="V17" s="202">
        <f t="shared" si="19"/>
        <v>3286000</v>
      </c>
    </row>
    <row r="18" spans="1:29" s="198" customFormat="1" ht="26.25" customHeight="1" x14ac:dyDescent="0.35">
      <c r="A18" s="203" t="s">
        <v>66</v>
      </c>
      <c r="B18" s="194">
        <f t="shared" si="12"/>
        <v>0</v>
      </c>
      <c r="C18" s="195">
        <f t="shared" ref="C18:V18" si="20">SUM(C19:C20)</f>
        <v>0</v>
      </c>
      <c r="D18" s="196">
        <f t="shared" si="20"/>
        <v>0</v>
      </c>
      <c r="E18" s="194">
        <f t="shared" si="20"/>
        <v>2336942</v>
      </c>
      <c r="F18" s="195">
        <f t="shared" si="20"/>
        <v>1622206</v>
      </c>
      <c r="G18" s="196">
        <f t="shared" si="20"/>
        <v>714736</v>
      </c>
      <c r="H18" s="194">
        <f t="shared" si="20"/>
        <v>5116058</v>
      </c>
      <c r="I18" s="195">
        <f t="shared" si="20"/>
        <v>3509794</v>
      </c>
      <c r="J18" s="196">
        <f t="shared" si="20"/>
        <v>1606264</v>
      </c>
      <c r="K18" s="194">
        <f t="shared" si="20"/>
        <v>0</v>
      </c>
      <c r="L18" s="195">
        <f t="shared" si="20"/>
        <v>0</v>
      </c>
      <c r="M18" s="196">
        <f t="shared" si="20"/>
        <v>0</v>
      </c>
      <c r="N18" s="194">
        <f t="shared" si="20"/>
        <v>2954673</v>
      </c>
      <c r="O18" s="195">
        <f t="shared" si="20"/>
        <v>1961346</v>
      </c>
      <c r="P18" s="196">
        <f t="shared" si="20"/>
        <v>993327</v>
      </c>
      <c r="Q18" s="194">
        <f t="shared" si="20"/>
        <v>1715327</v>
      </c>
      <c r="R18" s="195">
        <f t="shared" si="20"/>
        <v>1138654</v>
      </c>
      <c r="S18" s="196">
        <f t="shared" si="20"/>
        <v>576673</v>
      </c>
      <c r="T18" s="194">
        <f t="shared" si="20"/>
        <v>12123000</v>
      </c>
      <c r="U18" s="195">
        <f t="shared" si="20"/>
        <v>8232000</v>
      </c>
      <c r="V18" s="196">
        <f t="shared" si="20"/>
        <v>3891000</v>
      </c>
      <c r="W18" s="197"/>
      <c r="X18" s="197"/>
      <c r="Y18" s="197"/>
      <c r="Z18" s="197"/>
      <c r="AA18" s="197"/>
      <c r="AB18" s="197"/>
      <c r="AC18" s="197"/>
    </row>
    <row r="19" spans="1:29" s="183" customFormat="1" ht="26.25" customHeight="1" x14ac:dyDescent="0.35">
      <c r="A19" s="205" t="s">
        <v>67</v>
      </c>
      <c r="B19" s="200">
        <f t="shared" si="12"/>
        <v>0</v>
      </c>
      <c r="C19" s="201">
        <v>0</v>
      </c>
      <c r="D19" s="202">
        <f>'Cronog Detalhado'!I45</f>
        <v>0</v>
      </c>
      <c r="E19" s="200">
        <f t="shared" si="2"/>
        <v>1818442</v>
      </c>
      <c r="F19" s="201">
        <f>'Cronog Detalhado'!K45</f>
        <v>1282206</v>
      </c>
      <c r="G19" s="202">
        <f>'Cronog Detalhado'!M45</f>
        <v>536236</v>
      </c>
      <c r="H19" s="200">
        <f t="shared" ref="H19:H20" si="21">I19+J19</f>
        <v>2889558</v>
      </c>
      <c r="I19" s="201">
        <f>'Cronog Detalhado'!O45</f>
        <v>2049794</v>
      </c>
      <c r="J19" s="202">
        <f>'Cronog Detalhado'!Q45</f>
        <v>839764</v>
      </c>
      <c r="K19" s="200">
        <f t="shared" ref="K19:K20" si="22">L19+M19</f>
        <v>0</v>
      </c>
      <c r="L19" s="201">
        <f>'Cronog Detalhado'!S45</f>
        <v>0</v>
      </c>
      <c r="M19" s="202">
        <f>'Cronog Detalhado'!U45</f>
        <v>0</v>
      </c>
      <c r="N19" s="200">
        <f t="shared" ref="N19:N20" si="23">O19+P19</f>
        <v>2954673</v>
      </c>
      <c r="O19" s="201">
        <f>'Cronog Detalhado'!W45</f>
        <v>1961346</v>
      </c>
      <c r="P19" s="202">
        <f>'Cronog Detalhado'!Y45</f>
        <v>993327</v>
      </c>
      <c r="Q19" s="200">
        <f t="shared" ref="Q19:Q20" si="24">R19+S19</f>
        <v>1715327</v>
      </c>
      <c r="R19" s="201">
        <f>'Cronog Detalhado'!AA45</f>
        <v>1138654</v>
      </c>
      <c r="S19" s="202">
        <f>'Cronog Detalhado'!AC45</f>
        <v>576673</v>
      </c>
      <c r="T19" s="200">
        <f t="shared" ref="T19:T20" si="25">B19+E19+H19+K19+N19+Q19</f>
        <v>9378000</v>
      </c>
      <c r="U19" s="201">
        <f t="shared" ref="U19:U20" si="26">C19+F19+I19+L19+O19+R19</f>
        <v>6432000</v>
      </c>
      <c r="V19" s="202">
        <f t="shared" ref="V19:V20" si="27">D19+G19+J19+M19+P19+S19</f>
        <v>2946000</v>
      </c>
    </row>
    <row r="20" spans="1:29" s="183" customFormat="1" ht="26.25" customHeight="1" x14ac:dyDescent="0.35">
      <c r="A20" s="199" t="s">
        <v>74</v>
      </c>
      <c r="B20" s="200">
        <f t="shared" si="12"/>
        <v>0</v>
      </c>
      <c r="C20" s="201">
        <v>0</v>
      </c>
      <c r="D20" s="202">
        <f>'Cronog Detalhado'!I52</f>
        <v>0</v>
      </c>
      <c r="E20" s="200">
        <f t="shared" si="2"/>
        <v>518500</v>
      </c>
      <c r="F20" s="201">
        <f>'Cronog Detalhado'!K52</f>
        <v>340000</v>
      </c>
      <c r="G20" s="202">
        <f>'Cronog Detalhado'!M52</f>
        <v>178500</v>
      </c>
      <c r="H20" s="200">
        <f t="shared" si="21"/>
        <v>2226500</v>
      </c>
      <c r="I20" s="201">
        <f>'Cronog Detalhado'!O52</f>
        <v>1460000</v>
      </c>
      <c r="J20" s="202">
        <f>'Cronog Detalhado'!Q52</f>
        <v>766500</v>
      </c>
      <c r="K20" s="200">
        <f t="shared" si="22"/>
        <v>0</v>
      </c>
      <c r="L20" s="201">
        <f>'Cronog Detalhado'!S52</f>
        <v>0</v>
      </c>
      <c r="M20" s="202">
        <f>'Cronog Detalhado'!U52</f>
        <v>0</v>
      </c>
      <c r="N20" s="200">
        <f t="shared" si="23"/>
        <v>0</v>
      </c>
      <c r="O20" s="201">
        <f>'Cronog Detalhado'!W52</f>
        <v>0</v>
      </c>
      <c r="P20" s="202">
        <f>'Cronog Detalhado'!Y52</f>
        <v>0</v>
      </c>
      <c r="Q20" s="200">
        <f t="shared" si="24"/>
        <v>0</v>
      </c>
      <c r="R20" s="201">
        <f>'Cronog Detalhado'!AA52</f>
        <v>0</v>
      </c>
      <c r="S20" s="202">
        <f>'Cronog Detalhado'!AC52</f>
        <v>0</v>
      </c>
      <c r="T20" s="200">
        <f t="shared" si="25"/>
        <v>2745000</v>
      </c>
      <c r="U20" s="201">
        <f t="shared" si="26"/>
        <v>1800000</v>
      </c>
      <c r="V20" s="202">
        <f t="shared" si="27"/>
        <v>945000</v>
      </c>
    </row>
    <row r="21" spans="1:29" s="198" customFormat="1" ht="26.25" customHeight="1" x14ac:dyDescent="0.35">
      <c r="A21" s="203" t="s">
        <v>77</v>
      </c>
      <c r="B21" s="194">
        <f t="shared" si="12"/>
        <v>1178870</v>
      </c>
      <c r="C21" s="195">
        <f t="shared" ref="C21:T21" si="28">SUM(C22)</f>
        <v>0</v>
      </c>
      <c r="D21" s="195">
        <f t="shared" si="28"/>
        <v>1178870</v>
      </c>
      <c r="E21" s="194">
        <f t="shared" si="28"/>
        <v>2987072</v>
      </c>
      <c r="F21" s="195">
        <f t="shared" si="28"/>
        <v>0</v>
      </c>
      <c r="G21" s="206">
        <f t="shared" si="28"/>
        <v>2987072</v>
      </c>
      <c r="H21" s="194">
        <f t="shared" si="28"/>
        <v>2987072</v>
      </c>
      <c r="I21" s="195">
        <f t="shared" si="28"/>
        <v>0</v>
      </c>
      <c r="J21" s="206">
        <f t="shared" si="28"/>
        <v>2987072</v>
      </c>
      <c r="K21" s="194">
        <f t="shared" si="28"/>
        <v>2626986</v>
      </c>
      <c r="L21" s="195">
        <f t="shared" si="28"/>
        <v>0</v>
      </c>
      <c r="M21" s="206">
        <f t="shared" si="28"/>
        <v>2626986</v>
      </c>
      <c r="N21" s="194">
        <f t="shared" si="28"/>
        <v>0</v>
      </c>
      <c r="O21" s="195">
        <f t="shared" si="28"/>
        <v>0</v>
      </c>
      <c r="P21" s="206">
        <f t="shared" si="28"/>
        <v>0</v>
      </c>
      <c r="Q21" s="194">
        <f t="shared" si="28"/>
        <v>0</v>
      </c>
      <c r="R21" s="195">
        <f t="shared" si="28"/>
        <v>0</v>
      </c>
      <c r="S21" s="219">
        <f t="shared" si="28"/>
        <v>0</v>
      </c>
      <c r="T21" s="194">
        <f t="shared" si="28"/>
        <v>9780000</v>
      </c>
      <c r="U21" s="195">
        <f t="shared" ref="U21:V21" si="29">SUM(U22)</f>
        <v>0</v>
      </c>
      <c r="V21" s="196">
        <f t="shared" si="29"/>
        <v>9780000</v>
      </c>
      <c r="W21" s="197"/>
      <c r="X21" s="197"/>
      <c r="Y21" s="197"/>
      <c r="Z21" s="197"/>
      <c r="AA21" s="197"/>
      <c r="AB21" s="197"/>
      <c r="AC21" s="197"/>
    </row>
    <row r="22" spans="1:29" s="183" customFormat="1" ht="26.25" customHeight="1" x14ac:dyDescent="0.35">
      <c r="A22" s="199" t="s">
        <v>78</v>
      </c>
      <c r="B22" s="200">
        <f t="shared" si="12"/>
        <v>1178870</v>
      </c>
      <c r="C22" s="201">
        <v>0</v>
      </c>
      <c r="D22" s="202">
        <f>'Cronog Detalhado'!I56</f>
        <v>1178870</v>
      </c>
      <c r="E22" s="200">
        <f t="shared" si="2"/>
        <v>2987072</v>
      </c>
      <c r="F22" s="201">
        <f>'Cronog Detalhado'!K56</f>
        <v>0</v>
      </c>
      <c r="G22" s="202">
        <f>'Cronog Detalhado'!M56</f>
        <v>2987072</v>
      </c>
      <c r="H22" s="200">
        <f t="shared" ref="H22:H23" si="30">I22+J22</f>
        <v>2987072</v>
      </c>
      <c r="I22" s="201">
        <f>'Cronog Detalhado'!O56</f>
        <v>0</v>
      </c>
      <c r="J22" s="202">
        <f>'Cronog Detalhado'!Q56</f>
        <v>2987072</v>
      </c>
      <c r="K22" s="200">
        <f t="shared" ref="K22:K23" si="31">L22+M22</f>
        <v>2626986</v>
      </c>
      <c r="L22" s="201">
        <f>'Cronog Detalhado'!S56</f>
        <v>0</v>
      </c>
      <c r="M22" s="202">
        <f>'Cronog Detalhado'!U56</f>
        <v>2626986</v>
      </c>
      <c r="N22" s="200">
        <f t="shared" ref="N22:N23" si="32">O22+P22</f>
        <v>0</v>
      </c>
      <c r="O22" s="201">
        <f>'Cronog Detalhado'!W56</f>
        <v>0</v>
      </c>
      <c r="P22" s="202">
        <f>'Cronog Detalhado'!Y56</f>
        <v>0</v>
      </c>
      <c r="Q22" s="200">
        <f t="shared" ref="Q22:Q23" si="33">R22+S22</f>
        <v>0</v>
      </c>
      <c r="R22" s="201">
        <f>'Cronog Detalhado'!AA56</f>
        <v>0</v>
      </c>
      <c r="S22" s="202">
        <f>'Cronog Detalhado'!AC56</f>
        <v>0</v>
      </c>
      <c r="T22" s="200">
        <f t="shared" ref="T22:T23" si="34">B22+E22+H22+K22+N22+Q22</f>
        <v>9780000</v>
      </c>
      <c r="U22" s="201">
        <f t="shared" ref="U22:U23" si="35">C22+F22+I22+L22+O22+R22</f>
        <v>0</v>
      </c>
      <c r="V22" s="202">
        <f t="shared" ref="V22:V23" si="36">D22+G22+J22+M22+P22+S22</f>
        <v>9780000</v>
      </c>
    </row>
    <row r="23" spans="1:29" s="204" customFormat="1" ht="26.25" customHeight="1" x14ac:dyDescent="0.35">
      <c r="A23" s="203" t="s">
        <v>79</v>
      </c>
      <c r="B23" s="194">
        <f t="shared" si="12"/>
        <v>113854</v>
      </c>
      <c r="C23" s="195">
        <v>0</v>
      </c>
      <c r="D23" s="196">
        <f>'Cronog Detalhado'!I57</f>
        <v>113854</v>
      </c>
      <c r="E23" s="194">
        <f t="shared" si="2"/>
        <v>1725573</v>
      </c>
      <c r="F23" s="195">
        <f>'Cronog Detalhado'!K57</f>
        <v>1220930</v>
      </c>
      <c r="G23" s="196">
        <f>'Cronog Detalhado'!M57</f>
        <v>504643</v>
      </c>
      <c r="H23" s="194">
        <f t="shared" si="30"/>
        <v>1873797</v>
      </c>
      <c r="I23" s="195">
        <f>'Cronog Detalhado'!O57</f>
        <v>1369154</v>
      </c>
      <c r="J23" s="196">
        <f>'Cronog Detalhado'!Q57</f>
        <v>504643</v>
      </c>
      <c r="K23" s="194">
        <f t="shared" si="31"/>
        <v>1878931</v>
      </c>
      <c r="L23" s="195">
        <f>'Cronog Detalhado'!S57</f>
        <v>1372906</v>
      </c>
      <c r="M23" s="196">
        <f>'Cronog Detalhado'!U57</f>
        <v>506025</v>
      </c>
      <c r="N23" s="194">
        <f t="shared" si="32"/>
        <v>1873797</v>
      </c>
      <c r="O23" s="195">
        <f>'Cronog Detalhado'!W57</f>
        <v>1369154</v>
      </c>
      <c r="P23" s="196">
        <f>'Cronog Detalhado'!Y57</f>
        <v>504643</v>
      </c>
      <c r="Q23" s="194">
        <f t="shared" si="33"/>
        <v>1653048</v>
      </c>
      <c r="R23" s="195">
        <f>'Cronog Detalhado'!AA57</f>
        <v>1207856</v>
      </c>
      <c r="S23" s="196">
        <f>'Cronog Detalhado'!AC57</f>
        <v>445192</v>
      </c>
      <c r="T23" s="194">
        <f t="shared" si="34"/>
        <v>9119000</v>
      </c>
      <c r="U23" s="195">
        <f t="shared" si="35"/>
        <v>6540000</v>
      </c>
      <c r="V23" s="196">
        <f t="shared" si="36"/>
        <v>2579000</v>
      </c>
      <c r="W23" s="183"/>
      <c r="X23" s="183"/>
      <c r="Y23" s="183"/>
      <c r="Z23" s="183"/>
      <c r="AA23" s="183"/>
      <c r="AB23" s="183"/>
      <c r="AC23" s="183"/>
    </row>
    <row r="24" spans="1:29" s="211" customFormat="1" ht="26.25" customHeight="1" thickBot="1" x14ac:dyDescent="0.4">
      <c r="A24" s="207" t="s">
        <v>83</v>
      </c>
      <c r="B24" s="208">
        <f t="shared" ref="B24:S24" si="37">B21+B18+B11+B9+B23</f>
        <v>30231664</v>
      </c>
      <c r="C24" s="209">
        <f t="shared" si="37"/>
        <v>0</v>
      </c>
      <c r="D24" s="210">
        <f t="shared" si="37"/>
        <v>30231664</v>
      </c>
      <c r="E24" s="208">
        <f t="shared" si="37"/>
        <v>138705938</v>
      </c>
      <c r="F24" s="209">
        <f t="shared" si="37"/>
        <v>52667659</v>
      </c>
      <c r="G24" s="210">
        <f t="shared" si="37"/>
        <v>86038279</v>
      </c>
      <c r="H24" s="208">
        <f t="shared" si="37"/>
        <v>151000829</v>
      </c>
      <c r="I24" s="209">
        <f t="shared" si="37"/>
        <v>89463723</v>
      </c>
      <c r="J24" s="210">
        <f t="shared" si="37"/>
        <v>61537106</v>
      </c>
      <c r="K24" s="208">
        <f t="shared" si="37"/>
        <v>60200146</v>
      </c>
      <c r="L24" s="209">
        <f t="shared" si="37"/>
        <v>46131776</v>
      </c>
      <c r="M24" s="210">
        <f t="shared" si="37"/>
        <v>14068370</v>
      </c>
      <c r="N24" s="208">
        <f t="shared" si="37"/>
        <v>34539148</v>
      </c>
      <c r="O24" s="209">
        <f t="shared" si="37"/>
        <v>29438418</v>
      </c>
      <c r="P24" s="210">
        <f t="shared" si="37"/>
        <v>5100730</v>
      </c>
      <c r="Q24" s="208">
        <f t="shared" si="37"/>
        <v>20322275</v>
      </c>
      <c r="R24" s="209">
        <f t="shared" si="37"/>
        <v>17298424</v>
      </c>
      <c r="S24" s="210">
        <f t="shared" si="37"/>
        <v>3023851</v>
      </c>
      <c r="T24" s="208">
        <f>T9+T11+T18+T21+T23</f>
        <v>435000000</v>
      </c>
      <c r="U24" s="209">
        <f t="shared" ref="U24:V24" si="38">U9+U11+U18+U21+U23</f>
        <v>235000000</v>
      </c>
      <c r="V24" s="209">
        <f t="shared" si="38"/>
        <v>200000000</v>
      </c>
      <c r="W24" s="197"/>
      <c r="X24" s="197"/>
      <c r="Y24" s="197"/>
      <c r="Z24" s="197"/>
      <c r="AA24" s="197"/>
      <c r="AB24" s="197"/>
      <c r="AC24" s="197"/>
    </row>
    <row r="25" spans="1:29" ht="26.25" customHeight="1" x14ac:dyDescent="0.3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82"/>
      <c r="S25" s="182"/>
      <c r="T25" s="178"/>
      <c r="W25" s="183"/>
      <c r="X25" s="183"/>
      <c r="Y25" s="183"/>
      <c r="Z25" s="183"/>
      <c r="AA25" s="183"/>
      <c r="AB25" s="183"/>
      <c r="AC25" s="183"/>
    </row>
    <row r="26" spans="1:29" s="211" customFormat="1" ht="26.25" customHeight="1" x14ac:dyDescent="0.35">
      <c r="A26" s="212"/>
      <c r="B26" s="272" t="s">
        <v>85</v>
      </c>
      <c r="C26" s="273"/>
      <c r="D26" s="274"/>
      <c r="E26" s="272" t="s">
        <v>12</v>
      </c>
      <c r="F26" s="273"/>
      <c r="G26" s="274"/>
      <c r="H26" s="272" t="s">
        <v>13</v>
      </c>
      <c r="I26" s="273"/>
      <c r="J26" s="274"/>
      <c r="K26" s="272" t="s">
        <v>14</v>
      </c>
      <c r="L26" s="273"/>
      <c r="M26" s="274"/>
      <c r="N26" s="272" t="s">
        <v>15</v>
      </c>
      <c r="O26" s="273"/>
      <c r="P26" s="274"/>
      <c r="Q26" s="272" t="s">
        <v>16</v>
      </c>
      <c r="R26" s="273"/>
      <c r="S26" s="274"/>
      <c r="T26" s="213" t="s">
        <v>6</v>
      </c>
      <c r="U26" s="187"/>
      <c r="V26" s="187"/>
      <c r="W26" s="197"/>
      <c r="X26" s="197"/>
      <c r="Y26" s="197"/>
      <c r="Z26" s="197"/>
      <c r="AA26" s="197"/>
      <c r="AB26" s="197"/>
      <c r="AC26" s="197"/>
    </row>
    <row r="27" spans="1:29" ht="26.25" customHeight="1" x14ac:dyDescent="0.35">
      <c r="A27" s="214" t="s">
        <v>7</v>
      </c>
      <c r="B27" s="275">
        <f>C24</f>
        <v>0</v>
      </c>
      <c r="C27" s="276"/>
      <c r="D27" s="277"/>
      <c r="E27" s="275">
        <f>F24</f>
        <v>52667659</v>
      </c>
      <c r="F27" s="276"/>
      <c r="G27" s="277"/>
      <c r="H27" s="275">
        <f>I24</f>
        <v>89463723</v>
      </c>
      <c r="I27" s="276"/>
      <c r="J27" s="277"/>
      <c r="K27" s="275">
        <f>L24</f>
        <v>46131776</v>
      </c>
      <c r="L27" s="276"/>
      <c r="M27" s="277"/>
      <c r="N27" s="275">
        <f>O24</f>
        <v>29438418</v>
      </c>
      <c r="O27" s="276"/>
      <c r="P27" s="277"/>
      <c r="Q27" s="275">
        <f>R24</f>
        <v>17298424</v>
      </c>
      <c r="R27" s="276"/>
      <c r="S27" s="277"/>
      <c r="T27" s="215">
        <f>SUM(B27:Q27)</f>
        <v>235000000</v>
      </c>
      <c r="W27" s="183"/>
      <c r="X27" s="183"/>
      <c r="Y27" s="183"/>
      <c r="Z27" s="183"/>
      <c r="AA27" s="183"/>
      <c r="AB27" s="183"/>
      <c r="AC27" s="183"/>
    </row>
    <row r="28" spans="1:29" ht="26.25" customHeight="1" x14ac:dyDescent="0.35">
      <c r="A28" s="214" t="s">
        <v>88</v>
      </c>
      <c r="B28" s="275">
        <f>D24</f>
        <v>30231664</v>
      </c>
      <c r="C28" s="276"/>
      <c r="D28" s="277"/>
      <c r="E28" s="275">
        <f>G24</f>
        <v>86038279</v>
      </c>
      <c r="F28" s="276"/>
      <c r="G28" s="277"/>
      <c r="H28" s="275">
        <f>J24</f>
        <v>61537106</v>
      </c>
      <c r="I28" s="276"/>
      <c r="J28" s="277"/>
      <c r="K28" s="275">
        <f>M24</f>
        <v>14068370</v>
      </c>
      <c r="L28" s="276"/>
      <c r="M28" s="277"/>
      <c r="N28" s="275">
        <f>P24</f>
        <v>5100730</v>
      </c>
      <c r="O28" s="276"/>
      <c r="P28" s="277"/>
      <c r="Q28" s="275">
        <f>S24</f>
        <v>3023851</v>
      </c>
      <c r="R28" s="276"/>
      <c r="S28" s="277"/>
      <c r="T28" s="215">
        <f>SUM(B28:Q28)</f>
        <v>200000000</v>
      </c>
      <c r="W28" s="183"/>
      <c r="X28" s="183"/>
      <c r="Y28" s="183"/>
      <c r="Z28" s="183"/>
      <c r="AA28" s="183"/>
      <c r="AB28" s="183"/>
      <c r="AC28" s="183"/>
    </row>
    <row r="29" spans="1:29" ht="26.25" customHeight="1" x14ac:dyDescent="0.35">
      <c r="A29" s="214" t="s">
        <v>10</v>
      </c>
      <c r="B29" s="275">
        <f>B27+B28</f>
        <v>30231664</v>
      </c>
      <c r="C29" s="276"/>
      <c r="D29" s="277"/>
      <c r="E29" s="275">
        <f t="shared" ref="E29" si="39">E27+E28</f>
        <v>138705938</v>
      </c>
      <c r="F29" s="276"/>
      <c r="G29" s="277"/>
      <c r="H29" s="275">
        <f t="shared" ref="H29" si="40">H27+H28</f>
        <v>151000829</v>
      </c>
      <c r="I29" s="276"/>
      <c r="J29" s="277"/>
      <c r="K29" s="275">
        <f t="shared" ref="K29" si="41">K27+K28</f>
        <v>60200146</v>
      </c>
      <c r="L29" s="276"/>
      <c r="M29" s="277"/>
      <c r="N29" s="275">
        <f t="shared" ref="N29" si="42">N27+N28</f>
        <v>34539148</v>
      </c>
      <c r="O29" s="276"/>
      <c r="P29" s="277"/>
      <c r="Q29" s="275">
        <f t="shared" ref="Q29" si="43">Q27+Q28</f>
        <v>20322275</v>
      </c>
      <c r="R29" s="276"/>
      <c r="S29" s="277"/>
      <c r="T29" s="215">
        <f>SUM(B29:Q29)</f>
        <v>435000000</v>
      </c>
      <c r="W29" s="183"/>
      <c r="X29" s="183"/>
      <c r="Y29" s="183"/>
      <c r="Z29" s="183"/>
      <c r="AA29" s="183"/>
      <c r="AB29" s="183"/>
      <c r="AC29" s="183"/>
    </row>
    <row r="30" spans="1:29" s="181" customFormat="1" ht="26.25" customHeight="1" x14ac:dyDescent="0.35">
      <c r="A30" s="216" t="s">
        <v>8</v>
      </c>
      <c r="B30" s="278">
        <f>B27/B$29</f>
        <v>0</v>
      </c>
      <c r="C30" s="279"/>
      <c r="D30" s="280"/>
      <c r="E30" s="278">
        <f t="shared" ref="E30" si="44">E27/E$29</f>
        <v>0.37970731289095927</v>
      </c>
      <c r="F30" s="279"/>
      <c r="G30" s="280"/>
      <c r="H30" s="278">
        <f t="shared" ref="H30" si="45">H27/H$29</f>
        <v>0.59247173404591047</v>
      </c>
      <c r="I30" s="279"/>
      <c r="J30" s="280"/>
      <c r="K30" s="278">
        <f t="shared" ref="K30" si="46">K27/K$29</f>
        <v>0.76630671294385233</v>
      </c>
      <c r="L30" s="279"/>
      <c r="M30" s="280"/>
      <c r="N30" s="278">
        <f t="shared" ref="N30" si="47">N27/N$29</f>
        <v>0.8523203293839211</v>
      </c>
      <c r="O30" s="279"/>
      <c r="P30" s="280"/>
      <c r="Q30" s="278">
        <f t="shared" ref="Q30" si="48">Q27/Q$29</f>
        <v>0.8512050939178808</v>
      </c>
      <c r="R30" s="279"/>
      <c r="S30" s="280"/>
      <c r="T30" s="217">
        <f>T27/T29</f>
        <v>0.54022988505747127</v>
      </c>
      <c r="W30" s="183"/>
      <c r="X30" s="183"/>
      <c r="Y30" s="183"/>
    </row>
    <row r="31" spans="1:29" s="181" customFormat="1" ht="26.25" customHeight="1" x14ac:dyDescent="0.35">
      <c r="A31" s="216" t="s">
        <v>9</v>
      </c>
      <c r="B31" s="278">
        <f>B28/B$29</f>
        <v>1</v>
      </c>
      <c r="C31" s="279"/>
      <c r="D31" s="280"/>
      <c r="E31" s="278">
        <f t="shared" ref="E31" si="49">E28/E$29</f>
        <v>0.62029268710904073</v>
      </c>
      <c r="F31" s="279"/>
      <c r="G31" s="280"/>
      <c r="H31" s="278">
        <f t="shared" ref="H31" si="50">H28/H$29</f>
        <v>0.40752826595408959</v>
      </c>
      <c r="I31" s="279"/>
      <c r="J31" s="280"/>
      <c r="K31" s="278">
        <f t="shared" ref="K31" si="51">K28/K$29</f>
        <v>0.23369328705614767</v>
      </c>
      <c r="L31" s="279"/>
      <c r="M31" s="280"/>
      <c r="N31" s="278">
        <f t="shared" ref="N31" si="52">N28/N$29</f>
        <v>0.1476796706160789</v>
      </c>
      <c r="O31" s="279"/>
      <c r="P31" s="280"/>
      <c r="Q31" s="278">
        <f t="shared" ref="Q31" si="53">Q28/Q$29</f>
        <v>0.14879490608211926</v>
      </c>
      <c r="R31" s="279"/>
      <c r="S31" s="280"/>
      <c r="T31" s="217">
        <f>T28/T29</f>
        <v>0.45977011494252873</v>
      </c>
      <c r="W31" s="183"/>
      <c r="X31" s="183"/>
      <c r="Y31" s="183"/>
    </row>
    <row r="32" spans="1:29" s="181" customFormat="1" ht="26.25" customHeight="1" x14ac:dyDescent="0.35">
      <c r="A32" s="214" t="s">
        <v>11</v>
      </c>
      <c r="B32" s="278">
        <f>B24/$T$24</f>
        <v>6.9498078160919546E-2</v>
      </c>
      <c r="C32" s="279"/>
      <c r="D32" s="280"/>
      <c r="E32" s="278">
        <f t="shared" ref="E32" si="54">E24/$T$24</f>
        <v>0.31886422528735631</v>
      </c>
      <c r="F32" s="279"/>
      <c r="G32" s="280"/>
      <c r="H32" s="278">
        <f t="shared" ref="H32" si="55">H24/$T$24</f>
        <v>0.34712834252873565</v>
      </c>
      <c r="I32" s="279"/>
      <c r="J32" s="280"/>
      <c r="K32" s="278">
        <f t="shared" ref="K32" si="56">K24/$T$24</f>
        <v>0.13839114022988505</v>
      </c>
      <c r="L32" s="279"/>
      <c r="M32" s="280"/>
      <c r="N32" s="278">
        <f t="shared" ref="N32" si="57">N24/$T$24</f>
        <v>7.9400340229885055E-2</v>
      </c>
      <c r="O32" s="279"/>
      <c r="P32" s="280"/>
      <c r="Q32" s="278">
        <f t="shared" ref="Q32" si="58">Q24/$T$24</f>
        <v>4.6717873563218389E-2</v>
      </c>
      <c r="R32" s="279"/>
      <c r="S32" s="280"/>
      <c r="T32" s="217">
        <f>SUM(B32:Q32)</f>
        <v>1</v>
      </c>
      <c r="W32" s="183"/>
      <c r="X32" s="183"/>
      <c r="Y32" s="183"/>
    </row>
    <row r="33" spans="1:25" s="181" customFormat="1" ht="26.25" customHeight="1" x14ac:dyDescent="0.35">
      <c r="A33" s="180"/>
      <c r="B33" s="180"/>
      <c r="C33" s="180"/>
      <c r="D33" s="180"/>
      <c r="E33" s="218"/>
      <c r="F33" s="218"/>
      <c r="G33" s="218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3"/>
      <c r="S33" s="183"/>
      <c r="T33" s="180"/>
      <c r="W33" s="183"/>
      <c r="X33" s="183"/>
      <c r="Y33" s="183"/>
    </row>
    <row r="34" spans="1:25" s="181" customFormat="1" x14ac:dyDescent="0.3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82"/>
      <c r="S34" s="182"/>
      <c r="T34" s="180"/>
      <c r="W34" s="183"/>
      <c r="X34" s="183"/>
      <c r="Y34" s="183"/>
    </row>
    <row r="35" spans="1:25" s="181" customFormat="1" x14ac:dyDescent="0.3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82"/>
      <c r="S35" s="182"/>
      <c r="T35" s="180"/>
      <c r="W35" s="183"/>
      <c r="X35" s="183"/>
      <c r="Y35" s="183"/>
    </row>
  </sheetData>
  <mergeCells count="50">
    <mergeCell ref="B27:D27"/>
    <mergeCell ref="B28:D28"/>
    <mergeCell ref="B7:D7"/>
    <mergeCell ref="T7:V7"/>
    <mergeCell ref="A7:A8"/>
    <mergeCell ref="B26:D26"/>
    <mergeCell ref="E26:G26"/>
    <mergeCell ref="H26:J26"/>
    <mergeCell ref="K26:M26"/>
    <mergeCell ref="N26:P26"/>
    <mergeCell ref="E7:G7"/>
    <mergeCell ref="H7:J7"/>
    <mergeCell ref="K7:M7"/>
    <mergeCell ref="N7:P7"/>
    <mergeCell ref="Q7:S7"/>
    <mergeCell ref="B29:D29"/>
    <mergeCell ref="B30:D30"/>
    <mergeCell ref="B31:D31"/>
    <mergeCell ref="H32:J32"/>
    <mergeCell ref="E27:G27"/>
    <mergeCell ref="E28:G28"/>
    <mergeCell ref="E29:G29"/>
    <mergeCell ref="E30:G30"/>
    <mergeCell ref="E31:G31"/>
    <mergeCell ref="E32:G32"/>
    <mergeCell ref="H27:J27"/>
    <mergeCell ref="H28:J28"/>
    <mergeCell ref="H29:J29"/>
    <mergeCell ref="H30:J30"/>
    <mergeCell ref="H31:J31"/>
    <mergeCell ref="B32:D32"/>
    <mergeCell ref="N32:P32"/>
    <mergeCell ref="K27:M27"/>
    <mergeCell ref="K28:M28"/>
    <mergeCell ref="K29:M29"/>
    <mergeCell ref="K30:M30"/>
    <mergeCell ref="K31:M31"/>
    <mergeCell ref="K32:M32"/>
    <mergeCell ref="N27:P27"/>
    <mergeCell ref="N28:P28"/>
    <mergeCell ref="N29:P29"/>
    <mergeCell ref="N30:P30"/>
    <mergeCell ref="N31:P31"/>
    <mergeCell ref="Q32:S32"/>
    <mergeCell ref="Q26:S26"/>
    <mergeCell ref="Q27:S27"/>
    <mergeCell ref="Q28:S28"/>
    <mergeCell ref="Q29:S29"/>
    <mergeCell ref="Q30:S30"/>
    <mergeCell ref="Q31:S31"/>
  </mergeCells>
  <pageMargins left="0.511811024" right="0.511811024" top="0.78740157499999996" bottom="0.78740157499999996" header="0.31496062000000002" footer="0.31496062000000002"/>
  <pageSetup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Z74"/>
  <sheetViews>
    <sheetView zoomScale="70" zoomScaleNormal="70" zoomScaleSheetLayoutView="85" workbookViewId="0">
      <selection activeCell="A60" sqref="A60"/>
    </sheetView>
  </sheetViews>
  <sheetFormatPr defaultRowHeight="21" customHeight="1" outlineLevelRow="4" x14ac:dyDescent="0.35"/>
  <cols>
    <col min="1" max="1" width="60.19921875" style="1" customWidth="1"/>
    <col min="2" max="2" width="14.59765625" style="229" customWidth="1"/>
    <col min="3" max="3" width="7.19921875" style="256" bestFit="1" customWidth="1"/>
    <col min="4" max="4" width="14.8984375" style="229" customWidth="1"/>
    <col min="5" max="5" width="7.19921875" style="256" bestFit="1" customWidth="1"/>
    <col min="6" max="6" width="15.69921875" style="229" bestFit="1" customWidth="1"/>
    <col min="7" max="7" width="7.296875" style="2" customWidth="1"/>
    <col min="8" max="8" width="1.796875" style="1" customWidth="1"/>
    <col min="9" max="9" width="12.3984375" style="2" customWidth="1"/>
    <col min="10" max="10" width="5.59765625" style="2" customWidth="1"/>
    <col min="11" max="11" width="11.59765625" style="2" customWidth="1"/>
    <col min="12" max="12" width="4.59765625" style="2" customWidth="1"/>
    <col min="13" max="13" width="12.796875" style="2" customWidth="1"/>
    <col min="14" max="14" width="5.59765625" style="2" customWidth="1"/>
    <col min="15" max="15" width="12.69921875" style="2" customWidth="1"/>
    <col min="16" max="16" width="5.59765625" style="2" customWidth="1"/>
    <col min="17" max="17" width="12.8984375" style="2" customWidth="1"/>
    <col min="18" max="18" width="4.59765625" style="2" customWidth="1"/>
    <col min="19" max="19" width="12.19921875" style="2" customWidth="1"/>
    <col min="20" max="20" width="4.59765625" style="2" customWidth="1"/>
    <col min="21" max="21" width="11.19921875" style="2" customWidth="1"/>
    <col min="22" max="22" width="4.59765625" style="2" customWidth="1"/>
    <col min="23" max="23" width="12.8984375" style="2" customWidth="1"/>
    <col min="24" max="24" width="4.59765625" style="2" customWidth="1"/>
    <col min="25" max="25" width="12.8984375" style="2" customWidth="1"/>
    <col min="26" max="26" width="4.59765625" style="2" customWidth="1"/>
    <col min="27" max="27" width="12.796875" style="2" customWidth="1"/>
    <col min="28" max="28" width="4.59765625" style="132" customWidth="1"/>
    <col min="29" max="29" width="12.796875" style="132" customWidth="1"/>
    <col min="30" max="30" width="5" style="132" customWidth="1"/>
    <col min="31" max="31" width="15.3984375" style="132" customWidth="1"/>
    <col min="32" max="32" width="5.59765625" style="132" bestFit="1" customWidth="1"/>
    <col min="33" max="33" width="15.19921875" style="132" customWidth="1"/>
    <col min="34" max="34" width="5.59765625" style="132" bestFit="1" customWidth="1"/>
    <col min="35" max="35" width="15.19921875" style="132" customWidth="1"/>
    <col min="36" max="37" width="12.796875" style="132" hidden="1" customWidth="1"/>
    <col min="38" max="38" width="12.796875" style="132" customWidth="1"/>
    <col min="39" max="44" width="14.19921875" style="1" customWidth="1"/>
    <col min="45" max="45" width="14.19921875" style="229" customWidth="1"/>
    <col min="46" max="52" width="14.19921875" style="1" customWidth="1"/>
    <col min="53" max="79" width="8.8984375" style="1" customWidth="1"/>
    <col min="80" max="248" width="8.8984375" style="1"/>
    <col min="249" max="249" width="71.3984375" style="1" customWidth="1"/>
    <col min="250" max="250" width="12.8984375" style="1" customWidth="1"/>
    <col min="251" max="251" width="6" style="1" customWidth="1"/>
    <col min="252" max="252" width="12.8984375" style="1" customWidth="1"/>
    <col min="253" max="253" width="6.796875" style="1" customWidth="1"/>
    <col min="254" max="254" width="12.8984375" style="1" customWidth="1"/>
    <col min="255" max="255" width="6.3984375" style="1" customWidth="1"/>
    <col min="256" max="256" width="1.796875" style="1" customWidth="1"/>
    <col min="257" max="257" width="11.19921875" style="1" customWidth="1"/>
    <col min="258" max="258" width="5.69921875" style="1" customWidth="1"/>
    <col min="259" max="259" width="11.59765625" style="1" customWidth="1"/>
    <col min="260" max="260" width="5.296875" style="1" customWidth="1"/>
    <col min="261" max="261" width="11.59765625" style="1" customWidth="1"/>
    <col min="262" max="262" width="5.69921875" style="1" bestFit="1" customWidth="1"/>
    <col min="263" max="263" width="12.796875" style="1" customWidth="1"/>
    <col min="264" max="264" width="5.8984375" style="1" customWidth="1"/>
    <col min="265" max="265" width="11.59765625" style="1" customWidth="1"/>
    <col min="266" max="266" width="5.69921875" style="1" bestFit="1" customWidth="1"/>
    <col min="267" max="267" width="11.69921875" style="1" customWidth="1"/>
    <col min="268" max="268" width="5.69921875" style="1" bestFit="1" customWidth="1"/>
    <col min="269" max="269" width="11.19921875" style="1" customWidth="1"/>
    <col min="270" max="270" width="5.3984375" style="1" customWidth="1"/>
    <col min="271" max="271" width="11.59765625" style="1" customWidth="1"/>
    <col min="272" max="272" width="5.09765625" style="1" customWidth="1"/>
    <col min="273" max="273" width="11.19921875" style="1" customWidth="1"/>
    <col min="274" max="274" width="5.09765625" style="1" customWidth="1"/>
    <col min="275" max="275" width="11.296875" style="1" customWidth="1"/>
    <col min="276" max="276" width="5.09765625" style="1" customWidth="1"/>
    <col min="277" max="277" width="10.296875" style="1" customWidth="1"/>
    <col min="278" max="278" width="5.3984375" style="1" customWidth="1"/>
    <col min="279" max="279" width="12.8984375" style="1" customWidth="1"/>
    <col min="280" max="280" width="5.69921875" style="1" bestFit="1" customWidth="1"/>
    <col min="281" max="281" width="12.8984375" style="1" customWidth="1"/>
    <col min="282" max="282" width="5.69921875" style="1" customWidth="1"/>
    <col min="283" max="283" width="12.796875" style="1" customWidth="1"/>
    <col min="284" max="286" width="7.09765625" style="1" customWidth="1"/>
    <col min="287" max="287" width="14.19921875" style="1" customWidth="1"/>
    <col min="288" max="290" width="14.8984375" style="1" customWidth="1"/>
    <col min="291" max="292" width="13" style="1" customWidth="1"/>
    <col min="293" max="293" width="9.8984375" style="1" bestFit="1" customWidth="1"/>
    <col min="294" max="294" width="7.8984375" style="1" customWidth="1"/>
    <col min="295" max="295" width="13.796875" style="1" customWidth="1"/>
    <col min="296" max="296" width="14.59765625" style="1" customWidth="1"/>
    <col min="297" max="297" width="14.19921875" style="1" customWidth="1"/>
    <col min="298" max="299" width="14.59765625" style="1" customWidth="1"/>
    <col min="300" max="300" width="11.09765625" style="1" bestFit="1" customWidth="1"/>
    <col min="301" max="301" width="9" style="1" bestFit="1" customWidth="1"/>
    <col min="302" max="504" width="8.8984375" style="1"/>
    <col min="505" max="505" width="71.3984375" style="1" customWidth="1"/>
    <col min="506" max="506" width="12.8984375" style="1" customWidth="1"/>
    <col min="507" max="507" width="6" style="1" customWidth="1"/>
    <col min="508" max="508" width="12.8984375" style="1" customWidth="1"/>
    <col min="509" max="509" width="6.796875" style="1" customWidth="1"/>
    <col min="510" max="510" width="12.8984375" style="1" customWidth="1"/>
    <col min="511" max="511" width="6.3984375" style="1" customWidth="1"/>
    <col min="512" max="512" width="1.796875" style="1" customWidth="1"/>
    <col min="513" max="513" width="11.19921875" style="1" customWidth="1"/>
    <col min="514" max="514" width="5.69921875" style="1" customWidth="1"/>
    <col min="515" max="515" width="11.59765625" style="1" customWidth="1"/>
    <col min="516" max="516" width="5.296875" style="1" customWidth="1"/>
    <col min="517" max="517" width="11.59765625" style="1" customWidth="1"/>
    <col min="518" max="518" width="5.69921875" style="1" bestFit="1" customWidth="1"/>
    <col min="519" max="519" width="12.796875" style="1" customWidth="1"/>
    <col min="520" max="520" width="5.8984375" style="1" customWidth="1"/>
    <col min="521" max="521" width="11.59765625" style="1" customWidth="1"/>
    <col min="522" max="522" width="5.69921875" style="1" bestFit="1" customWidth="1"/>
    <col min="523" max="523" width="11.69921875" style="1" customWidth="1"/>
    <col min="524" max="524" width="5.69921875" style="1" bestFit="1" customWidth="1"/>
    <col min="525" max="525" width="11.19921875" style="1" customWidth="1"/>
    <col min="526" max="526" width="5.3984375" style="1" customWidth="1"/>
    <col min="527" max="527" width="11.59765625" style="1" customWidth="1"/>
    <col min="528" max="528" width="5.09765625" style="1" customWidth="1"/>
    <col min="529" max="529" width="11.19921875" style="1" customWidth="1"/>
    <col min="530" max="530" width="5.09765625" style="1" customWidth="1"/>
    <col min="531" max="531" width="11.296875" style="1" customWidth="1"/>
    <col min="532" max="532" width="5.09765625" style="1" customWidth="1"/>
    <col min="533" max="533" width="10.296875" style="1" customWidth="1"/>
    <col min="534" max="534" width="5.3984375" style="1" customWidth="1"/>
    <col min="535" max="535" width="12.8984375" style="1" customWidth="1"/>
    <col min="536" max="536" width="5.69921875" style="1" bestFit="1" customWidth="1"/>
    <col min="537" max="537" width="12.8984375" style="1" customWidth="1"/>
    <col min="538" max="538" width="5.69921875" style="1" customWidth="1"/>
    <col min="539" max="539" width="12.796875" style="1" customWidth="1"/>
    <col min="540" max="542" width="7.09765625" style="1" customWidth="1"/>
    <col min="543" max="543" width="14.19921875" style="1" customWidth="1"/>
    <col min="544" max="546" width="14.8984375" style="1" customWidth="1"/>
    <col min="547" max="548" width="13" style="1" customWidth="1"/>
    <col min="549" max="549" width="9.8984375" style="1" bestFit="1" customWidth="1"/>
    <col min="550" max="550" width="7.8984375" style="1" customWidth="1"/>
    <col min="551" max="551" width="13.796875" style="1" customWidth="1"/>
    <col min="552" max="552" width="14.59765625" style="1" customWidth="1"/>
    <col min="553" max="553" width="14.19921875" style="1" customWidth="1"/>
    <col min="554" max="555" width="14.59765625" style="1" customWidth="1"/>
    <col min="556" max="556" width="11.09765625" style="1" bestFit="1" customWidth="1"/>
    <col min="557" max="557" width="9" style="1" bestFit="1" customWidth="1"/>
    <col min="558" max="760" width="8.8984375" style="1"/>
    <col min="761" max="761" width="71.3984375" style="1" customWidth="1"/>
    <col min="762" max="762" width="12.8984375" style="1" customWidth="1"/>
    <col min="763" max="763" width="6" style="1" customWidth="1"/>
    <col min="764" max="764" width="12.8984375" style="1" customWidth="1"/>
    <col min="765" max="765" width="6.796875" style="1" customWidth="1"/>
    <col min="766" max="766" width="12.8984375" style="1" customWidth="1"/>
    <col min="767" max="767" width="6.3984375" style="1" customWidth="1"/>
    <col min="768" max="768" width="1.796875" style="1" customWidth="1"/>
    <col min="769" max="769" width="11.19921875" style="1" customWidth="1"/>
    <col min="770" max="770" width="5.69921875" style="1" customWidth="1"/>
    <col min="771" max="771" width="11.59765625" style="1" customWidth="1"/>
    <col min="772" max="772" width="5.296875" style="1" customWidth="1"/>
    <col min="773" max="773" width="11.59765625" style="1" customWidth="1"/>
    <col min="774" max="774" width="5.69921875" style="1" bestFit="1" customWidth="1"/>
    <col min="775" max="775" width="12.796875" style="1" customWidth="1"/>
    <col min="776" max="776" width="5.8984375" style="1" customWidth="1"/>
    <col min="777" max="777" width="11.59765625" style="1" customWidth="1"/>
    <col min="778" max="778" width="5.69921875" style="1" bestFit="1" customWidth="1"/>
    <col min="779" max="779" width="11.69921875" style="1" customWidth="1"/>
    <col min="780" max="780" width="5.69921875" style="1" bestFit="1" customWidth="1"/>
    <col min="781" max="781" width="11.19921875" style="1" customWidth="1"/>
    <col min="782" max="782" width="5.3984375" style="1" customWidth="1"/>
    <col min="783" max="783" width="11.59765625" style="1" customWidth="1"/>
    <col min="784" max="784" width="5.09765625" style="1" customWidth="1"/>
    <col min="785" max="785" width="11.19921875" style="1" customWidth="1"/>
    <col min="786" max="786" width="5.09765625" style="1" customWidth="1"/>
    <col min="787" max="787" width="11.296875" style="1" customWidth="1"/>
    <col min="788" max="788" width="5.09765625" style="1" customWidth="1"/>
    <col min="789" max="789" width="10.296875" style="1" customWidth="1"/>
    <col min="790" max="790" width="5.3984375" style="1" customWidth="1"/>
    <col min="791" max="791" width="12.8984375" style="1" customWidth="1"/>
    <col min="792" max="792" width="5.69921875" style="1" bestFit="1" customWidth="1"/>
    <col min="793" max="793" width="12.8984375" style="1" customWidth="1"/>
    <col min="794" max="794" width="5.69921875" style="1" customWidth="1"/>
    <col min="795" max="795" width="12.796875" style="1" customWidth="1"/>
    <col min="796" max="798" width="7.09765625" style="1" customWidth="1"/>
    <col min="799" max="799" width="14.19921875" style="1" customWidth="1"/>
    <col min="800" max="802" width="14.8984375" style="1" customWidth="1"/>
    <col min="803" max="804" width="13" style="1" customWidth="1"/>
    <col min="805" max="805" width="9.8984375" style="1" bestFit="1" customWidth="1"/>
    <col min="806" max="806" width="7.8984375" style="1" customWidth="1"/>
    <col min="807" max="807" width="13.796875" style="1" customWidth="1"/>
    <col min="808" max="808" width="14.59765625" style="1" customWidth="1"/>
    <col min="809" max="809" width="14.19921875" style="1" customWidth="1"/>
    <col min="810" max="811" width="14.59765625" style="1" customWidth="1"/>
    <col min="812" max="812" width="11.09765625" style="1" bestFit="1" customWidth="1"/>
    <col min="813" max="813" width="9" style="1" bestFit="1" customWidth="1"/>
    <col min="814" max="1016" width="8.8984375" style="1"/>
    <col min="1017" max="1017" width="71.3984375" style="1" customWidth="1"/>
    <col min="1018" max="1018" width="12.8984375" style="1" customWidth="1"/>
    <col min="1019" max="1019" width="6" style="1" customWidth="1"/>
    <col min="1020" max="1020" width="12.8984375" style="1" customWidth="1"/>
    <col min="1021" max="1021" width="6.796875" style="1" customWidth="1"/>
    <col min="1022" max="1022" width="12.8984375" style="1" customWidth="1"/>
    <col min="1023" max="1023" width="6.3984375" style="1" customWidth="1"/>
    <col min="1024" max="1024" width="1.796875" style="1" customWidth="1"/>
    <col min="1025" max="1025" width="11.19921875" style="1" customWidth="1"/>
    <col min="1026" max="1026" width="5.69921875" style="1" customWidth="1"/>
    <col min="1027" max="1027" width="11.59765625" style="1" customWidth="1"/>
    <col min="1028" max="1028" width="5.296875" style="1" customWidth="1"/>
    <col min="1029" max="1029" width="11.59765625" style="1" customWidth="1"/>
    <col min="1030" max="1030" width="5.69921875" style="1" bestFit="1" customWidth="1"/>
    <col min="1031" max="1031" width="12.796875" style="1" customWidth="1"/>
    <col min="1032" max="1032" width="5.8984375" style="1" customWidth="1"/>
    <col min="1033" max="1033" width="11.59765625" style="1" customWidth="1"/>
    <col min="1034" max="1034" width="5.69921875" style="1" bestFit="1" customWidth="1"/>
    <col min="1035" max="1035" width="11.69921875" style="1" customWidth="1"/>
    <col min="1036" max="1036" width="5.69921875" style="1" bestFit="1" customWidth="1"/>
    <col min="1037" max="1037" width="11.19921875" style="1" customWidth="1"/>
    <col min="1038" max="1038" width="5.3984375" style="1" customWidth="1"/>
    <col min="1039" max="1039" width="11.59765625" style="1" customWidth="1"/>
    <col min="1040" max="1040" width="5.09765625" style="1" customWidth="1"/>
    <col min="1041" max="1041" width="11.19921875" style="1" customWidth="1"/>
    <col min="1042" max="1042" width="5.09765625" style="1" customWidth="1"/>
    <col min="1043" max="1043" width="11.296875" style="1" customWidth="1"/>
    <col min="1044" max="1044" width="5.09765625" style="1" customWidth="1"/>
    <col min="1045" max="1045" width="10.296875" style="1" customWidth="1"/>
    <col min="1046" max="1046" width="5.3984375" style="1" customWidth="1"/>
    <col min="1047" max="1047" width="12.8984375" style="1" customWidth="1"/>
    <col min="1048" max="1048" width="5.69921875" style="1" bestFit="1" customWidth="1"/>
    <col min="1049" max="1049" width="12.8984375" style="1" customWidth="1"/>
    <col min="1050" max="1050" width="5.69921875" style="1" customWidth="1"/>
    <col min="1051" max="1051" width="12.796875" style="1" customWidth="1"/>
    <col min="1052" max="1054" width="7.09765625" style="1" customWidth="1"/>
    <col min="1055" max="1055" width="14.19921875" style="1" customWidth="1"/>
    <col min="1056" max="1058" width="14.8984375" style="1" customWidth="1"/>
    <col min="1059" max="1060" width="13" style="1" customWidth="1"/>
    <col min="1061" max="1061" width="9.8984375" style="1" bestFit="1" customWidth="1"/>
    <col min="1062" max="1062" width="7.8984375" style="1" customWidth="1"/>
    <col min="1063" max="1063" width="13.796875" style="1" customWidth="1"/>
    <col min="1064" max="1064" width="14.59765625" style="1" customWidth="1"/>
    <col min="1065" max="1065" width="14.19921875" style="1" customWidth="1"/>
    <col min="1066" max="1067" width="14.59765625" style="1" customWidth="1"/>
    <col min="1068" max="1068" width="11.09765625" style="1" bestFit="1" customWidth="1"/>
    <col min="1069" max="1069" width="9" style="1" bestFit="1" customWidth="1"/>
    <col min="1070" max="1272" width="8.8984375" style="1"/>
    <col min="1273" max="1273" width="71.3984375" style="1" customWidth="1"/>
    <col min="1274" max="1274" width="12.8984375" style="1" customWidth="1"/>
    <col min="1275" max="1275" width="6" style="1" customWidth="1"/>
    <col min="1276" max="1276" width="12.8984375" style="1" customWidth="1"/>
    <col min="1277" max="1277" width="6.796875" style="1" customWidth="1"/>
    <col min="1278" max="1278" width="12.8984375" style="1" customWidth="1"/>
    <col min="1279" max="1279" width="6.3984375" style="1" customWidth="1"/>
    <col min="1280" max="1280" width="1.796875" style="1" customWidth="1"/>
    <col min="1281" max="1281" width="11.19921875" style="1" customWidth="1"/>
    <col min="1282" max="1282" width="5.69921875" style="1" customWidth="1"/>
    <col min="1283" max="1283" width="11.59765625" style="1" customWidth="1"/>
    <col min="1284" max="1284" width="5.296875" style="1" customWidth="1"/>
    <col min="1285" max="1285" width="11.59765625" style="1" customWidth="1"/>
    <col min="1286" max="1286" width="5.69921875" style="1" bestFit="1" customWidth="1"/>
    <col min="1287" max="1287" width="12.796875" style="1" customWidth="1"/>
    <col min="1288" max="1288" width="5.8984375" style="1" customWidth="1"/>
    <col min="1289" max="1289" width="11.59765625" style="1" customWidth="1"/>
    <col min="1290" max="1290" width="5.69921875" style="1" bestFit="1" customWidth="1"/>
    <col min="1291" max="1291" width="11.69921875" style="1" customWidth="1"/>
    <col min="1292" max="1292" width="5.69921875" style="1" bestFit="1" customWidth="1"/>
    <col min="1293" max="1293" width="11.19921875" style="1" customWidth="1"/>
    <col min="1294" max="1294" width="5.3984375" style="1" customWidth="1"/>
    <col min="1295" max="1295" width="11.59765625" style="1" customWidth="1"/>
    <col min="1296" max="1296" width="5.09765625" style="1" customWidth="1"/>
    <col min="1297" max="1297" width="11.19921875" style="1" customWidth="1"/>
    <col min="1298" max="1298" width="5.09765625" style="1" customWidth="1"/>
    <col min="1299" max="1299" width="11.296875" style="1" customWidth="1"/>
    <col min="1300" max="1300" width="5.09765625" style="1" customWidth="1"/>
    <col min="1301" max="1301" width="10.296875" style="1" customWidth="1"/>
    <col min="1302" max="1302" width="5.3984375" style="1" customWidth="1"/>
    <col min="1303" max="1303" width="12.8984375" style="1" customWidth="1"/>
    <col min="1304" max="1304" width="5.69921875" style="1" bestFit="1" customWidth="1"/>
    <col min="1305" max="1305" width="12.8984375" style="1" customWidth="1"/>
    <col min="1306" max="1306" width="5.69921875" style="1" customWidth="1"/>
    <col min="1307" max="1307" width="12.796875" style="1" customWidth="1"/>
    <col min="1308" max="1310" width="7.09765625" style="1" customWidth="1"/>
    <col min="1311" max="1311" width="14.19921875" style="1" customWidth="1"/>
    <col min="1312" max="1314" width="14.8984375" style="1" customWidth="1"/>
    <col min="1315" max="1316" width="13" style="1" customWidth="1"/>
    <col min="1317" max="1317" width="9.8984375" style="1" bestFit="1" customWidth="1"/>
    <col min="1318" max="1318" width="7.8984375" style="1" customWidth="1"/>
    <col min="1319" max="1319" width="13.796875" style="1" customWidth="1"/>
    <col min="1320" max="1320" width="14.59765625" style="1" customWidth="1"/>
    <col min="1321" max="1321" width="14.19921875" style="1" customWidth="1"/>
    <col min="1322" max="1323" width="14.59765625" style="1" customWidth="1"/>
    <col min="1324" max="1324" width="11.09765625" style="1" bestFit="1" customWidth="1"/>
    <col min="1325" max="1325" width="9" style="1" bestFit="1" customWidth="1"/>
    <col min="1326" max="1528" width="8.8984375" style="1"/>
    <col min="1529" max="1529" width="71.3984375" style="1" customWidth="1"/>
    <col min="1530" max="1530" width="12.8984375" style="1" customWidth="1"/>
    <col min="1531" max="1531" width="6" style="1" customWidth="1"/>
    <col min="1532" max="1532" width="12.8984375" style="1" customWidth="1"/>
    <col min="1533" max="1533" width="6.796875" style="1" customWidth="1"/>
    <col min="1534" max="1534" width="12.8984375" style="1" customWidth="1"/>
    <col min="1535" max="1535" width="6.3984375" style="1" customWidth="1"/>
    <col min="1536" max="1536" width="1.796875" style="1" customWidth="1"/>
    <col min="1537" max="1537" width="11.19921875" style="1" customWidth="1"/>
    <col min="1538" max="1538" width="5.69921875" style="1" customWidth="1"/>
    <col min="1539" max="1539" width="11.59765625" style="1" customWidth="1"/>
    <col min="1540" max="1540" width="5.296875" style="1" customWidth="1"/>
    <col min="1541" max="1541" width="11.59765625" style="1" customWidth="1"/>
    <col min="1542" max="1542" width="5.69921875" style="1" bestFit="1" customWidth="1"/>
    <col min="1543" max="1543" width="12.796875" style="1" customWidth="1"/>
    <col min="1544" max="1544" width="5.8984375" style="1" customWidth="1"/>
    <col min="1545" max="1545" width="11.59765625" style="1" customWidth="1"/>
    <col min="1546" max="1546" width="5.69921875" style="1" bestFit="1" customWidth="1"/>
    <col min="1547" max="1547" width="11.69921875" style="1" customWidth="1"/>
    <col min="1548" max="1548" width="5.69921875" style="1" bestFit="1" customWidth="1"/>
    <col min="1549" max="1549" width="11.19921875" style="1" customWidth="1"/>
    <col min="1550" max="1550" width="5.3984375" style="1" customWidth="1"/>
    <col min="1551" max="1551" width="11.59765625" style="1" customWidth="1"/>
    <col min="1552" max="1552" width="5.09765625" style="1" customWidth="1"/>
    <col min="1553" max="1553" width="11.19921875" style="1" customWidth="1"/>
    <col min="1554" max="1554" width="5.09765625" style="1" customWidth="1"/>
    <col min="1555" max="1555" width="11.296875" style="1" customWidth="1"/>
    <col min="1556" max="1556" width="5.09765625" style="1" customWidth="1"/>
    <col min="1557" max="1557" width="10.296875" style="1" customWidth="1"/>
    <col min="1558" max="1558" width="5.3984375" style="1" customWidth="1"/>
    <col min="1559" max="1559" width="12.8984375" style="1" customWidth="1"/>
    <col min="1560" max="1560" width="5.69921875" style="1" bestFit="1" customWidth="1"/>
    <col min="1561" max="1561" width="12.8984375" style="1" customWidth="1"/>
    <col min="1562" max="1562" width="5.69921875" style="1" customWidth="1"/>
    <col min="1563" max="1563" width="12.796875" style="1" customWidth="1"/>
    <col min="1564" max="1566" width="7.09765625" style="1" customWidth="1"/>
    <col min="1567" max="1567" width="14.19921875" style="1" customWidth="1"/>
    <col min="1568" max="1570" width="14.8984375" style="1" customWidth="1"/>
    <col min="1571" max="1572" width="13" style="1" customWidth="1"/>
    <col min="1573" max="1573" width="9.8984375" style="1" bestFit="1" customWidth="1"/>
    <col min="1574" max="1574" width="7.8984375" style="1" customWidth="1"/>
    <col min="1575" max="1575" width="13.796875" style="1" customWidth="1"/>
    <col min="1576" max="1576" width="14.59765625" style="1" customWidth="1"/>
    <col min="1577" max="1577" width="14.19921875" style="1" customWidth="1"/>
    <col min="1578" max="1579" width="14.59765625" style="1" customWidth="1"/>
    <col min="1580" max="1580" width="11.09765625" style="1" bestFit="1" customWidth="1"/>
    <col min="1581" max="1581" width="9" style="1" bestFit="1" customWidth="1"/>
    <col min="1582" max="1784" width="8.8984375" style="1"/>
    <col min="1785" max="1785" width="71.3984375" style="1" customWidth="1"/>
    <col min="1786" max="1786" width="12.8984375" style="1" customWidth="1"/>
    <col min="1787" max="1787" width="6" style="1" customWidth="1"/>
    <col min="1788" max="1788" width="12.8984375" style="1" customWidth="1"/>
    <col min="1789" max="1789" width="6.796875" style="1" customWidth="1"/>
    <col min="1790" max="1790" width="12.8984375" style="1" customWidth="1"/>
    <col min="1791" max="1791" width="6.3984375" style="1" customWidth="1"/>
    <col min="1792" max="1792" width="1.796875" style="1" customWidth="1"/>
    <col min="1793" max="1793" width="11.19921875" style="1" customWidth="1"/>
    <col min="1794" max="1794" width="5.69921875" style="1" customWidth="1"/>
    <col min="1795" max="1795" width="11.59765625" style="1" customWidth="1"/>
    <col min="1796" max="1796" width="5.296875" style="1" customWidth="1"/>
    <col min="1797" max="1797" width="11.59765625" style="1" customWidth="1"/>
    <col min="1798" max="1798" width="5.69921875" style="1" bestFit="1" customWidth="1"/>
    <col min="1799" max="1799" width="12.796875" style="1" customWidth="1"/>
    <col min="1800" max="1800" width="5.8984375" style="1" customWidth="1"/>
    <col min="1801" max="1801" width="11.59765625" style="1" customWidth="1"/>
    <col min="1802" max="1802" width="5.69921875" style="1" bestFit="1" customWidth="1"/>
    <col min="1803" max="1803" width="11.69921875" style="1" customWidth="1"/>
    <col min="1804" max="1804" width="5.69921875" style="1" bestFit="1" customWidth="1"/>
    <col min="1805" max="1805" width="11.19921875" style="1" customWidth="1"/>
    <col min="1806" max="1806" width="5.3984375" style="1" customWidth="1"/>
    <col min="1807" max="1807" width="11.59765625" style="1" customWidth="1"/>
    <col min="1808" max="1808" width="5.09765625" style="1" customWidth="1"/>
    <col min="1809" max="1809" width="11.19921875" style="1" customWidth="1"/>
    <col min="1810" max="1810" width="5.09765625" style="1" customWidth="1"/>
    <col min="1811" max="1811" width="11.296875" style="1" customWidth="1"/>
    <col min="1812" max="1812" width="5.09765625" style="1" customWidth="1"/>
    <col min="1813" max="1813" width="10.296875" style="1" customWidth="1"/>
    <col min="1814" max="1814" width="5.3984375" style="1" customWidth="1"/>
    <col min="1815" max="1815" width="12.8984375" style="1" customWidth="1"/>
    <col min="1816" max="1816" width="5.69921875" style="1" bestFit="1" customWidth="1"/>
    <col min="1817" max="1817" width="12.8984375" style="1" customWidth="1"/>
    <col min="1818" max="1818" width="5.69921875" style="1" customWidth="1"/>
    <col min="1819" max="1819" width="12.796875" style="1" customWidth="1"/>
    <col min="1820" max="1822" width="7.09765625" style="1" customWidth="1"/>
    <col min="1823" max="1823" width="14.19921875" style="1" customWidth="1"/>
    <col min="1824" max="1826" width="14.8984375" style="1" customWidth="1"/>
    <col min="1827" max="1828" width="13" style="1" customWidth="1"/>
    <col min="1829" max="1829" width="9.8984375" style="1" bestFit="1" customWidth="1"/>
    <col min="1830" max="1830" width="7.8984375" style="1" customWidth="1"/>
    <col min="1831" max="1831" width="13.796875" style="1" customWidth="1"/>
    <col min="1832" max="1832" width="14.59765625" style="1" customWidth="1"/>
    <col min="1833" max="1833" width="14.19921875" style="1" customWidth="1"/>
    <col min="1834" max="1835" width="14.59765625" style="1" customWidth="1"/>
    <col min="1836" max="1836" width="11.09765625" style="1" bestFit="1" customWidth="1"/>
    <col min="1837" max="1837" width="9" style="1" bestFit="1" customWidth="1"/>
    <col min="1838" max="2040" width="8.8984375" style="1"/>
    <col min="2041" max="2041" width="71.3984375" style="1" customWidth="1"/>
    <col min="2042" max="2042" width="12.8984375" style="1" customWidth="1"/>
    <col min="2043" max="2043" width="6" style="1" customWidth="1"/>
    <col min="2044" max="2044" width="12.8984375" style="1" customWidth="1"/>
    <col min="2045" max="2045" width="6.796875" style="1" customWidth="1"/>
    <col min="2046" max="2046" width="12.8984375" style="1" customWidth="1"/>
    <col min="2047" max="2047" width="6.3984375" style="1" customWidth="1"/>
    <col min="2048" max="2048" width="1.796875" style="1" customWidth="1"/>
    <col min="2049" max="2049" width="11.19921875" style="1" customWidth="1"/>
    <col min="2050" max="2050" width="5.69921875" style="1" customWidth="1"/>
    <col min="2051" max="2051" width="11.59765625" style="1" customWidth="1"/>
    <col min="2052" max="2052" width="5.296875" style="1" customWidth="1"/>
    <col min="2053" max="2053" width="11.59765625" style="1" customWidth="1"/>
    <col min="2054" max="2054" width="5.69921875" style="1" bestFit="1" customWidth="1"/>
    <col min="2055" max="2055" width="12.796875" style="1" customWidth="1"/>
    <col min="2056" max="2056" width="5.8984375" style="1" customWidth="1"/>
    <col min="2057" max="2057" width="11.59765625" style="1" customWidth="1"/>
    <col min="2058" max="2058" width="5.69921875" style="1" bestFit="1" customWidth="1"/>
    <col min="2059" max="2059" width="11.69921875" style="1" customWidth="1"/>
    <col min="2060" max="2060" width="5.69921875" style="1" bestFit="1" customWidth="1"/>
    <col min="2061" max="2061" width="11.19921875" style="1" customWidth="1"/>
    <col min="2062" max="2062" width="5.3984375" style="1" customWidth="1"/>
    <col min="2063" max="2063" width="11.59765625" style="1" customWidth="1"/>
    <col min="2064" max="2064" width="5.09765625" style="1" customWidth="1"/>
    <col min="2065" max="2065" width="11.19921875" style="1" customWidth="1"/>
    <col min="2066" max="2066" width="5.09765625" style="1" customWidth="1"/>
    <col min="2067" max="2067" width="11.296875" style="1" customWidth="1"/>
    <col min="2068" max="2068" width="5.09765625" style="1" customWidth="1"/>
    <col min="2069" max="2069" width="10.296875" style="1" customWidth="1"/>
    <col min="2070" max="2070" width="5.3984375" style="1" customWidth="1"/>
    <col min="2071" max="2071" width="12.8984375" style="1" customWidth="1"/>
    <col min="2072" max="2072" width="5.69921875" style="1" bestFit="1" customWidth="1"/>
    <col min="2073" max="2073" width="12.8984375" style="1" customWidth="1"/>
    <col min="2074" max="2074" width="5.69921875" style="1" customWidth="1"/>
    <col min="2075" max="2075" width="12.796875" style="1" customWidth="1"/>
    <col min="2076" max="2078" width="7.09765625" style="1" customWidth="1"/>
    <col min="2079" max="2079" width="14.19921875" style="1" customWidth="1"/>
    <col min="2080" max="2082" width="14.8984375" style="1" customWidth="1"/>
    <col min="2083" max="2084" width="13" style="1" customWidth="1"/>
    <col min="2085" max="2085" width="9.8984375" style="1" bestFit="1" customWidth="1"/>
    <col min="2086" max="2086" width="7.8984375" style="1" customWidth="1"/>
    <col min="2087" max="2087" width="13.796875" style="1" customWidth="1"/>
    <col min="2088" max="2088" width="14.59765625" style="1" customWidth="1"/>
    <col min="2089" max="2089" width="14.19921875" style="1" customWidth="1"/>
    <col min="2090" max="2091" width="14.59765625" style="1" customWidth="1"/>
    <col min="2092" max="2092" width="11.09765625" style="1" bestFit="1" customWidth="1"/>
    <col min="2093" max="2093" width="9" style="1" bestFit="1" customWidth="1"/>
    <col min="2094" max="2296" width="8.8984375" style="1"/>
    <col min="2297" max="2297" width="71.3984375" style="1" customWidth="1"/>
    <col min="2298" max="2298" width="12.8984375" style="1" customWidth="1"/>
    <col min="2299" max="2299" width="6" style="1" customWidth="1"/>
    <col min="2300" max="2300" width="12.8984375" style="1" customWidth="1"/>
    <col min="2301" max="2301" width="6.796875" style="1" customWidth="1"/>
    <col min="2302" max="2302" width="12.8984375" style="1" customWidth="1"/>
    <col min="2303" max="2303" width="6.3984375" style="1" customWidth="1"/>
    <col min="2304" max="2304" width="1.796875" style="1" customWidth="1"/>
    <col min="2305" max="2305" width="11.19921875" style="1" customWidth="1"/>
    <col min="2306" max="2306" width="5.69921875" style="1" customWidth="1"/>
    <col min="2307" max="2307" width="11.59765625" style="1" customWidth="1"/>
    <col min="2308" max="2308" width="5.296875" style="1" customWidth="1"/>
    <col min="2309" max="2309" width="11.59765625" style="1" customWidth="1"/>
    <col min="2310" max="2310" width="5.69921875" style="1" bestFit="1" customWidth="1"/>
    <col min="2311" max="2311" width="12.796875" style="1" customWidth="1"/>
    <col min="2312" max="2312" width="5.8984375" style="1" customWidth="1"/>
    <col min="2313" max="2313" width="11.59765625" style="1" customWidth="1"/>
    <col min="2314" max="2314" width="5.69921875" style="1" bestFit="1" customWidth="1"/>
    <col min="2315" max="2315" width="11.69921875" style="1" customWidth="1"/>
    <col min="2316" max="2316" width="5.69921875" style="1" bestFit="1" customWidth="1"/>
    <col min="2317" max="2317" width="11.19921875" style="1" customWidth="1"/>
    <col min="2318" max="2318" width="5.3984375" style="1" customWidth="1"/>
    <col min="2319" max="2319" width="11.59765625" style="1" customWidth="1"/>
    <col min="2320" max="2320" width="5.09765625" style="1" customWidth="1"/>
    <col min="2321" max="2321" width="11.19921875" style="1" customWidth="1"/>
    <col min="2322" max="2322" width="5.09765625" style="1" customWidth="1"/>
    <col min="2323" max="2323" width="11.296875" style="1" customWidth="1"/>
    <col min="2324" max="2324" width="5.09765625" style="1" customWidth="1"/>
    <col min="2325" max="2325" width="10.296875" style="1" customWidth="1"/>
    <col min="2326" max="2326" width="5.3984375" style="1" customWidth="1"/>
    <col min="2327" max="2327" width="12.8984375" style="1" customWidth="1"/>
    <col min="2328" max="2328" width="5.69921875" style="1" bestFit="1" customWidth="1"/>
    <col min="2329" max="2329" width="12.8984375" style="1" customWidth="1"/>
    <col min="2330" max="2330" width="5.69921875" style="1" customWidth="1"/>
    <col min="2331" max="2331" width="12.796875" style="1" customWidth="1"/>
    <col min="2332" max="2334" width="7.09765625" style="1" customWidth="1"/>
    <col min="2335" max="2335" width="14.19921875" style="1" customWidth="1"/>
    <col min="2336" max="2338" width="14.8984375" style="1" customWidth="1"/>
    <col min="2339" max="2340" width="13" style="1" customWidth="1"/>
    <col min="2341" max="2341" width="9.8984375" style="1" bestFit="1" customWidth="1"/>
    <col min="2342" max="2342" width="7.8984375" style="1" customWidth="1"/>
    <col min="2343" max="2343" width="13.796875" style="1" customWidth="1"/>
    <col min="2344" max="2344" width="14.59765625" style="1" customWidth="1"/>
    <col min="2345" max="2345" width="14.19921875" style="1" customWidth="1"/>
    <col min="2346" max="2347" width="14.59765625" style="1" customWidth="1"/>
    <col min="2348" max="2348" width="11.09765625" style="1" bestFit="1" customWidth="1"/>
    <col min="2349" max="2349" width="9" style="1" bestFit="1" customWidth="1"/>
    <col min="2350" max="2552" width="8.8984375" style="1"/>
    <col min="2553" max="2553" width="71.3984375" style="1" customWidth="1"/>
    <col min="2554" max="2554" width="12.8984375" style="1" customWidth="1"/>
    <col min="2555" max="2555" width="6" style="1" customWidth="1"/>
    <col min="2556" max="2556" width="12.8984375" style="1" customWidth="1"/>
    <col min="2557" max="2557" width="6.796875" style="1" customWidth="1"/>
    <col min="2558" max="2558" width="12.8984375" style="1" customWidth="1"/>
    <col min="2559" max="2559" width="6.3984375" style="1" customWidth="1"/>
    <col min="2560" max="2560" width="1.796875" style="1" customWidth="1"/>
    <col min="2561" max="2561" width="11.19921875" style="1" customWidth="1"/>
    <col min="2562" max="2562" width="5.69921875" style="1" customWidth="1"/>
    <col min="2563" max="2563" width="11.59765625" style="1" customWidth="1"/>
    <col min="2564" max="2564" width="5.296875" style="1" customWidth="1"/>
    <col min="2565" max="2565" width="11.59765625" style="1" customWidth="1"/>
    <col min="2566" max="2566" width="5.69921875" style="1" bestFit="1" customWidth="1"/>
    <col min="2567" max="2567" width="12.796875" style="1" customWidth="1"/>
    <col min="2568" max="2568" width="5.8984375" style="1" customWidth="1"/>
    <col min="2569" max="2569" width="11.59765625" style="1" customWidth="1"/>
    <col min="2570" max="2570" width="5.69921875" style="1" bestFit="1" customWidth="1"/>
    <col min="2571" max="2571" width="11.69921875" style="1" customWidth="1"/>
    <col min="2572" max="2572" width="5.69921875" style="1" bestFit="1" customWidth="1"/>
    <col min="2573" max="2573" width="11.19921875" style="1" customWidth="1"/>
    <col min="2574" max="2574" width="5.3984375" style="1" customWidth="1"/>
    <col min="2575" max="2575" width="11.59765625" style="1" customWidth="1"/>
    <col min="2576" max="2576" width="5.09765625" style="1" customWidth="1"/>
    <col min="2577" max="2577" width="11.19921875" style="1" customWidth="1"/>
    <col min="2578" max="2578" width="5.09765625" style="1" customWidth="1"/>
    <col min="2579" max="2579" width="11.296875" style="1" customWidth="1"/>
    <col min="2580" max="2580" width="5.09765625" style="1" customWidth="1"/>
    <col min="2581" max="2581" width="10.296875" style="1" customWidth="1"/>
    <col min="2582" max="2582" width="5.3984375" style="1" customWidth="1"/>
    <col min="2583" max="2583" width="12.8984375" style="1" customWidth="1"/>
    <col min="2584" max="2584" width="5.69921875" style="1" bestFit="1" customWidth="1"/>
    <col min="2585" max="2585" width="12.8984375" style="1" customWidth="1"/>
    <col min="2586" max="2586" width="5.69921875" style="1" customWidth="1"/>
    <col min="2587" max="2587" width="12.796875" style="1" customWidth="1"/>
    <col min="2588" max="2590" width="7.09765625" style="1" customWidth="1"/>
    <col min="2591" max="2591" width="14.19921875" style="1" customWidth="1"/>
    <col min="2592" max="2594" width="14.8984375" style="1" customWidth="1"/>
    <col min="2595" max="2596" width="13" style="1" customWidth="1"/>
    <col min="2597" max="2597" width="9.8984375" style="1" bestFit="1" customWidth="1"/>
    <col min="2598" max="2598" width="7.8984375" style="1" customWidth="1"/>
    <col min="2599" max="2599" width="13.796875" style="1" customWidth="1"/>
    <col min="2600" max="2600" width="14.59765625" style="1" customWidth="1"/>
    <col min="2601" max="2601" width="14.19921875" style="1" customWidth="1"/>
    <col min="2602" max="2603" width="14.59765625" style="1" customWidth="1"/>
    <col min="2604" max="2604" width="11.09765625" style="1" bestFit="1" customWidth="1"/>
    <col min="2605" max="2605" width="9" style="1" bestFit="1" customWidth="1"/>
    <col min="2606" max="2808" width="8.8984375" style="1"/>
    <col min="2809" max="2809" width="71.3984375" style="1" customWidth="1"/>
    <col min="2810" max="2810" width="12.8984375" style="1" customWidth="1"/>
    <col min="2811" max="2811" width="6" style="1" customWidth="1"/>
    <col min="2812" max="2812" width="12.8984375" style="1" customWidth="1"/>
    <col min="2813" max="2813" width="6.796875" style="1" customWidth="1"/>
    <col min="2814" max="2814" width="12.8984375" style="1" customWidth="1"/>
    <col min="2815" max="2815" width="6.3984375" style="1" customWidth="1"/>
    <col min="2816" max="2816" width="1.796875" style="1" customWidth="1"/>
    <col min="2817" max="2817" width="11.19921875" style="1" customWidth="1"/>
    <col min="2818" max="2818" width="5.69921875" style="1" customWidth="1"/>
    <col min="2819" max="2819" width="11.59765625" style="1" customWidth="1"/>
    <col min="2820" max="2820" width="5.296875" style="1" customWidth="1"/>
    <col min="2821" max="2821" width="11.59765625" style="1" customWidth="1"/>
    <col min="2822" max="2822" width="5.69921875" style="1" bestFit="1" customWidth="1"/>
    <col min="2823" max="2823" width="12.796875" style="1" customWidth="1"/>
    <col min="2824" max="2824" width="5.8984375" style="1" customWidth="1"/>
    <col min="2825" max="2825" width="11.59765625" style="1" customWidth="1"/>
    <col min="2826" max="2826" width="5.69921875" style="1" bestFit="1" customWidth="1"/>
    <col min="2827" max="2827" width="11.69921875" style="1" customWidth="1"/>
    <col min="2828" max="2828" width="5.69921875" style="1" bestFit="1" customWidth="1"/>
    <col min="2829" max="2829" width="11.19921875" style="1" customWidth="1"/>
    <col min="2830" max="2830" width="5.3984375" style="1" customWidth="1"/>
    <col min="2831" max="2831" width="11.59765625" style="1" customWidth="1"/>
    <col min="2832" max="2832" width="5.09765625" style="1" customWidth="1"/>
    <col min="2833" max="2833" width="11.19921875" style="1" customWidth="1"/>
    <col min="2834" max="2834" width="5.09765625" style="1" customWidth="1"/>
    <col min="2835" max="2835" width="11.296875" style="1" customWidth="1"/>
    <col min="2836" max="2836" width="5.09765625" style="1" customWidth="1"/>
    <col min="2837" max="2837" width="10.296875" style="1" customWidth="1"/>
    <col min="2838" max="2838" width="5.3984375" style="1" customWidth="1"/>
    <col min="2839" max="2839" width="12.8984375" style="1" customWidth="1"/>
    <col min="2840" max="2840" width="5.69921875" style="1" bestFit="1" customWidth="1"/>
    <col min="2841" max="2841" width="12.8984375" style="1" customWidth="1"/>
    <col min="2842" max="2842" width="5.69921875" style="1" customWidth="1"/>
    <col min="2843" max="2843" width="12.796875" style="1" customWidth="1"/>
    <col min="2844" max="2846" width="7.09765625" style="1" customWidth="1"/>
    <col min="2847" max="2847" width="14.19921875" style="1" customWidth="1"/>
    <col min="2848" max="2850" width="14.8984375" style="1" customWidth="1"/>
    <col min="2851" max="2852" width="13" style="1" customWidth="1"/>
    <col min="2853" max="2853" width="9.8984375" style="1" bestFit="1" customWidth="1"/>
    <col min="2854" max="2854" width="7.8984375" style="1" customWidth="1"/>
    <col min="2855" max="2855" width="13.796875" style="1" customWidth="1"/>
    <col min="2856" max="2856" width="14.59765625" style="1" customWidth="1"/>
    <col min="2857" max="2857" width="14.19921875" style="1" customWidth="1"/>
    <col min="2858" max="2859" width="14.59765625" style="1" customWidth="1"/>
    <col min="2860" max="2860" width="11.09765625" style="1" bestFit="1" customWidth="1"/>
    <col min="2861" max="2861" width="9" style="1" bestFit="1" customWidth="1"/>
    <col min="2862" max="3064" width="8.8984375" style="1"/>
    <col min="3065" max="3065" width="71.3984375" style="1" customWidth="1"/>
    <col min="3066" max="3066" width="12.8984375" style="1" customWidth="1"/>
    <col min="3067" max="3067" width="6" style="1" customWidth="1"/>
    <col min="3068" max="3068" width="12.8984375" style="1" customWidth="1"/>
    <col min="3069" max="3069" width="6.796875" style="1" customWidth="1"/>
    <col min="3070" max="3070" width="12.8984375" style="1" customWidth="1"/>
    <col min="3071" max="3071" width="6.3984375" style="1" customWidth="1"/>
    <col min="3072" max="3072" width="1.796875" style="1" customWidth="1"/>
    <col min="3073" max="3073" width="11.19921875" style="1" customWidth="1"/>
    <col min="3074" max="3074" width="5.69921875" style="1" customWidth="1"/>
    <col min="3075" max="3075" width="11.59765625" style="1" customWidth="1"/>
    <col min="3076" max="3076" width="5.296875" style="1" customWidth="1"/>
    <col min="3077" max="3077" width="11.59765625" style="1" customWidth="1"/>
    <col min="3078" max="3078" width="5.69921875" style="1" bestFit="1" customWidth="1"/>
    <col min="3079" max="3079" width="12.796875" style="1" customWidth="1"/>
    <col min="3080" max="3080" width="5.8984375" style="1" customWidth="1"/>
    <col min="3081" max="3081" width="11.59765625" style="1" customWidth="1"/>
    <col min="3082" max="3082" width="5.69921875" style="1" bestFit="1" customWidth="1"/>
    <col min="3083" max="3083" width="11.69921875" style="1" customWidth="1"/>
    <col min="3084" max="3084" width="5.69921875" style="1" bestFit="1" customWidth="1"/>
    <col min="3085" max="3085" width="11.19921875" style="1" customWidth="1"/>
    <col min="3086" max="3086" width="5.3984375" style="1" customWidth="1"/>
    <col min="3087" max="3087" width="11.59765625" style="1" customWidth="1"/>
    <col min="3088" max="3088" width="5.09765625" style="1" customWidth="1"/>
    <col min="3089" max="3089" width="11.19921875" style="1" customWidth="1"/>
    <col min="3090" max="3090" width="5.09765625" style="1" customWidth="1"/>
    <col min="3091" max="3091" width="11.296875" style="1" customWidth="1"/>
    <col min="3092" max="3092" width="5.09765625" style="1" customWidth="1"/>
    <col min="3093" max="3093" width="10.296875" style="1" customWidth="1"/>
    <col min="3094" max="3094" width="5.3984375" style="1" customWidth="1"/>
    <col min="3095" max="3095" width="12.8984375" style="1" customWidth="1"/>
    <col min="3096" max="3096" width="5.69921875" style="1" bestFit="1" customWidth="1"/>
    <col min="3097" max="3097" width="12.8984375" style="1" customWidth="1"/>
    <col min="3098" max="3098" width="5.69921875" style="1" customWidth="1"/>
    <col min="3099" max="3099" width="12.796875" style="1" customWidth="1"/>
    <col min="3100" max="3102" width="7.09765625" style="1" customWidth="1"/>
    <col min="3103" max="3103" width="14.19921875" style="1" customWidth="1"/>
    <col min="3104" max="3106" width="14.8984375" style="1" customWidth="1"/>
    <col min="3107" max="3108" width="13" style="1" customWidth="1"/>
    <col min="3109" max="3109" width="9.8984375" style="1" bestFit="1" customWidth="1"/>
    <col min="3110" max="3110" width="7.8984375" style="1" customWidth="1"/>
    <col min="3111" max="3111" width="13.796875" style="1" customWidth="1"/>
    <col min="3112" max="3112" width="14.59765625" style="1" customWidth="1"/>
    <col min="3113" max="3113" width="14.19921875" style="1" customWidth="1"/>
    <col min="3114" max="3115" width="14.59765625" style="1" customWidth="1"/>
    <col min="3116" max="3116" width="11.09765625" style="1" bestFit="1" customWidth="1"/>
    <col min="3117" max="3117" width="9" style="1" bestFit="1" customWidth="1"/>
    <col min="3118" max="3320" width="8.8984375" style="1"/>
    <col min="3321" max="3321" width="71.3984375" style="1" customWidth="1"/>
    <col min="3322" max="3322" width="12.8984375" style="1" customWidth="1"/>
    <col min="3323" max="3323" width="6" style="1" customWidth="1"/>
    <col min="3324" max="3324" width="12.8984375" style="1" customWidth="1"/>
    <col min="3325" max="3325" width="6.796875" style="1" customWidth="1"/>
    <col min="3326" max="3326" width="12.8984375" style="1" customWidth="1"/>
    <col min="3327" max="3327" width="6.3984375" style="1" customWidth="1"/>
    <col min="3328" max="3328" width="1.796875" style="1" customWidth="1"/>
    <col min="3329" max="3329" width="11.19921875" style="1" customWidth="1"/>
    <col min="3330" max="3330" width="5.69921875" style="1" customWidth="1"/>
    <col min="3331" max="3331" width="11.59765625" style="1" customWidth="1"/>
    <col min="3332" max="3332" width="5.296875" style="1" customWidth="1"/>
    <col min="3333" max="3333" width="11.59765625" style="1" customWidth="1"/>
    <col min="3334" max="3334" width="5.69921875" style="1" bestFit="1" customWidth="1"/>
    <col min="3335" max="3335" width="12.796875" style="1" customWidth="1"/>
    <col min="3336" max="3336" width="5.8984375" style="1" customWidth="1"/>
    <col min="3337" max="3337" width="11.59765625" style="1" customWidth="1"/>
    <col min="3338" max="3338" width="5.69921875" style="1" bestFit="1" customWidth="1"/>
    <col min="3339" max="3339" width="11.69921875" style="1" customWidth="1"/>
    <col min="3340" max="3340" width="5.69921875" style="1" bestFit="1" customWidth="1"/>
    <col min="3341" max="3341" width="11.19921875" style="1" customWidth="1"/>
    <col min="3342" max="3342" width="5.3984375" style="1" customWidth="1"/>
    <col min="3343" max="3343" width="11.59765625" style="1" customWidth="1"/>
    <col min="3344" max="3344" width="5.09765625" style="1" customWidth="1"/>
    <col min="3345" max="3345" width="11.19921875" style="1" customWidth="1"/>
    <col min="3346" max="3346" width="5.09765625" style="1" customWidth="1"/>
    <col min="3347" max="3347" width="11.296875" style="1" customWidth="1"/>
    <col min="3348" max="3348" width="5.09765625" style="1" customWidth="1"/>
    <col min="3349" max="3349" width="10.296875" style="1" customWidth="1"/>
    <col min="3350" max="3350" width="5.3984375" style="1" customWidth="1"/>
    <col min="3351" max="3351" width="12.8984375" style="1" customWidth="1"/>
    <col min="3352" max="3352" width="5.69921875" style="1" bestFit="1" customWidth="1"/>
    <col min="3353" max="3353" width="12.8984375" style="1" customWidth="1"/>
    <col min="3354" max="3354" width="5.69921875" style="1" customWidth="1"/>
    <col min="3355" max="3355" width="12.796875" style="1" customWidth="1"/>
    <col min="3356" max="3358" width="7.09765625" style="1" customWidth="1"/>
    <col min="3359" max="3359" width="14.19921875" style="1" customWidth="1"/>
    <col min="3360" max="3362" width="14.8984375" style="1" customWidth="1"/>
    <col min="3363" max="3364" width="13" style="1" customWidth="1"/>
    <col min="3365" max="3365" width="9.8984375" style="1" bestFit="1" customWidth="1"/>
    <col min="3366" max="3366" width="7.8984375" style="1" customWidth="1"/>
    <col min="3367" max="3367" width="13.796875" style="1" customWidth="1"/>
    <col min="3368" max="3368" width="14.59765625" style="1" customWidth="1"/>
    <col min="3369" max="3369" width="14.19921875" style="1" customWidth="1"/>
    <col min="3370" max="3371" width="14.59765625" style="1" customWidth="1"/>
    <col min="3372" max="3372" width="11.09765625" style="1" bestFit="1" customWidth="1"/>
    <col min="3373" max="3373" width="9" style="1" bestFit="1" customWidth="1"/>
    <col min="3374" max="3576" width="8.8984375" style="1"/>
    <col min="3577" max="3577" width="71.3984375" style="1" customWidth="1"/>
    <col min="3578" max="3578" width="12.8984375" style="1" customWidth="1"/>
    <col min="3579" max="3579" width="6" style="1" customWidth="1"/>
    <col min="3580" max="3580" width="12.8984375" style="1" customWidth="1"/>
    <col min="3581" max="3581" width="6.796875" style="1" customWidth="1"/>
    <col min="3582" max="3582" width="12.8984375" style="1" customWidth="1"/>
    <col min="3583" max="3583" width="6.3984375" style="1" customWidth="1"/>
    <col min="3584" max="3584" width="1.796875" style="1" customWidth="1"/>
    <col min="3585" max="3585" width="11.19921875" style="1" customWidth="1"/>
    <col min="3586" max="3586" width="5.69921875" style="1" customWidth="1"/>
    <col min="3587" max="3587" width="11.59765625" style="1" customWidth="1"/>
    <col min="3588" max="3588" width="5.296875" style="1" customWidth="1"/>
    <col min="3589" max="3589" width="11.59765625" style="1" customWidth="1"/>
    <col min="3590" max="3590" width="5.69921875" style="1" bestFit="1" customWidth="1"/>
    <col min="3591" max="3591" width="12.796875" style="1" customWidth="1"/>
    <col min="3592" max="3592" width="5.8984375" style="1" customWidth="1"/>
    <col min="3593" max="3593" width="11.59765625" style="1" customWidth="1"/>
    <col min="3594" max="3594" width="5.69921875" style="1" bestFit="1" customWidth="1"/>
    <col min="3595" max="3595" width="11.69921875" style="1" customWidth="1"/>
    <col min="3596" max="3596" width="5.69921875" style="1" bestFit="1" customWidth="1"/>
    <col min="3597" max="3597" width="11.19921875" style="1" customWidth="1"/>
    <col min="3598" max="3598" width="5.3984375" style="1" customWidth="1"/>
    <col min="3599" max="3599" width="11.59765625" style="1" customWidth="1"/>
    <col min="3600" max="3600" width="5.09765625" style="1" customWidth="1"/>
    <col min="3601" max="3601" width="11.19921875" style="1" customWidth="1"/>
    <col min="3602" max="3602" width="5.09765625" style="1" customWidth="1"/>
    <col min="3603" max="3603" width="11.296875" style="1" customWidth="1"/>
    <col min="3604" max="3604" width="5.09765625" style="1" customWidth="1"/>
    <col min="3605" max="3605" width="10.296875" style="1" customWidth="1"/>
    <col min="3606" max="3606" width="5.3984375" style="1" customWidth="1"/>
    <col min="3607" max="3607" width="12.8984375" style="1" customWidth="1"/>
    <col min="3608" max="3608" width="5.69921875" style="1" bestFit="1" customWidth="1"/>
    <col min="3609" max="3609" width="12.8984375" style="1" customWidth="1"/>
    <col min="3610" max="3610" width="5.69921875" style="1" customWidth="1"/>
    <col min="3611" max="3611" width="12.796875" style="1" customWidth="1"/>
    <col min="3612" max="3614" width="7.09765625" style="1" customWidth="1"/>
    <col min="3615" max="3615" width="14.19921875" style="1" customWidth="1"/>
    <col min="3616" max="3618" width="14.8984375" style="1" customWidth="1"/>
    <col min="3619" max="3620" width="13" style="1" customWidth="1"/>
    <col min="3621" max="3621" width="9.8984375" style="1" bestFit="1" customWidth="1"/>
    <col min="3622" max="3622" width="7.8984375" style="1" customWidth="1"/>
    <col min="3623" max="3623" width="13.796875" style="1" customWidth="1"/>
    <col min="3624" max="3624" width="14.59765625" style="1" customWidth="1"/>
    <col min="3625" max="3625" width="14.19921875" style="1" customWidth="1"/>
    <col min="3626" max="3627" width="14.59765625" style="1" customWidth="1"/>
    <col min="3628" max="3628" width="11.09765625" style="1" bestFit="1" customWidth="1"/>
    <col min="3629" max="3629" width="9" style="1" bestFit="1" customWidth="1"/>
    <col min="3630" max="3832" width="8.8984375" style="1"/>
    <col min="3833" max="3833" width="71.3984375" style="1" customWidth="1"/>
    <col min="3834" max="3834" width="12.8984375" style="1" customWidth="1"/>
    <col min="3835" max="3835" width="6" style="1" customWidth="1"/>
    <col min="3836" max="3836" width="12.8984375" style="1" customWidth="1"/>
    <col min="3837" max="3837" width="6.796875" style="1" customWidth="1"/>
    <col min="3838" max="3838" width="12.8984375" style="1" customWidth="1"/>
    <col min="3839" max="3839" width="6.3984375" style="1" customWidth="1"/>
    <col min="3840" max="3840" width="1.796875" style="1" customWidth="1"/>
    <col min="3841" max="3841" width="11.19921875" style="1" customWidth="1"/>
    <col min="3842" max="3842" width="5.69921875" style="1" customWidth="1"/>
    <col min="3843" max="3843" width="11.59765625" style="1" customWidth="1"/>
    <col min="3844" max="3844" width="5.296875" style="1" customWidth="1"/>
    <col min="3845" max="3845" width="11.59765625" style="1" customWidth="1"/>
    <col min="3846" max="3846" width="5.69921875" style="1" bestFit="1" customWidth="1"/>
    <col min="3847" max="3847" width="12.796875" style="1" customWidth="1"/>
    <col min="3848" max="3848" width="5.8984375" style="1" customWidth="1"/>
    <col min="3849" max="3849" width="11.59765625" style="1" customWidth="1"/>
    <col min="3850" max="3850" width="5.69921875" style="1" bestFit="1" customWidth="1"/>
    <col min="3851" max="3851" width="11.69921875" style="1" customWidth="1"/>
    <col min="3852" max="3852" width="5.69921875" style="1" bestFit="1" customWidth="1"/>
    <col min="3853" max="3853" width="11.19921875" style="1" customWidth="1"/>
    <col min="3854" max="3854" width="5.3984375" style="1" customWidth="1"/>
    <col min="3855" max="3855" width="11.59765625" style="1" customWidth="1"/>
    <col min="3856" max="3856" width="5.09765625" style="1" customWidth="1"/>
    <col min="3857" max="3857" width="11.19921875" style="1" customWidth="1"/>
    <col min="3858" max="3858" width="5.09765625" style="1" customWidth="1"/>
    <col min="3859" max="3859" width="11.296875" style="1" customWidth="1"/>
    <col min="3860" max="3860" width="5.09765625" style="1" customWidth="1"/>
    <col min="3861" max="3861" width="10.296875" style="1" customWidth="1"/>
    <col min="3862" max="3862" width="5.3984375" style="1" customWidth="1"/>
    <col min="3863" max="3863" width="12.8984375" style="1" customWidth="1"/>
    <col min="3864" max="3864" width="5.69921875" style="1" bestFit="1" customWidth="1"/>
    <col min="3865" max="3865" width="12.8984375" style="1" customWidth="1"/>
    <col min="3866" max="3866" width="5.69921875" style="1" customWidth="1"/>
    <col min="3867" max="3867" width="12.796875" style="1" customWidth="1"/>
    <col min="3868" max="3870" width="7.09765625" style="1" customWidth="1"/>
    <col min="3871" max="3871" width="14.19921875" style="1" customWidth="1"/>
    <col min="3872" max="3874" width="14.8984375" style="1" customWidth="1"/>
    <col min="3875" max="3876" width="13" style="1" customWidth="1"/>
    <col min="3877" max="3877" width="9.8984375" style="1" bestFit="1" customWidth="1"/>
    <col min="3878" max="3878" width="7.8984375" style="1" customWidth="1"/>
    <col min="3879" max="3879" width="13.796875" style="1" customWidth="1"/>
    <col min="3880" max="3880" width="14.59765625" style="1" customWidth="1"/>
    <col min="3881" max="3881" width="14.19921875" style="1" customWidth="1"/>
    <col min="3882" max="3883" width="14.59765625" style="1" customWidth="1"/>
    <col min="3884" max="3884" width="11.09765625" style="1" bestFit="1" customWidth="1"/>
    <col min="3885" max="3885" width="9" style="1" bestFit="1" customWidth="1"/>
    <col min="3886" max="4088" width="8.8984375" style="1"/>
    <col min="4089" max="4089" width="71.3984375" style="1" customWidth="1"/>
    <col min="4090" max="4090" width="12.8984375" style="1" customWidth="1"/>
    <col min="4091" max="4091" width="6" style="1" customWidth="1"/>
    <col min="4092" max="4092" width="12.8984375" style="1" customWidth="1"/>
    <col min="4093" max="4093" width="6.796875" style="1" customWidth="1"/>
    <col min="4094" max="4094" width="12.8984375" style="1" customWidth="1"/>
    <col min="4095" max="4095" width="6.3984375" style="1" customWidth="1"/>
    <col min="4096" max="4096" width="1.796875" style="1" customWidth="1"/>
    <col min="4097" max="4097" width="11.19921875" style="1" customWidth="1"/>
    <col min="4098" max="4098" width="5.69921875" style="1" customWidth="1"/>
    <col min="4099" max="4099" width="11.59765625" style="1" customWidth="1"/>
    <col min="4100" max="4100" width="5.296875" style="1" customWidth="1"/>
    <col min="4101" max="4101" width="11.59765625" style="1" customWidth="1"/>
    <col min="4102" max="4102" width="5.69921875" style="1" bestFit="1" customWidth="1"/>
    <col min="4103" max="4103" width="12.796875" style="1" customWidth="1"/>
    <col min="4104" max="4104" width="5.8984375" style="1" customWidth="1"/>
    <col min="4105" max="4105" width="11.59765625" style="1" customWidth="1"/>
    <col min="4106" max="4106" width="5.69921875" style="1" bestFit="1" customWidth="1"/>
    <col min="4107" max="4107" width="11.69921875" style="1" customWidth="1"/>
    <col min="4108" max="4108" width="5.69921875" style="1" bestFit="1" customWidth="1"/>
    <col min="4109" max="4109" width="11.19921875" style="1" customWidth="1"/>
    <col min="4110" max="4110" width="5.3984375" style="1" customWidth="1"/>
    <col min="4111" max="4111" width="11.59765625" style="1" customWidth="1"/>
    <col min="4112" max="4112" width="5.09765625" style="1" customWidth="1"/>
    <col min="4113" max="4113" width="11.19921875" style="1" customWidth="1"/>
    <col min="4114" max="4114" width="5.09765625" style="1" customWidth="1"/>
    <col min="4115" max="4115" width="11.296875" style="1" customWidth="1"/>
    <col min="4116" max="4116" width="5.09765625" style="1" customWidth="1"/>
    <col min="4117" max="4117" width="10.296875" style="1" customWidth="1"/>
    <col min="4118" max="4118" width="5.3984375" style="1" customWidth="1"/>
    <col min="4119" max="4119" width="12.8984375" style="1" customWidth="1"/>
    <col min="4120" max="4120" width="5.69921875" style="1" bestFit="1" customWidth="1"/>
    <col min="4121" max="4121" width="12.8984375" style="1" customWidth="1"/>
    <col min="4122" max="4122" width="5.69921875" style="1" customWidth="1"/>
    <col min="4123" max="4123" width="12.796875" style="1" customWidth="1"/>
    <col min="4124" max="4126" width="7.09765625" style="1" customWidth="1"/>
    <col min="4127" max="4127" width="14.19921875" style="1" customWidth="1"/>
    <col min="4128" max="4130" width="14.8984375" style="1" customWidth="1"/>
    <col min="4131" max="4132" width="13" style="1" customWidth="1"/>
    <col min="4133" max="4133" width="9.8984375" style="1" bestFit="1" customWidth="1"/>
    <col min="4134" max="4134" width="7.8984375" style="1" customWidth="1"/>
    <col min="4135" max="4135" width="13.796875" style="1" customWidth="1"/>
    <col min="4136" max="4136" width="14.59765625" style="1" customWidth="1"/>
    <col min="4137" max="4137" width="14.19921875" style="1" customWidth="1"/>
    <col min="4138" max="4139" width="14.59765625" style="1" customWidth="1"/>
    <col min="4140" max="4140" width="11.09765625" style="1" bestFit="1" customWidth="1"/>
    <col min="4141" max="4141" width="9" style="1" bestFit="1" customWidth="1"/>
    <col min="4142" max="4344" width="8.8984375" style="1"/>
    <col min="4345" max="4345" width="71.3984375" style="1" customWidth="1"/>
    <col min="4346" max="4346" width="12.8984375" style="1" customWidth="1"/>
    <col min="4347" max="4347" width="6" style="1" customWidth="1"/>
    <col min="4348" max="4348" width="12.8984375" style="1" customWidth="1"/>
    <col min="4349" max="4349" width="6.796875" style="1" customWidth="1"/>
    <col min="4350" max="4350" width="12.8984375" style="1" customWidth="1"/>
    <col min="4351" max="4351" width="6.3984375" style="1" customWidth="1"/>
    <col min="4352" max="4352" width="1.796875" style="1" customWidth="1"/>
    <col min="4353" max="4353" width="11.19921875" style="1" customWidth="1"/>
    <col min="4354" max="4354" width="5.69921875" style="1" customWidth="1"/>
    <col min="4355" max="4355" width="11.59765625" style="1" customWidth="1"/>
    <col min="4356" max="4356" width="5.296875" style="1" customWidth="1"/>
    <col min="4357" max="4357" width="11.59765625" style="1" customWidth="1"/>
    <col min="4358" max="4358" width="5.69921875" style="1" bestFit="1" customWidth="1"/>
    <col min="4359" max="4359" width="12.796875" style="1" customWidth="1"/>
    <col min="4360" max="4360" width="5.8984375" style="1" customWidth="1"/>
    <col min="4361" max="4361" width="11.59765625" style="1" customWidth="1"/>
    <col min="4362" max="4362" width="5.69921875" style="1" bestFit="1" customWidth="1"/>
    <col min="4363" max="4363" width="11.69921875" style="1" customWidth="1"/>
    <col min="4364" max="4364" width="5.69921875" style="1" bestFit="1" customWidth="1"/>
    <col min="4365" max="4365" width="11.19921875" style="1" customWidth="1"/>
    <col min="4366" max="4366" width="5.3984375" style="1" customWidth="1"/>
    <col min="4367" max="4367" width="11.59765625" style="1" customWidth="1"/>
    <col min="4368" max="4368" width="5.09765625" style="1" customWidth="1"/>
    <col min="4369" max="4369" width="11.19921875" style="1" customWidth="1"/>
    <col min="4370" max="4370" width="5.09765625" style="1" customWidth="1"/>
    <col min="4371" max="4371" width="11.296875" style="1" customWidth="1"/>
    <col min="4372" max="4372" width="5.09765625" style="1" customWidth="1"/>
    <col min="4373" max="4373" width="10.296875" style="1" customWidth="1"/>
    <col min="4374" max="4374" width="5.3984375" style="1" customWidth="1"/>
    <col min="4375" max="4375" width="12.8984375" style="1" customWidth="1"/>
    <col min="4376" max="4376" width="5.69921875" style="1" bestFit="1" customWidth="1"/>
    <col min="4377" max="4377" width="12.8984375" style="1" customWidth="1"/>
    <col min="4378" max="4378" width="5.69921875" style="1" customWidth="1"/>
    <col min="4379" max="4379" width="12.796875" style="1" customWidth="1"/>
    <col min="4380" max="4382" width="7.09765625" style="1" customWidth="1"/>
    <col min="4383" max="4383" width="14.19921875" style="1" customWidth="1"/>
    <col min="4384" max="4386" width="14.8984375" style="1" customWidth="1"/>
    <col min="4387" max="4388" width="13" style="1" customWidth="1"/>
    <col min="4389" max="4389" width="9.8984375" style="1" bestFit="1" customWidth="1"/>
    <col min="4390" max="4390" width="7.8984375" style="1" customWidth="1"/>
    <col min="4391" max="4391" width="13.796875" style="1" customWidth="1"/>
    <col min="4392" max="4392" width="14.59765625" style="1" customWidth="1"/>
    <col min="4393" max="4393" width="14.19921875" style="1" customWidth="1"/>
    <col min="4394" max="4395" width="14.59765625" style="1" customWidth="1"/>
    <col min="4396" max="4396" width="11.09765625" style="1" bestFit="1" customWidth="1"/>
    <col min="4397" max="4397" width="9" style="1" bestFit="1" customWidth="1"/>
    <col min="4398" max="4600" width="8.8984375" style="1"/>
    <col min="4601" max="4601" width="71.3984375" style="1" customWidth="1"/>
    <col min="4602" max="4602" width="12.8984375" style="1" customWidth="1"/>
    <col min="4603" max="4603" width="6" style="1" customWidth="1"/>
    <col min="4604" max="4604" width="12.8984375" style="1" customWidth="1"/>
    <col min="4605" max="4605" width="6.796875" style="1" customWidth="1"/>
    <col min="4606" max="4606" width="12.8984375" style="1" customWidth="1"/>
    <col min="4607" max="4607" width="6.3984375" style="1" customWidth="1"/>
    <col min="4608" max="4608" width="1.796875" style="1" customWidth="1"/>
    <col min="4609" max="4609" width="11.19921875" style="1" customWidth="1"/>
    <col min="4610" max="4610" width="5.69921875" style="1" customWidth="1"/>
    <col min="4611" max="4611" width="11.59765625" style="1" customWidth="1"/>
    <col min="4612" max="4612" width="5.296875" style="1" customWidth="1"/>
    <col min="4613" max="4613" width="11.59765625" style="1" customWidth="1"/>
    <col min="4614" max="4614" width="5.69921875" style="1" bestFit="1" customWidth="1"/>
    <col min="4615" max="4615" width="12.796875" style="1" customWidth="1"/>
    <col min="4616" max="4616" width="5.8984375" style="1" customWidth="1"/>
    <col min="4617" max="4617" width="11.59765625" style="1" customWidth="1"/>
    <col min="4618" max="4618" width="5.69921875" style="1" bestFit="1" customWidth="1"/>
    <col min="4619" max="4619" width="11.69921875" style="1" customWidth="1"/>
    <col min="4620" max="4620" width="5.69921875" style="1" bestFit="1" customWidth="1"/>
    <col min="4621" max="4621" width="11.19921875" style="1" customWidth="1"/>
    <col min="4622" max="4622" width="5.3984375" style="1" customWidth="1"/>
    <col min="4623" max="4623" width="11.59765625" style="1" customWidth="1"/>
    <col min="4624" max="4624" width="5.09765625" style="1" customWidth="1"/>
    <col min="4625" max="4625" width="11.19921875" style="1" customWidth="1"/>
    <col min="4626" max="4626" width="5.09765625" style="1" customWidth="1"/>
    <col min="4627" max="4627" width="11.296875" style="1" customWidth="1"/>
    <col min="4628" max="4628" width="5.09765625" style="1" customWidth="1"/>
    <col min="4629" max="4629" width="10.296875" style="1" customWidth="1"/>
    <col min="4630" max="4630" width="5.3984375" style="1" customWidth="1"/>
    <col min="4631" max="4631" width="12.8984375" style="1" customWidth="1"/>
    <col min="4632" max="4632" width="5.69921875" style="1" bestFit="1" customWidth="1"/>
    <col min="4633" max="4633" width="12.8984375" style="1" customWidth="1"/>
    <col min="4634" max="4634" width="5.69921875" style="1" customWidth="1"/>
    <col min="4635" max="4635" width="12.796875" style="1" customWidth="1"/>
    <col min="4636" max="4638" width="7.09765625" style="1" customWidth="1"/>
    <col min="4639" max="4639" width="14.19921875" style="1" customWidth="1"/>
    <col min="4640" max="4642" width="14.8984375" style="1" customWidth="1"/>
    <col min="4643" max="4644" width="13" style="1" customWidth="1"/>
    <col min="4645" max="4645" width="9.8984375" style="1" bestFit="1" customWidth="1"/>
    <col min="4646" max="4646" width="7.8984375" style="1" customWidth="1"/>
    <col min="4647" max="4647" width="13.796875" style="1" customWidth="1"/>
    <col min="4648" max="4648" width="14.59765625" style="1" customWidth="1"/>
    <col min="4649" max="4649" width="14.19921875" style="1" customWidth="1"/>
    <col min="4650" max="4651" width="14.59765625" style="1" customWidth="1"/>
    <col min="4652" max="4652" width="11.09765625" style="1" bestFit="1" customWidth="1"/>
    <col min="4653" max="4653" width="9" style="1" bestFit="1" customWidth="1"/>
    <col min="4654" max="4856" width="8.8984375" style="1"/>
    <col min="4857" max="4857" width="71.3984375" style="1" customWidth="1"/>
    <col min="4858" max="4858" width="12.8984375" style="1" customWidth="1"/>
    <col min="4859" max="4859" width="6" style="1" customWidth="1"/>
    <col min="4860" max="4860" width="12.8984375" style="1" customWidth="1"/>
    <col min="4861" max="4861" width="6.796875" style="1" customWidth="1"/>
    <col min="4862" max="4862" width="12.8984375" style="1" customWidth="1"/>
    <col min="4863" max="4863" width="6.3984375" style="1" customWidth="1"/>
    <col min="4864" max="4864" width="1.796875" style="1" customWidth="1"/>
    <col min="4865" max="4865" width="11.19921875" style="1" customWidth="1"/>
    <col min="4866" max="4866" width="5.69921875" style="1" customWidth="1"/>
    <col min="4867" max="4867" width="11.59765625" style="1" customWidth="1"/>
    <col min="4868" max="4868" width="5.296875" style="1" customWidth="1"/>
    <col min="4869" max="4869" width="11.59765625" style="1" customWidth="1"/>
    <col min="4870" max="4870" width="5.69921875" style="1" bestFit="1" customWidth="1"/>
    <col min="4871" max="4871" width="12.796875" style="1" customWidth="1"/>
    <col min="4872" max="4872" width="5.8984375" style="1" customWidth="1"/>
    <col min="4873" max="4873" width="11.59765625" style="1" customWidth="1"/>
    <col min="4874" max="4874" width="5.69921875" style="1" bestFit="1" customWidth="1"/>
    <col min="4875" max="4875" width="11.69921875" style="1" customWidth="1"/>
    <col min="4876" max="4876" width="5.69921875" style="1" bestFit="1" customWidth="1"/>
    <col min="4877" max="4877" width="11.19921875" style="1" customWidth="1"/>
    <col min="4878" max="4878" width="5.3984375" style="1" customWidth="1"/>
    <col min="4879" max="4879" width="11.59765625" style="1" customWidth="1"/>
    <col min="4880" max="4880" width="5.09765625" style="1" customWidth="1"/>
    <col min="4881" max="4881" width="11.19921875" style="1" customWidth="1"/>
    <col min="4882" max="4882" width="5.09765625" style="1" customWidth="1"/>
    <col min="4883" max="4883" width="11.296875" style="1" customWidth="1"/>
    <col min="4884" max="4884" width="5.09765625" style="1" customWidth="1"/>
    <col min="4885" max="4885" width="10.296875" style="1" customWidth="1"/>
    <col min="4886" max="4886" width="5.3984375" style="1" customWidth="1"/>
    <col min="4887" max="4887" width="12.8984375" style="1" customWidth="1"/>
    <col min="4888" max="4888" width="5.69921875" style="1" bestFit="1" customWidth="1"/>
    <col min="4889" max="4889" width="12.8984375" style="1" customWidth="1"/>
    <col min="4890" max="4890" width="5.69921875" style="1" customWidth="1"/>
    <col min="4891" max="4891" width="12.796875" style="1" customWidth="1"/>
    <col min="4892" max="4894" width="7.09765625" style="1" customWidth="1"/>
    <col min="4895" max="4895" width="14.19921875" style="1" customWidth="1"/>
    <col min="4896" max="4898" width="14.8984375" style="1" customWidth="1"/>
    <col min="4899" max="4900" width="13" style="1" customWidth="1"/>
    <col min="4901" max="4901" width="9.8984375" style="1" bestFit="1" customWidth="1"/>
    <col min="4902" max="4902" width="7.8984375" style="1" customWidth="1"/>
    <col min="4903" max="4903" width="13.796875" style="1" customWidth="1"/>
    <col min="4904" max="4904" width="14.59765625" style="1" customWidth="1"/>
    <col min="4905" max="4905" width="14.19921875" style="1" customWidth="1"/>
    <col min="4906" max="4907" width="14.59765625" style="1" customWidth="1"/>
    <col min="4908" max="4908" width="11.09765625" style="1" bestFit="1" customWidth="1"/>
    <col min="4909" max="4909" width="9" style="1" bestFit="1" customWidth="1"/>
    <col min="4910" max="5112" width="8.8984375" style="1"/>
    <col min="5113" max="5113" width="71.3984375" style="1" customWidth="1"/>
    <col min="5114" max="5114" width="12.8984375" style="1" customWidth="1"/>
    <col min="5115" max="5115" width="6" style="1" customWidth="1"/>
    <col min="5116" max="5116" width="12.8984375" style="1" customWidth="1"/>
    <col min="5117" max="5117" width="6.796875" style="1" customWidth="1"/>
    <col min="5118" max="5118" width="12.8984375" style="1" customWidth="1"/>
    <col min="5119" max="5119" width="6.3984375" style="1" customWidth="1"/>
    <col min="5120" max="5120" width="1.796875" style="1" customWidth="1"/>
    <col min="5121" max="5121" width="11.19921875" style="1" customWidth="1"/>
    <col min="5122" max="5122" width="5.69921875" style="1" customWidth="1"/>
    <col min="5123" max="5123" width="11.59765625" style="1" customWidth="1"/>
    <col min="5124" max="5124" width="5.296875" style="1" customWidth="1"/>
    <col min="5125" max="5125" width="11.59765625" style="1" customWidth="1"/>
    <col min="5126" max="5126" width="5.69921875" style="1" bestFit="1" customWidth="1"/>
    <col min="5127" max="5127" width="12.796875" style="1" customWidth="1"/>
    <col min="5128" max="5128" width="5.8984375" style="1" customWidth="1"/>
    <col min="5129" max="5129" width="11.59765625" style="1" customWidth="1"/>
    <col min="5130" max="5130" width="5.69921875" style="1" bestFit="1" customWidth="1"/>
    <col min="5131" max="5131" width="11.69921875" style="1" customWidth="1"/>
    <col min="5132" max="5132" width="5.69921875" style="1" bestFit="1" customWidth="1"/>
    <col min="5133" max="5133" width="11.19921875" style="1" customWidth="1"/>
    <col min="5134" max="5134" width="5.3984375" style="1" customWidth="1"/>
    <col min="5135" max="5135" width="11.59765625" style="1" customWidth="1"/>
    <col min="5136" max="5136" width="5.09765625" style="1" customWidth="1"/>
    <col min="5137" max="5137" width="11.19921875" style="1" customWidth="1"/>
    <col min="5138" max="5138" width="5.09765625" style="1" customWidth="1"/>
    <col min="5139" max="5139" width="11.296875" style="1" customWidth="1"/>
    <col min="5140" max="5140" width="5.09765625" style="1" customWidth="1"/>
    <col min="5141" max="5141" width="10.296875" style="1" customWidth="1"/>
    <col min="5142" max="5142" width="5.3984375" style="1" customWidth="1"/>
    <col min="5143" max="5143" width="12.8984375" style="1" customWidth="1"/>
    <col min="5144" max="5144" width="5.69921875" style="1" bestFit="1" customWidth="1"/>
    <col min="5145" max="5145" width="12.8984375" style="1" customWidth="1"/>
    <col min="5146" max="5146" width="5.69921875" style="1" customWidth="1"/>
    <col min="5147" max="5147" width="12.796875" style="1" customWidth="1"/>
    <col min="5148" max="5150" width="7.09765625" style="1" customWidth="1"/>
    <col min="5151" max="5151" width="14.19921875" style="1" customWidth="1"/>
    <col min="5152" max="5154" width="14.8984375" style="1" customWidth="1"/>
    <col min="5155" max="5156" width="13" style="1" customWidth="1"/>
    <col min="5157" max="5157" width="9.8984375" style="1" bestFit="1" customWidth="1"/>
    <col min="5158" max="5158" width="7.8984375" style="1" customWidth="1"/>
    <col min="5159" max="5159" width="13.796875" style="1" customWidth="1"/>
    <col min="5160" max="5160" width="14.59765625" style="1" customWidth="1"/>
    <col min="5161" max="5161" width="14.19921875" style="1" customWidth="1"/>
    <col min="5162" max="5163" width="14.59765625" style="1" customWidth="1"/>
    <col min="5164" max="5164" width="11.09765625" style="1" bestFit="1" customWidth="1"/>
    <col min="5165" max="5165" width="9" style="1" bestFit="1" customWidth="1"/>
    <col min="5166" max="5368" width="8.8984375" style="1"/>
    <col min="5369" max="5369" width="71.3984375" style="1" customWidth="1"/>
    <col min="5370" max="5370" width="12.8984375" style="1" customWidth="1"/>
    <col min="5371" max="5371" width="6" style="1" customWidth="1"/>
    <col min="5372" max="5372" width="12.8984375" style="1" customWidth="1"/>
    <col min="5373" max="5373" width="6.796875" style="1" customWidth="1"/>
    <col min="5374" max="5374" width="12.8984375" style="1" customWidth="1"/>
    <col min="5375" max="5375" width="6.3984375" style="1" customWidth="1"/>
    <col min="5376" max="5376" width="1.796875" style="1" customWidth="1"/>
    <col min="5377" max="5377" width="11.19921875" style="1" customWidth="1"/>
    <col min="5378" max="5378" width="5.69921875" style="1" customWidth="1"/>
    <col min="5379" max="5379" width="11.59765625" style="1" customWidth="1"/>
    <col min="5380" max="5380" width="5.296875" style="1" customWidth="1"/>
    <col min="5381" max="5381" width="11.59765625" style="1" customWidth="1"/>
    <col min="5382" max="5382" width="5.69921875" style="1" bestFit="1" customWidth="1"/>
    <col min="5383" max="5383" width="12.796875" style="1" customWidth="1"/>
    <col min="5384" max="5384" width="5.8984375" style="1" customWidth="1"/>
    <col min="5385" max="5385" width="11.59765625" style="1" customWidth="1"/>
    <col min="5386" max="5386" width="5.69921875" style="1" bestFit="1" customWidth="1"/>
    <col min="5387" max="5387" width="11.69921875" style="1" customWidth="1"/>
    <col min="5388" max="5388" width="5.69921875" style="1" bestFit="1" customWidth="1"/>
    <col min="5389" max="5389" width="11.19921875" style="1" customWidth="1"/>
    <col min="5390" max="5390" width="5.3984375" style="1" customWidth="1"/>
    <col min="5391" max="5391" width="11.59765625" style="1" customWidth="1"/>
    <col min="5392" max="5392" width="5.09765625" style="1" customWidth="1"/>
    <col min="5393" max="5393" width="11.19921875" style="1" customWidth="1"/>
    <col min="5394" max="5394" width="5.09765625" style="1" customWidth="1"/>
    <col min="5395" max="5395" width="11.296875" style="1" customWidth="1"/>
    <col min="5396" max="5396" width="5.09765625" style="1" customWidth="1"/>
    <col min="5397" max="5397" width="10.296875" style="1" customWidth="1"/>
    <col min="5398" max="5398" width="5.3984375" style="1" customWidth="1"/>
    <col min="5399" max="5399" width="12.8984375" style="1" customWidth="1"/>
    <col min="5400" max="5400" width="5.69921875" style="1" bestFit="1" customWidth="1"/>
    <col min="5401" max="5401" width="12.8984375" style="1" customWidth="1"/>
    <col min="5402" max="5402" width="5.69921875" style="1" customWidth="1"/>
    <col min="5403" max="5403" width="12.796875" style="1" customWidth="1"/>
    <col min="5404" max="5406" width="7.09765625" style="1" customWidth="1"/>
    <col min="5407" max="5407" width="14.19921875" style="1" customWidth="1"/>
    <col min="5408" max="5410" width="14.8984375" style="1" customWidth="1"/>
    <col min="5411" max="5412" width="13" style="1" customWidth="1"/>
    <col min="5413" max="5413" width="9.8984375" style="1" bestFit="1" customWidth="1"/>
    <col min="5414" max="5414" width="7.8984375" style="1" customWidth="1"/>
    <col min="5415" max="5415" width="13.796875" style="1" customWidth="1"/>
    <col min="5416" max="5416" width="14.59765625" style="1" customWidth="1"/>
    <col min="5417" max="5417" width="14.19921875" style="1" customWidth="1"/>
    <col min="5418" max="5419" width="14.59765625" style="1" customWidth="1"/>
    <col min="5420" max="5420" width="11.09765625" style="1" bestFit="1" customWidth="1"/>
    <col min="5421" max="5421" width="9" style="1" bestFit="1" customWidth="1"/>
    <col min="5422" max="5624" width="8.8984375" style="1"/>
    <col min="5625" max="5625" width="71.3984375" style="1" customWidth="1"/>
    <col min="5626" max="5626" width="12.8984375" style="1" customWidth="1"/>
    <col min="5627" max="5627" width="6" style="1" customWidth="1"/>
    <col min="5628" max="5628" width="12.8984375" style="1" customWidth="1"/>
    <col min="5629" max="5629" width="6.796875" style="1" customWidth="1"/>
    <col min="5630" max="5630" width="12.8984375" style="1" customWidth="1"/>
    <col min="5631" max="5631" width="6.3984375" style="1" customWidth="1"/>
    <col min="5632" max="5632" width="1.796875" style="1" customWidth="1"/>
    <col min="5633" max="5633" width="11.19921875" style="1" customWidth="1"/>
    <col min="5634" max="5634" width="5.69921875" style="1" customWidth="1"/>
    <col min="5635" max="5635" width="11.59765625" style="1" customWidth="1"/>
    <col min="5636" max="5636" width="5.296875" style="1" customWidth="1"/>
    <col min="5637" max="5637" width="11.59765625" style="1" customWidth="1"/>
    <col min="5638" max="5638" width="5.69921875" style="1" bestFit="1" customWidth="1"/>
    <col min="5639" max="5639" width="12.796875" style="1" customWidth="1"/>
    <col min="5640" max="5640" width="5.8984375" style="1" customWidth="1"/>
    <col min="5641" max="5641" width="11.59765625" style="1" customWidth="1"/>
    <col min="5642" max="5642" width="5.69921875" style="1" bestFit="1" customWidth="1"/>
    <col min="5643" max="5643" width="11.69921875" style="1" customWidth="1"/>
    <col min="5644" max="5644" width="5.69921875" style="1" bestFit="1" customWidth="1"/>
    <col min="5645" max="5645" width="11.19921875" style="1" customWidth="1"/>
    <col min="5646" max="5646" width="5.3984375" style="1" customWidth="1"/>
    <col min="5647" max="5647" width="11.59765625" style="1" customWidth="1"/>
    <col min="5648" max="5648" width="5.09765625" style="1" customWidth="1"/>
    <col min="5649" max="5649" width="11.19921875" style="1" customWidth="1"/>
    <col min="5650" max="5650" width="5.09765625" style="1" customWidth="1"/>
    <col min="5651" max="5651" width="11.296875" style="1" customWidth="1"/>
    <col min="5652" max="5652" width="5.09765625" style="1" customWidth="1"/>
    <col min="5653" max="5653" width="10.296875" style="1" customWidth="1"/>
    <col min="5654" max="5654" width="5.3984375" style="1" customWidth="1"/>
    <col min="5655" max="5655" width="12.8984375" style="1" customWidth="1"/>
    <col min="5656" max="5656" width="5.69921875" style="1" bestFit="1" customWidth="1"/>
    <col min="5657" max="5657" width="12.8984375" style="1" customWidth="1"/>
    <col min="5658" max="5658" width="5.69921875" style="1" customWidth="1"/>
    <col min="5659" max="5659" width="12.796875" style="1" customWidth="1"/>
    <col min="5660" max="5662" width="7.09765625" style="1" customWidth="1"/>
    <col min="5663" max="5663" width="14.19921875" style="1" customWidth="1"/>
    <col min="5664" max="5666" width="14.8984375" style="1" customWidth="1"/>
    <col min="5667" max="5668" width="13" style="1" customWidth="1"/>
    <col min="5669" max="5669" width="9.8984375" style="1" bestFit="1" customWidth="1"/>
    <col min="5670" max="5670" width="7.8984375" style="1" customWidth="1"/>
    <col min="5671" max="5671" width="13.796875" style="1" customWidth="1"/>
    <col min="5672" max="5672" width="14.59765625" style="1" customWidth="1"/>
    <col min="5673" max="5673" width="14.19921875" style="1" customWidth="1"/>
    <col min="5674" max="5675" width="14.59765625" style="1" customWidth="1"/>
    <col min="5676" max="5676" width="11.09765625" style="1" bestFit="1" customWidth="1"/>
    <col min="5677" max="5677" width="9" style="1" bestFit="1" customWidth="1"/>
    <col min="5678" max="5880" width="8.8984375" style="1"/>
    <col min="5881" max="5881" width="71.3984375" style="1" customWidth="1"/>
    <col min="5882" max="5882" width="12.8984375" style="1" customWidth="1"/>
    <col min="5883" max="5883" width="6" style="1" customWidth="1"/>
    <col min="5884" max="5884" width="12.8984375" style="1" customWidth="1"/>
    <col min="5885" max="5885" width="6.796875" style="1" customWidth="1"/>
    <col min="5886" max="5886" width="12.8984375" style="1" customWidth="1"/>
    <col min="5887" max="5887" width="6.3984375" style="1" customWidth="1"/>
    <col min="5888" max="5888" width="1.796875" style="1" customWidth="1"/>
    <col min="5889" max="5889" width="11.19921875" style="1" customWidth="1"/>
    <col min="5890" max="5890" width="5.69921875" style="1" customWidth="1"/>
    <col min="5891" max="5891" width="11.59765625" style="1" customWidth="1"/>
    <col min="5892" max="5892" width="5.296875" style="1" customWidth="1"/>
    <col min="5893" max="5893" width="11.59765625" style="1" customWidth="1"/>
    <col min="5894" max="5894" width="5.69921875" style="1" bestFit="1" customWidth="1"/>
    <col min="5895" max="5895" width="12.796875" style="1" customWidth="1"/>
    <col min="5896" max="5896" width="5.8984375" style="1" customWidth="1"/>
    <col min="5897" max="5897" width="11.59765625" style="1" customWidth="1"/>
    <col min="5898" max="5898" width="5.69921875" style="1" bestFit="1" customWidth="1"/>
    <col min="5899" max="5899" width="11.69921875" style="1" customWidth="1"/>
    <col min="5900" max="5900" width="5.69921875" style="1" bestFit="1" customWidth="1"/>
    <col min="5901" max="5901" width="11.19921875" style="1" customWidth="1"/>
    <col min="5902" max="5902" width="5.3984375" style="1" customWidth="1"/>
    <col min="5903" max="5903" width="11.59765625" style="1" customWidth="1"/>
    <col min="5904" max="5904" width="5.09765625" style="1" customWidth="1"/>
    <col min="5905" max="5905" width="11.19921875" style="1" customWidth="1"/>
    <col min="5906" max="5906" width="5.09765625" style="1" customWidth="1"/>
    <col min="5907" max="5907" width="11.296875" style="1" customWidth="1"/>
    <col min="5908" max="5908" width="5.09765625" style="1" customWidth="1"/>
    <col min="5909" max="5909" width="10.296875" style="1" customWidth="1"/>
    <col min="5910" max="5910" width="5.3984375" style="1" customWidth="1"/>
    <col min="5911" max="5911" width="12.8984375" style="1" customWidth="1"/>
    <col min="5912" max="5912" width="5.69921875" style="1" bestFit="1" customWidth="1"/>
    <col min="5913" max="5913" width="12.8984375" style="1" customWidth="1"/>
    <col min="5914" max="5914" width="5.69921875" style="1" customWidth="1"/>
    <col min="5915" max="5915" width="12.796875" style="1" customWidth="1"/>
    <col min="5916" max="5918" width="7.09765625" style="1" customWidth="1"/>
    <col min="5919" max="5919" width="14.19921875" style="1" customWidth="1"/>
    <col min="5920" max="5922" width="14.8984375" style="1" customWidth="1"/>
    <col min="5923" max="5924" width="13" style="1" customWidth="1"/>
    <col min="5925" max="5925" width="9.8984375" style="1" bestFit="1" customWidth="1"/>
    <col min="5926" max="5926" width="7.8984375" style="1" customWidth="1"/>
    <col min="5927" max="5927" width="13.796875" style="1" customWidth="1"/>
    <col min="5928" max="5928" width="14.59765625" style="1" customWidth="1"/>
    <col min="5929" max="5929" width="14.19921875" style="1" customWidth="1"/>
    <col min="5930" max="5931" width="14.59765625" style="1" customWidth="1"/>
    <col min="5932" max="5932" width="11.09765625" style="1" bestFit="1" customWidth="1"/>
    <col min="5933" max="5933" width="9" style="1" bestFit="1" customWidth="1"/>
    <col min="5934" max="6136" width="8.8984375" style="1"/>
    <col min="6137" max="6137" width="71.3984375" style="1" customWidth="1"/>
    <col min="6138" max="6138" width="12.8984375" style="1" customWidth="1"/>
    <col min="6139" max="6139" width="6" style="1" customWidth="1"/>
    <col min="6140" max="6140" width="12.8984375" style="1" customWidth="1"/>
    <col min="6141" max="6141" width="6.796875" style="1" customWidth="1"/>
    <col min="6142" max="6142" width="12.8984375" style="1" customWidth="1"/>
    <col min="6143" max="6143" width="6.3984375" style="1" customWidth="1"/>
    <col min="6144" max="6144" width="1.796875" style="1" customWidth="1"/>
    <col min="6145" max="6145" width="11.19921875" style="1" customWidth="1"/>
    <col min="6146" max="6146" width="5.69921875" style="1" customWidth="1"/>
    <col min="6147" max="6147" width="11.59765625" style="1" customWidth="1"/>
    <col min="6148" max="6148" width="5.296875" style="1" customWidth="1"/>
    <col min="6149" max="6149" width="11.59765625" style="1" customWidth="1"/>
    <col min="6150" max="6150" width="5.69921875" style="1" bestFit="1" customWidth="1"/>
    <col min="6151" max="6151" width="12.796875" style="1" customWidth="1"/>
    <col min="6152" max="6152" width="5.8984375" style="1" customWidth="1"/>
    <col min="6153" max="6153" width="11.59765625" style="1" customWidth="1"/>
    <col min="6154" max="6154" width="5.69921875" style="1" bestFit="1" customWidth="1"/>
    <col min="6155" max="6155" width="11.69921875" style="1" customWidth="1"/>
    <col min="6156" max="6156" width="5.69921875" style="1" bestFit="1" customWidth="1"/>
    <col min="6157" max="6157" width="11.19921875" style="1" customWidth="1"/>
    <col min="6158" max="6158" width="5.3984375" style="1" customWidth="1"/>
    <col min="6159" max="6159" width="11.59765625" style="1" customWidth="1"/>
    <col min="6160" max="6160" width="5.09765625" style="1" customWidth="1"/>
    <col min="6161" max="6161" width="11.19921875" style="1" customWidth="1"/>
    <col min="6162" max="6162" width="5.09765625" style="1" customWidth="1"/>
    <col min="6163" max="6163" width="11.296875" style="1" customWidth="1"/>
    <col min="6164" max="6164" width="5.09765625" style="1" customWidth="1"/>
    <col min="6165" max="6165" width="10.296875" style="1" customWidth="1"/>
    <col min="6166" max="6166" width="5.3984375" style="1" customWidth="1"/>
    <col min="6167" max="6167" width="12.8984375" style="1" customWidth="1"/>
    <col min="6168" max="6168" width="5.69921875" style="1" bestFit="1" customWidth="1"/>
    <col min="6169" max="6169" width="12.8984375" style="1" customWidth="1"/>
    <col min="6170" max="6170" width="5.69921875" style="1" customWidth="1"/>
    <col min="6171" max="6171" width="12.796875" style="1" customWidth="1"/>
    <col min="6172" max="6174" width="7.09765625" style="1" customWidth="1"/>
    <col min="6175" max="6175" width="14.19921875" style="1" customWidth="1"/>
    <col min="6176" max="6178" width="14.8984375" style="1" customWidth="1"/>
    <col min="6179" max="6180" width="13" style="1" customWidth="1"/>
    <col min="6181" max="6181" width="9.8984375" style="1" bestFit="1" customWidth="1"/>
    <col min="6182" max="6182" width="7.8984375" style="1" customWidth="1"/>
    <col min="6183" max="6183" width="13.796875" style="1" customWidth="1"/>
    <col min="6184" max="6184" width="14.59765625" style="1" customWidth="1"/>
    <col min="6185" max="6185" width="14.19921875" style="1" customWidth="1"/>
    <col min="6186" max="6187" width="14.59765625" style="1" customWidth="1"/>
    <col min="6188" max="6188" width="11.09765625" style="1" bestFit="1" customWidth="1"/>
    <col min="6189" max="6189" width="9" style="1" bestFit="1" customWidth="1"/>
    <col min="6190" max="6392" width="8.8984375" style="1"/>
    <col min="6393" max="6393" width="71.3984375" style="1" customWidth="1"/>
    <col min="6394" max="6394" width="12.8984375" style="1" customWidth="1"/>
    <col min="6395" max="6395" width="6" style="1" customWidth="1"/>
    <col min="6396" max="6396" width="12.8984375" style="1" customWidth="1"/>
    <col min="6397" max="6397" width="6.796875" style="1" customWidth="1"/>
    <col min="6398" max="6398" width="12.8984375" style="1" customWidth="1"/>
    <col min="6399" max="6399" width="6.3984375" style="1" customWidth="1"/>
    <col min="6400" max="6400" width="1.796875" style="1" customWidth="1"/>
    <col min="6401" max="6401" width="11.19921875" style="1" customWidth="1"/>
    <col min="6402" max="6402" width="5.69921875" style="1" customWidth="1"/>
    <col min="6403" max="6403" width="11.59765625" style="1" customWidth="1"/>
    <col min="6404" max="6404" width="5.296875" style="1" customWidth="1"/>
    <col min="6405" max="6405" width="11.59765625" style="1" customWidth="1"/>
    <col min="6406" max="6406" width="5.69921875" style="1" bestFit="1" customWidth="1"/>
    <col min="6407" max="6407" width="12.796875" style="1" customWidth="1"/>
    <col min="6408" max="6408" width="5.8984375" style="1" customWidth="1"/>
    <col min="6409" max="6409" width="11.59765625" style="1" customWidth="1"/>
    <col min="6410" max="6410" width="5.69921875" style="1" bestFit="1" customWidth="1"/>
    <col min="6411" max="6411" width="11.69921875" style="1" customWidth="1"/>
    <col min="6412" max="6412" width="5.69921875" style="1" bestFit="1" customWidth="1"/>
    <col min="6413" max="6413" width="11.19921875" style="1" customWidth="1"/>
    <col min="6414" max="6414" width="5.3984375" style="1" customWidth="1"/>
    <col min="6415" max="6415" width="11.59765625" style="1" customWidth="1"/>
    <col min="6416" max="6416" width="5.09765625" style="1" customWidth="1"/>
    <col min="6417" max="6417" width="11.19921875" style="1" customWidth="1"/>
    <col min="6418" max="6418" width="5.09765625" style="1" customWidth="1"/>
    <col min="6419" max="6419" width="11.296875" style="1" customWidth="1"/>
    <col min="6420" max="6420" width="5.09765625" style="1" customWidth="1"/>
    <col min="6421" max="6421" width="10.296875" style="1" customWidth="1"/>
    <col min="6422" max="6422" width="5.3984375" style="1" customWidth="1"/>
    <col min="6423" max="6423" width="12.8984375" style="1" customWidth="1"/>
    <col min="6424" max="6424" width="5.69921875" style="1" bestFit="1" customWidth="1"/>
    <col min="6425" max="6425" width="12.8984375" style="1" customWidth="1"/>
    <col min="6426" max="6426" width="5.69921875" style="1" customWidth="1"/>
    <col min="6427" max="6427" width="12.796875" style="1" customWidth="1"/>
    <col min="6428" max="6430" width="7.09765625" style="1" customWidth="1"/>
    <col min="6431" max="6431" width="14.19921875" style="1" customWidth="1"/>
    <col min="6432" max="6434" width="14.8984375" style="1" customWidth="1"/>
    <col min="6435" max="6436" width="13" style="1" customWidth="1"/>
    <col min="6437" max="6437" width="9.8984375" style="1" bestFit="1" customWidth="1"/>
    <col min="6438" max="6438" width="7.8984375" style="1" customWidth="1"/>
    <col min="6439" max="6439" width="13.796875" style="1" customWidth="1"/>
    <col min="6440" max="6440" width="14.59765625" style="1" customWidth="1"/>
    <col min="6441" max="6441" width="14.19921875" style="1" customWidth="1"/>
    <col min="6442" max="6443" width="14.59765625" style="1" customWidth="1"/>
    <col min="6444" max="6444" width="11.09765625" style="1" bestFit="1" customWidth="1"/>
    <col min="6445" max="6445" width="9" style="1" bestFit="1" customWidth="1"/>
    <col min="6446" max="6648" width="8.8984375" style="1"/>
    <col min="6649" max="6649" width="71.3984375" style="1" customWidth="1"/>
    <col min="6650" max="6650" width="12.8984375" style="1" customWidth="1"/>
    <col min="6651" max="6651" width="6" style="1" customWidth="1"/>
    <col min="6652" max="6652" width="12.8984375" style="1" customWidth="1"/>
    <col min="6653" max="6653" width="6.796875" style="1" customWidth="1"/>
    <col min="6654" max="6654" width="12.8984375" style="1" customWidth="1"/>
    <col min="6655" max="6655" width="6.3984375" style="1" customWidth="1"/>
    <col min="6656" max="6656" width="1.796875" style="1" customWidth="1"/>
    <col min="6657" max="6657" width="11.19921875" style="1" customWidth="1"/>
    <col min="6658" max="6658" width="5.69921875" style="1" customWidth="1"/>
    <col min="6659" max="6659" width="11.59765625" style="1" customWidth="1"/>
    <col min="6660" max="6660" width="5.296875" style="1" customWidth="1"/>
    <col min="6661" max="6661" width="11.59765625" style="1" customWidth="1"/>
    <col min="6662" max="6662" width="5.69921875" style="1" bestFit="1" customWidth="1"/>
    <col min="6663" max="6663" width="12.796875" style="1" customWidth="1"/>
    <col min="6664" max="6664" width="5.8984375" style="1" customWidth="1"/>
    <col min="6665" max="6665" width="11.59765625" style="1" customWidth="1"/>
    <col min="6666" max="6666" width="5.69921875" style="1" bestFit="1" customWidth="1"/>
    <col min="6667" max="6667" width="11.69921875" style="1" customWidth="1"/>
    <col min="6668" max="6668" width="5.69921875" style="1" bestFit="1" customWidth="1"/>
    <col min="6669" max="6669" width="11.19921875" style="1" customWidth="1"/>
    <col min="6670" max="6670" width="5.3984375" style="1" customWidth="1"/>
    <col min="6671" max="6671" width="11.59765625" style="1" customWidth="1"/>
    <col min="6672" max="6672" width="5.09765625" style="1" customWidth="1"/>
    <col min="6673" max="6673" width="11.19921875" style="1" customWidth="1"/>
    <col min="6674" max="6674" width="5.09765625" style="1" customWidth="1"/>
    <col min="6675" max="6675" width="11.296875" style="1" customWidth="1"/>
    <col min="6676" max="6676" width="5.09765625" style="1" customWidth="1"/>
    <col min="6677" max="6677" width="10.296875" style="1" customWidth="1"/>
    <col min="6678" max="6678" width="5.3984375" style="1" customWidth="1"/>
    <col min="6679" max="6679" width="12.8984375" style="1" customWidth="1"/>
    <col min="6680" max="6680" width="5.69921875" style="1" bestFit="1" customWidth="1"/>
    <col min="6681" max="6681" width="12.8984375" style="1" customWidth="1"/>
    <col min="6682" max="6682" width="5.69921875" style="1" customWidth="1"/>
    <col min="6683" max="6683" width="12.796875" style="1" customWidth="1"/>
    <col min="6684" max="6686" width="7.09765625" style="1" customWidth="1"/>
    <col min="6687" max="6687" width="14.19921875" style="1" customWidth="1"/>
    <col min="6688" max="6690" width="14.8984375" style="1" customWidth="1"/>
    <col min="6691" max="6692" width="13" style="1" customWidth="1"/>
    <col min="6693" max="6693" width="9.8984375" style="1" bestFit="1" customWidth="1"/>
    <col min="6694" max="6694" width="7.8984375" style="1" customWidth="1"/>
    <col min="6695" max="6695" width="13.796875" style="1" customWidth="1"/>
    <col min="6696" max="6696" width="14.59765625" style="1" customWidth="1"/>
    <col min="6697" max="6697" width="14.19921875" style="1" customWidth="1"/>
    <col min="6698" max="6699" width="14.59765625" style="1" customWidth="1"/>
    <col min="6700" max="6700" width="11.09765625" style="1" bestFit="1" customWidth="1"/>
    <col min="6701" max="6701" width="9" style="1" bestFit="1" customWidth="1"/>
    <col min="6702" max="6904" width="8.8984375" style="1"/>
    <col min="6905" max="6905" width="71.3984375" style="1" customWidth="1"/>
    <col min="6906" max="6906" width="12.8984375" style="1" customWidth="1"/>
    <col min="6907" max="6907" width="6" style="1" customWidth="1"/>
    <col min="6908" max="6908" width="12.8984375" style="1" customWidth="1"/>
    <col min="6909" max="6909" width="6.796875" style="1" customWidth="1"/>
    <col min="6910" max="6910" width="12.8984375" style="1" customWidth="1"/>
    <col min="6911" max="6911" width="6.3984375" style="1" customWidth="1"/>
    <col min="6912" max="6912" width="1.796875" style="1" customWidth="1"/>
    <col min="6913" max="6913" width="11.19921875" style="1" customWidth="1"/>
    <col min="6914" max="6914" width="5.69921875" style="1" customWidth="1"/>
    <col min="6915" max="6915" width="11.59765625" style="1" customWidth="1"/>
    <col min="6916" max="6916" width="5.296875" style="1" customWidth="1"/>
    <col min="6917" max="6917" width="11.59765625" style="1" customWidth="1"/>
    <col min="6918" max="6918" width="5.69921875" style="1" bestFit="1" customWidth="1"/>
    <col min="6919" max="6919" width="12.796875" style="1" customWidth="1"/>
    <col min="6920" max="6920" width="5.8984375" style="1" customWidth="1"/>
    <col min="6921" max="6921" width="11.59765625" style="1" customWidth="1"/>
    <col min="6922" max="6922" width="5.69921875" style="1" bestFit="1" customWidth="1"/>
    <col min="6923" max="6923" width="11.69921875" style="1" customWidth="1"/>
    <col min="6924" max="6924" width="5.69921875" style="1" bestFit="1" customWidth="1"/>
    <col min="6925" max="6925" width="11.19921875" style="1" customWidth="1"/>
    <col min="6926" max="6926" width="5.3984375" style="1" customWidth="1"/>
    <col min="6927" max="6927" width="11.59765625" style="1" customWidth="1"/>
    <col min="6928" max="6928" width="5.09765625" style="1" customWidth="1"/>
    <col min="6929" max="6929" width="11.19921875" style="1" customWidth="1"/>
    <col min="6930" max="6930" width="5.09765625" style="1" customWidth="1"/>
    <col min="6931" max="6931" width="11.296875" style="1" customWidth="1"/>
    <col min="6932" max="6932" width="5.09765625" style="1" customWidth="1"/>
    <col min="6933" max="6933" width="10.296875" style="1" customWidth="1"/>
    <col min="6934" max="6934" width="5.3984375" style="1" customWidth="1"/>
    <col min="6935" max="6935" width="12.8984375" style="1" customWidth="1"/>
    <col min="6936" max="6936" width="5.69921875" style="1" bestFit="1" customWidth="1"/>
    <col min="6937" max="6937" width="12.8984375" style="1" customWidth="1"/>
    <col min="6938" max="6938" width="5.69921875" style="1" customWidth="1"/>
    <col min="6939" max="6939" width="12.796875" style="1" customWidth="1"/>
    <col min="6940" max="6942" width="7.09765625" style="1" customWidth="1"/>
    <col min="6943" max="6943" width="14.19921875" style="1" customWidth="1"/>
    <col min="6944" max="6946" width="14.8984375" style="1" customWidth="1"/>
    <col min="6947" max="6948" width="13" style="1" customWidth="1"/>
    <col min="6949" max="6949" width="9.8984375" style="1" bestFit="1" customWidth="1"/>
    <col min="6950" max="6950" width="7.8984375" style="1" customWidth="1"/>
    <col min="6951" max="6951" width="13.796875" style="1" customWidth="1"/>
    <col min="6952" max="6952" width="14.59765625" style="1" customWidth="1"/>
    <col min="6953" max="6953" width="14.19921875" style="1" customWidth="1"/>
    <col min="6954" max="6955" width="14.59765625" style="1" customWidth="1"/>
    <col min="6956" max="6956" width="11.09765625" style="1" bestFit="1" customWidth="1"/>
    <col min="6957" max="6957" width="9" style="1" bestFit="1" customWidth="1"/>
    <col min="6958" max="7160" width="8.8984375" style="1"/>
    <col min="7161" max="7161" width="71.3984375" style="1" customWidth="1"/>
    <col min="7162" max="7162" width="12.8984375" style="1" customWidth="1"/>
    <col min="7163" max="7163" width="6" style="1" customWidth="1"/>
    <col min="7164" max="7164" width="12.8984375" style="1" customWidth="1"/>
    <col min="7165" max="7165" width="6.796875" style="1" customWidth="1"/>
    <col min="7166" max="7166" width="12.8984375" style="1" customWidth="1"/>
    <col min="7167" max="7167" width="6.3984375" style="1" customWidth="1"/>
    <col min="7168" max="7168" width="1.796875" style="1" customWidth="1"/>
    <col min="7169" max="7169" width="11.19921875" style="1" customWidth="1"/>
    <col min="7170" max="7170" width="5.69921875" style="1" customWidth="1"/>
    <col min="7171" max="7171" width="11.59765625" style="1" customWidth="1"/>
    <col min="7172" max="7172" width="5.296875" style="1" customWidth="1"/>
    <col min="7173" max="7173" width="11.59765625" style="1" customWidth="1"/>
    <col min="7174" max="7174" width="5.69921875" style="1" bestFit="1" customWidth="1"/>
    <col min="7175" max="7175" width="12.796875" style="1" customWidth="1"/>
    <col min="7176" max="7176" width="5.8984375" style="1" customWidth="1"/>
    <col min="7177" max="7177" width="11.59765625" style="1" customWidth="1"/>
    <col min="7178" max="7178" width="5.69921875" style="1" bestFit="1" customWidth="1"/>
    <col min="7179" max="7179" width="11.69921875" style="1" customWidth="1"/>
    <col min="7180" max="7180" width="5.69921875" style="1" bestFit="1" customWidth="1"/>
    <col min="7181" max="7181" width="11.19921875" style="1" customWidth="1"/>
    <col min="7182" max="7182" width="5.3984375" style="1" customWidth="1"/>
    <col min="7183" max="7183" width="11.59765625" style="1" customWidth="1"/>
    <col min="7184" max="7184" width="5.09765625" style="1" customWidth="1"/>
    <col min="7185" max="7185" width="11.19921875" style="1" customWidth="1"/>
    <col min="7186" max="7186" width="5.09765625" style="1" customWidth="1"/>
    <col min="7187" max="7187" width="11.296875" style="1" customWidth="1"/>
    <col min="7188" max="7188" width="5.09765625" style="1" customWidth="1"/>
    <col min="7189" max="7189" width="10.296875" style="1" customWidth="1"/>
    <col min="7190" max="7190" width="5.3984375" style="1" customWidth="1"/>
    <col min="7191" max="7191" width="12.8984375" style="1" customWidth="1"/>
    <col min="7192" max="7192" width="5.69921875" style="1" bestFit="1" customWidth="1"/>
    <col min="7193" max="7193" width="12.8984375" style="1" customWidth="1"/>
    <col min="7194" max="7194" width="5.69921875" style="1" customWidth="1"/>
    <col min="7195" max="7195" width="12.796875" style="1" customWidth="1"/>
    <col min="7196" max="7198" width="7.09765625" style="1" customWidth="1"/>
    <col min="7199" max="7199" width="14.19921875" style="1" customWidth="1"/>
    <col min="7200" max="7202" width="14.8984375" style="1" customWidth="1"/>
    <col min="7203" max="7204" width="13" style="1" customWidth="1"/>
    <col min="7205" max="7205" width="9.8984375" style="1" bestFit="1" customWidth="1"/>
    <col min="7206" max="7206" width="7.8984375" style="1" customWidth="1"/>
    <col min="7207" max="7207" width="13.796875" style="1" customWidth="1"/>
    <col min="7208" max="7208" width="14.59765625" style="1" customWidth="1"/>
    <col min="7209" max="7209" width="14.19921875" style="1" customWidth="1"/>
    <col min="7210" max="7211" width="14.59765625" style="1" customWidth="1"/>
    <col min="7212" max="7212" width="11.09765625" style="1" bestFit="1" customWidth="1"/>
    <col min="7213" max="7213" width="9" style="1" bestFit="1" customWidth="1"/>
    <col min="7214" max="7416" width="8.8984375" style="1"/>
    <col min="7417" max="7417" width="71.3984375" style="1" customWidth="1"/>
    <col min="7418" max="7418" width="12.8984375" style="1" customWidth="1"/>
    <col min="7419" max="7419" width="6" style="1" customWidth="1"/>
    <col min="7420" max="7420" width="12.8984375" style="1" customWidth="1"/>
    <col min="7421" max="7421" width="6.796875" style="1" customWidth="1"/>
    <col min="7422" max="7422" width="12.8984375" style="1" customWidth="1"/>
    <col min="7423" max="7423" width="6.3984375" style="1" customWidth="1"/>
    <col min="7424" max="7424" width="1.796875" style="1" customWidth="1"/>
    <col min="7425" max="7425" width="11.19921875" style="1" customWidth="1"/>
    <col min="7426" max="7426" width="5.69921875" style="1" customWidth="1"/>
    <col min="7427" max="7427" width="11.59765625" style="1" customWidth="1"/>
    <col min="7428" max="7428" width="5.296875" style="1" customWidth="1"/>
    <col min="7429" max="7429" width="11.59765625" style="1" customWidth="1"/>
    <col min="7430" max="7430" width="5.69921875" style="1" bestFit="1" customWidth="1"/>
    <col min="7431" max="7431" width="12.796875" style="1" customWidth="1"/>
    <col min="7432" max="7432" width="5.8984375" style="1" customWidth="1"/>
    <col min="7433" max="7433" width="11.59765625" style="1" customWidth="1"/>
    <col min="7434" max="7434" width="5.69921875" style="1" bestFit="1" customWidth="1"/>
    <col min="7435" max="7435" width="11.69921875" style="1" customWidth="1"/>
    <col min="7436" max="7436" width="5.69921875" style="1" bestFit="1" customWidth="1"/>
    <col min="7437" max="7437" width="11.19921875" style="1" customWidth="1"/>
    <col min="7438" max="7438" width="5.3984375" style="1" customWidth="1"/>
    <col min="7439" max="7439" width="11.59765625" style="1" customWidth="1"/>
    <col min="7440" max="7440" width="5.09765625" style="1" customWidth="1"/>
    <col min="7441" max="7441" width="11.19921875" style="1" customWidth="1"/>
    <col min="7442" max="7442" width="5.09765625" style="1" customWidth="1"/>
    <col min="7443" max="7443" width="11.296875" style="1" customWidth="1"/>
    <col min="7444" max="7444" width="5.09765625" style="1" customWidth="1"/>
    <col min="7445" max="7445" width="10.296875" style="1" customWidth="1"/>
    <col min="7446" max="7446" width="5.3984375" style="1" customWidth="1"/>
    <col min="7447" max="7447" width="12.8984375" style="1" customWidth="1"/>
    <col min="7448" max="7448" width="5.69921875" style="1" bestFit="1" customWidth="1"/>
    <col min="7449" max="7449" width="12.8984375" style="1" customWidth="1"/>
    <col min="7450" max="7450" width="5.69921875" style="1" customWidth="1"/>
    <col min="7451" max="7451" width="12.796875" style="1" customWidth="1"/>
    <col min="7452" max="7454" width="7.09765625" style="1" customWidth="1"/>
    <col min="7455" max="7455" width="14.19921875" style="1" customWidth="1"/>
    <col min="7456" max="7458" width="14.8984375" style="1" customWidth="1"/>
    <col min="7459" max="7460" width="13" style="1" customWidth="1"/>
    <col min="7461" max="7461" width="9.8984375" style="1" bestFit="1" customWidth="1"/>
    <col min="7462" max="7462" width="7.8984375" style="1" customWidth="1"/>
    <col min="7463" max="7463" width="13.796875" style="1" customWidth="1"/>
    <col min="7464" max="7464" width="14.59765625" style="1" customWidth="1"/>
    <col min="7465" max="7465" width="14.19921875" style="1" customWidth="1"/>
    <col min="7466" max="7467" width="14.59765625" style="1" customWidth="1"/>
    <col min="7468" max="7468" width="11.09765625" style="1" bestFit="1" customWidth="1"/>
    <col min="7469" max="7469" width="9" style="1" bestFit="1" customWidth="1"/>
    <col min="7470" max="7672" width="8.8984375" style="1"/>
    <col min="7673" max="7673" width="71.3984375" style="1" customWidth="1"/>
    <col min="7674" max="7674" width="12.8984375" style="1" customWidth="1"/>
    <col min="7675" max="7675" width="6" style="1" customWidth="1"/>
    <col min="7676" max="7676" width="12.8984375" style="1" customWidth="1"/>
    <col min="7677" max="7677" width="6.796875" style="1" customWidth="1"/>
    <col min="7678" max="7678" width="12.8984375" style="1" customWidth="1"/>
    <col min="7679" max="7679" width="6.3984375" style="1" customWidth="1"/>
    <col min="7680" max="7680" width="1.796875" style="1" customWidth="1"/>
    <col min="7681" max="7681" width="11.19921875" style="1" customWidth="1"/>
    <col min="7682" max="7682" width="5.69921875" style="1" customWidth="1"/>
    <col min="7683" max="7683" width="11.59765625" style="1" customWidth="1"/>
    <col min="7684" max="7684" width="5.296875" style="1" customWidth="1"/>
    <col min="7685" max="7685" width="11.59765625" style="1" customWidth="1"/>
    <col min="7686" max="7686" width="5.69921875" style="1" bestFit="1" customWidth="1"/>
    <col min="7687" max="7687" width="12.796875" style="1" customWidth="1"/>
    <col min="7688" max="7688" width="5.8984375" style="1" customWidth="1"/>
    <col min="7689" max="7689" width="11.59765625" style="1" customWidth="1"/>
    <col min="7690" max="7690" width="5.69921875" style="1" bestFit="1" customWidth="1"/>
    <col min="7691" max="7691" width="11.69921875" style="1" customWidth="1"/>
    <col min="7692" max="7692" width="5.69921875" style="1" bestFit="1" customWidth="1"/>
    <col min="7693" max="7693" width="11.19921875" style="1" customWidth="1"/>
    <col min="7694" max="7694" width="5.3984375" style="1" customWidth="1"/>
    <col min="7695" max="7695" width="11.59765625" style="1" customWidth="1"/>
    <col min="7696" max="7696" width="5.09765625" style="1" customWidth="1"/>
    <col min="7697" max="7697" width="11.19921875" style="1" customWidth="1"/>
    <col min="7698" max="7698" width="5.09765625" style="1" customWidth="1"/>
    <col min="7699" max="7699" width="11.296875" style="1" customWidth="1"/>
    <col min="7700" max="7700" width="5.09765625" style="1" customWidth="1"/>
    <col min="7701" max="7701" width="10.296875" style="1" customWidth="1"/>
    <col min="7702" max="7702" width="5.3984375" style="1" customWidth="1"/>
    <col min="7703" max="7703" width="12.8984375" style="1" customWidth="1"/>
    <col min="7704" max="7704" width="5.69921875" style="1" bestFit="1" customWidth="1"/>
    <col min="7705" max="7705" width="12.8984375" style="1" customWidth="1"/>
    <col min="7706" max="7706" width="5.69921875" style="1" customWidth="1"/>
    <col min="7707" max="7707" width="12.796875" style="1" customWidth="1"/>
    <col min="7708" max="7710" width="7.09765625" style="1" customWidth="1"/>
    <col min="7711" max="7711" width="14.19921875" style="1" customWidth="1"/>
    <col min="7712" max="7714" width="14.8984375" style="1" customWidth="1"/>
    <col min="7715" max="7716" width="13" style="1" customWidth="1"/>
    <col min="7717" max="7717" width="9.8984375" style="1" bestFit="1" customWidth="1"/>
    <col min="7718" max="7718" width="7.8984375" style="1" customWidth="1"/>
    <col min="7719" max="7719" width="13.796875" style="1" customWidth="1"/>
    <col min="7720" max="7720" width="14.59765625" style="1" customWidth="1"/>
    <col min="7721" max="7721" width="14.19921875" style="1" customWidth="1"/>
    <col min="7722" max="7723" width="14.59765625" style="1" customWidth="1"/>
    <col min="7724" max="7724" width="11.09765625" style="1" bestFit="1" customWidth="1"/>
    <col min="7725" max="7725" width="9" style="1" bestFit="1" customWidth="1"/>
    <col min="7726" max="7928" width="8.8984375" style="1"/>
    <col min="7929" max="7929" width="71.3984375" style="1" customWidth="1"/>
    <col min="7930" max="7930" width="12.8984375" style="1" customWidth="1"/>
    <col min="7931" max="7931" width="6" style="1" customWidth="1"/>
    <col min="7932" max="7932" width="12.8984375" style="1" customWidth="1"/>
    <col min="7933" max="7933" width="6.796875" style="1" customWidth="1"/>
    <col min="7934" max="7934" width="12.8984375" style="1" customWidth="1"/>
    <col min="7935" max="7935" width="6.3984375" style="1" customWidth="1"/>
    <col min="7936" max="7936" width="1.796875" style="1" customWidth="1"/>
    <col min="7937" max="7937" width="11.19921875" style="1" customWidth="1"/>
    <col min="7938" max="7938" width="5.69921875" style="1" customWidth="1"/>
    <col min="7939" max="7939" width="11.59765625" style="1" customWidth="1"/>
    <col min="7940" max="7940" width="5.296875" style="1" customWidth="1"/>
    <col min="7941" max="7941" width="11.59765625" style="1" customWidth="1"/>
    <col min="7942" max="7942" width="5.69921875" style="1" bestFit="1" customWidth="1"/>
    <col min="7943" max="7943" width="12.796875" style="1" customWidth="1"/>
    <col min="7944" max="7944" width="5.8984375" style="1" customWidth="1"/>
    <col min="7945" max="7945" width="11.59765625" style="1" customWidth="1"/>
    <col min="7946" max="7946" width="5.69921875" style="1" bestFit="1" customWidth="1"/>
    <col min="7947" max="7947" width="11.69921875" style="1" customWidth="1"/>
    <col min="7948" max="7948" width="5.69921875" style="1" bestFit="1" customWidth="1"/>
    <col min="7949" max="7949" width="11.19921875" style="1" customWidth="1"/>
    <col min="7950" max="7950" width="5.3984375" style="1" customWidth="1"/>
    <col min="7951" max="7951" width="11.59765625" style="1" customWidth="1"/>
    <col min="7952" max="7952" width="5.09765625" style="1" customWidth="1"/>
    <col min="7953" max="7953" width="11.19921875" style="1" customWidth="1"/>
    <col min="7954" max="7954" width="5.09765625" style="1" customWidth="1"/>
    <col min="7955" max="7955" width="11.296875" style="1" customWidth="1"/>
    <col min="7956" max="7956" width="5.09765625" style="1" customWidth="1"/>
    <col min="7957" max="7957" width="10.296875" style="1" customWidth="1"/>
    <col min="7958" max="7958" width="5.3984375" style="1" customWidth="1"/>
    <col min="7959" max="7959" width="12.8984375" style="1" customWidth="1"/>
    <col min="7960" max="7960" width="5.69921875" style="1" bestFit="1" customWidth="1"/>
    <col min="7961" max="7961" width="12.8984375" style="1" customWidth="1"/>
    <col min="7962" max="7962" width="5.69921875" style="1" customWidth="1"/>
    <col min="7963" max="7963" width="12.796875" style="1" customWidth="1"/>
    <col min="7964" max="7966" width="7.09765625" style="1" customWidth="1"/>
    <col min="7967" max="7967" width="14.19921875" style="1" customWidth="1"/>
    <col min="7968" max="7970" width="14.8984375" style="1" customWidth="1"/>
    <col min="7971" max="7972" width="13" style="1" customWidth="1"/>
    <col min="7973" max="7973" width="9.8984375" style="1" bestFit="1" customWidth="1"/>
    <col min="7974" max="7974" width="7.8984375" style="1" customWidth="1"/>
    <col min="7975" max="7975" width="13.796875" style="1" customWidth="1"/>
    <col min="7976" max="7976" width="14.59765625" style="1" customWidth="1"/>
    <col min="7977" max="7977" width="14.19921875" style="1" customWidth="1"/>
    <col min="7978" max="7979" width="14.59765625" style="1" customWidth="1"/>
    <col min="7980" max="7980" width="11.09765625" style="1" bestFit="1" customWidth="1"/>
    <col min="7981" max="7981" width="9" style="1" bestFit="1" customWidth="1"/>
    <col min="7982" max="8184" width="8.8984375" style="1"/>
    <col min="8185" max="8185" width="71.3984375" style="1" customWidth="1"/>
    <col min="8186" max="8186" width="12.8984375" style="1" customWidth="1"/>
    <col min="8187" max="8187" width="6" style="1" customWidth="1"/>
    <col min="8188" max="8188" width="12.8984375" style="1" customWidth="1"/>
    <col min="8189" max="8189" width="6.796875" style="1" customWidth="1"/>
    <col min="8190" max="8190" width="12.8984375" style="1" customWidth="1"/>
    <col min="8191" max="8191" width="6.3984375" style="1" customWidth="1"/>
    <col min="8192" max="8192" width="1.796875" style="1" customWidth="1"/>
    <col min="8193" max="8193" width="11.19921875" style="1" customWidth="1"/>
    <col min="8194" max="8194" width="5.69921875" style="1" customWidth="1"/>
    <col min="8195" max="8195" width="11.59765625" style="1" customWidth="1"/>
    <col min="8196" max="8196" width="5.296875" style="1" customWidth="1"/>
    <col min="8197" max="8197" width="11.59765625" style="1" customWidth="1"/>
    <col min="8198" max="8198" width="5.69921875" style="1" bestFit="1" customWidth="1"/>
    <col min="8199" max="8199" width="12.796875" style="1" customWidth="1"/>
    <col min="8200" max="8200" width="5.8984375" style="1" customWidth="1"/>
    <col min="8201" max="8201" width="11.59765625" style="1" customWidth="1"/>
    <col min="8202" max="8202" width="5.69921875" style="1" bestFit="1" customWidth="1"/>
    <col min="8203" max="8203" width="11.69921875" style="1" customWidth="1"/>
    <col min="8204" max="8204" width="5.69921875" style="1" bestFit="1" customWidth="1"/>
    <col min="8205" max="8205" width="11.19921875" style="1" customWidth="1"/>
    <col min="8206" max="8206" width="5.3984375" style="1" customWidth="1"/>
    <col min="8207" max="8207" width="11.59765625" style="1" customWidth="1"/>
    <col min="8208" max="8208" width="5.09765625" style="1" customWidth="1"/>
    <col min="8209" max="8209" width="11.19921875" style="1" customWidth="1"/>
    <col min="8210" max="8210" width="5.09765625" style="1" customWidth="1"/>
    <col min="8211" max="8211" width="11.296875" style="1" customWidth="1"/>
    <col min="8212" max="8212" width="5.09765625" style="1" customWidth="1"/>
    <col min="8213" max="8213" width="10.296875" style="1" customWidth="1"/>
    <col min="8214" max="8214" width="5.3984375" style="1" customWidth="1"/>
    <col min="8215" max="8215" width="12.8984375" style="1" customWidth="1"/>
    <col min="8216" max="8216" width="5.69921875" style="1" bestFit="1" customWidth="1"/>
    <col min="8217" max="8217" width="12.8984375" style="1" customWidth="1"/>
    <col min="8218" max="8218" width="5.69921875" style="1" customWidth="1"/>
    <col min="8219" max="8219" width="12.796875" style="1" customWidth="1"/>
    <col min="8220" max="8222" width="7.09765625" style="1" customWidth="1"/>
    <col min="8223" max="8223" width="14.19921875" style="1" customWidth="1"/>
    <col min="8224" max="8226" width="14.8984375" style="1" customWidth="1"/>
    <col min="8227" max="8228" width="13" style="1" customWidth="1"/>
    <col min="8229" max="8229" width="9.8984375" style="1" bestFit="1" customWidth="1"/>
    <col min="8230" max="8230" width="7.8984375" style="1" customWidth="1"/>
    <col min="8231" max="8231" width="13.796875" style="1" customWidth="1"/>
    <col min="8232" max="8232" width="14.59765625" style="1" customWidth="1"/>
    <col min="8233" max="8233" width="14.19921875" style="1" customWidth="1"/>
    <col min="8234" max="8235" width="14.59765625" style="1" customWidth="1"/>
    <col min="8236" max="8236" width="11.09765625" style="1" bestFit="1" customWidth="1"/>
    <col min="8237" max="8237" width="9" style="1" bestFit="1" customWidth="1"/>
    <col min="8238" max="8440" width="8.8984375" style="1"/>
    <col min="8441" max="8441" width="71.3984375" style="1" customWidth="1"/>
    <col min="8442" max="8442" width="12.8984375" style="1" customWidth="1"/>
    <col min="8443" max="8443" width="6" style="1" customWidth="1"/>
    <col min="8444" max="8444" width="12.8984375" style="1" customWidth="1"/>
    <col min="8445" max="8445" width="6.796875" style="1" customWidth="1"/>
    <col min="8446" max="8446" width="12.8984375" style="1" customWidth="1"/>
    <col min="8447" max="8447" width="6.3984375" style="1" customWidth="1"/>
    <col min="8448" max="8448" width="1.796875" style="1" customWidth="1"/>
    <col min="8449" max="8449" width="11.19921875" style="1" customWidth="1"/>
    <col min="8450" max="8450" width="5.69921875" style="1" customWidth="1"/>
    <col min="8451" max="8451" width="11.59765625" style="1" customWidth="1"/>
    <col min="8452" max="8452" width="5.296875" style="1" customWidth="1"/>
    <col min="8453" max="8453" width="11.59765625" style="1" customWidth="1"/>
    <col min="8454" max="8454" width="5.69921875" style="1" bestFit="1" customWidth="1"/>
    <col min="8455" max="8455" width="12.796875" style="1" customWidth="1"/>
    <col min="8456" max="8456" width="5.8984375" style="1" customWidth="1"/>
    <col min="8457" max="8457" width="11.59765625" style="1" customWidth="1"/>
    <col min="8458" max="8458" width="5.69921875" style="1" bestFit="1" customWidth="1"/>
    <col min="8459" max="8459" width="11.69921875" style="1" customWidth="1"/>
    <col min="8460" max="8460" width="5.69921875" style="1" bestFit="1" customWidth="1"/>
    <col min="8461" max="8461" width="11.19921875" style="1" customWidth="1"/>
    <col min="8462" max="8462" width="5.3984375" style="1" customWidth="1"/>
    <col min="8463" max="8463" width="11.59765625" style="1" customWidth="1"/>
    <col min="8464" max="8464" width="5.09765625" style="1" customWidth="1"/>
    <col min="8465" max="8465" width="11.19921875" style="1" customWidth="1"/>
    <col min="8466" max="8466" width="5.09765625" style="1" customWidth="1"/>
    <col min="8467" max="8467" width="11.296875" style="1" customWidth="1"/>
    <col min="8468" max="8468" width="5.09765625" style="1" customWidth="1"/>
    <col min="8469" max="8469" width="10.296875" style="1" customWidth="1"/>
    <col min="8470" max="8470" width="5.3984375" style="1" customWidth="1"/>
    <col min="8471" max="8471" width="12.8984375" style="1" customWidth="1"/>
    <col min="8472" max="8472" width="5.69921875" style="1" bestFit="1" customWidth="1"/>
    <col min="8473" max="8473" width="12.8984375" style="1" customWidth="1"/>
    <col min="8474" max="8474" width="5.69921875" style="1" customWidth="1"/>
    <col min="8475" max="8475" width="12.796875" style="1" customWidth="1"/>
    <col min="8476" max="8478" width="7.09765625" style="1" customWidth="1"/>
    <col min="8479" max="8479" width="14.19921875" style="1" customWidth="1"/>
    <col min="8480" max="8482" width="14.8984375" style="1" customWidth="1"/>
    <col min="8483" max="8484" width="13" style="1" customWidth="1"/>
    <col min="8485" max="8485" width="9.8984375" style="1" bestFit="1" customWidth="1"/>
    <col min="8486" max="8486" width="7.8984375" style="1" customWidth="1"/>
    <col min="8487" max="8487" width="13.796875" style="1" customWidth="1"/>
    <col min="8488" max="8488" width="14.59765625" style="1" customWidth="1"/>
    <col min="8489" max="8489" width="14.19921875" style="1" customWidth="1"/>
    <col min="8490" max="8491" width="14.59765625" style="1" customWidth="1"/>
    <col min="8492" max="8492" width="11.09765625" style="1" bestFit="1" customWidth="1"/>
    <col min="8493" max="8493" width="9" style="1" bestFit="1" customWidth="1"/>
    <col min="8494" max="8696" width="8.8984375" style="1"/>
    <col min="8697" max="8697" width="71.3984375" style="1" customWidth="1"/>
    <col min="8698" max="8698" width="12.8984375" style="1" customWidth="1"/>
    <col min="8699" max="8699" width="6" style="1" customWidth="1"/>
    <col min="8700" max="8700" width="12.8984375" style="1" customWidth="1"/>
    <col min="8701" max="8701" width="6.796875" style="1" customWidth="1"/>
    <col min="8702" max="8702" width="12.8984375" style="1" customWidth="1"/>
    <col min="8703" max="8703" width="6.3984375" style="1" customWidth="1"/>
    <col min="8704" max="8704" width="1.796875" style="1" customWidth="1"/>
    <col min="8705" max="8705" width="11.19921875" style="1" customWidth="1"/>
    <col min="8706" max="8706" width="5.69921875" style="1" customWidth="1"/>
    <col min="8707" max="8707" width="11.59765625" style="1" customWidth="1"/>
    <col min="8708" max="8708" width="5.296875" style="1" customWidth="1"/>
    <col min="8709" max="8709" width="11.59765625" style="1" customWidth="1"/>
    <col min="8710" max="8710" width="5.69921875" style="1" bestFit="1" customWidth="1"/>
    <col min="8711" max="8711" width="12.796875" style="1" customWidth="1"/>
    <col min="8712" max="8712" width="5.8984375" style="1" customWidth="1"/>
    <col min="8713" max="8713" width="11.59765625" style="1" customWidth="1"/>
    <col min="8714" max="8714" width="5.69921875" style="1" bestFit="1" customWidth="1"/>
    <col min="8715" max="8715" width="11.69921875" style="1" customWidth="1"/>
    <col min="8716" max="8716" width="5.69921875" style="1" bestFit="1" customWidth="1"/>
    <col min="8717" max="8717" width="11.19921875" style="1" customWidth="1"/>
    <col min="8718" max="8718" width="5.3984375" style="1" customWidth="1"/>
    <col min="8719" max="8719" width="11.59765625" style="1" customWidth="1"/>
    <col min="8720" max="8720" width="5.09765625" style="1" customWidth="1"/>
    <col min="8721" max="8721" width="11.19921875" style="1" customWidth="1"/>
    <col min="8722" max="8722" width="5.09765625" style="1" customWidth="1"/>
    <col min="8723" max="8723" width="11.296875" style="1" customWidth="1"/>
    <col min="8724" max="8724" width="5.09765625" style="1" customWidth="1"/>
    <col min="8725" max="8725" width="10.296875" style="1" customWidth="1"/>
    <col min="8726" max="8726" width="5.3984375" style="1" customWidth="1"/>
    <col min="8727" max="8727" width="12.8984375" style="1" customWidth="1"/>
    <col min="8728" max="8728" width="5.69921875" style="1" bestFit="1" customWidth="1"/>
    <col min="8729" max="8729" width="12.8984375" style="1" customWidth="1"/>
    <col min="8730" max="8730" width="5.69921875" style="1" customWidth="1"/>
    <col min="8731" max="8731" width="12.796875" style="1" customWidth="1"/>
    <col min="8732" max="8734" width="7.09765625" style="1" customWidth="1"/>
    <col min="8735" max="8735" width="14.19921875" style="1" customWidth="1"/>
    <col min="8736" max="8738" width="14.8984375" style="1" customWidth="1"/>
    <col min="8739" max="8740" width="13" style="1" customWidth="1"/>
    <col min="8741" max="8741" width="9.8984375" style="1" bestFit="1" customWidth="1"/>
    <col min="8742" max="8742" width="7.8984375" style="1" customWidth="1"/>
    <col min="8743" max="8743" width="13.796875" style="1" customWidth="1"/>
    <col min="8744" max="8744" width="14.59765625" style="1" customWidth="1"/>
    <col min="8745" max="8745" width="14.19921875" style="1" customWidth="1"/>
    <col min="8746" max="8747" width="14.59765625" style="1" customWidth="1"/>
    <col min="8748" max="8748" width="11.09765625" style="1" bestFit="1" customWidth="1"/>
    <col min="8749" max="8749" width="9" style="1" bestFit="1" customWidth="1"/>
    <col min="8750" max="8952" width="8.8984375" style="1"/>
    <col min="8953" max="8953" width="71.3984375" style="1" customWidth="1"/>
    <col min="8954" max="8954" width="12.8984375" style="1" customWidth="1"/>
    <col min="8955" max="8955" width="6" style="1" customWidth="1"/>
    <col min="8956" max="8956" width="12.8984375" style="1" customWidth="1"/>
    <col min="8957" max="8957" width="6.796875" style="1" customWidth="1"/>
    <col min="8958" max="8958" width="12.8984375" style="1" customWidth="1"/>
    <col min="8959" max="8959" width="6.3984375" style="1" customWidth="1"/>
    <col min="8960" max="8960" width="1.796875" style="1" customWidth="1"/>
    <col min="8961" max="8961" width="11.19921875" style="1" customWidth="1"/>
    <col min="8962" max="8962" width="5.69921875" style="1" customWidth="1"/>
    <col min="8963" max="8963" width="11.59765625" style="1" customWidth="1"/>
    <col min="8964" max="8964" width="5.296875" style="1" customWidth="1"/>
    <col min="8965" max="8965" width="11.59765625" style="1" customWidth="1"/>
    <col min="8966" max="8966" width="5.69921875" style="1" bestFit="1" customWidth="1"/>
    <col min="8967" max="8967" width="12.796875" style="1" customWidth="1"/>
    <col min="8968" max="8968" width="5.8984375" style="1" customWidth="1"/>
    <col min="8969" max="8969" width="11.59765625" style="1" customWidth="1"/>
    <col min="8970" max="8970" width="5.69921875" style="1" bestFit="1" customWidth="1"/>
    <col min="8971" max="8971" width="11.69921875" style="1" customWidth="1"/>
    <col min="8972" max="8972" width="5.69921875" style="1" bestFit="1" customWidth="1"/>
    <col min="8973" max="8973" width="11.19921875" style="1" customWidth="1"/>
    <col min="8974" max="8974" width="5.3984375" style="1" customWidth="1"/>
    <col min="8975" max="8975" width="11.59765625" style="1" customWidth="1"/>
    <col min="8976" max="8976" width="5.09765625" style="1" customWidth="1"/>
    <col min="8977" max="8977" width="11.19921875" style="1" customWidth="1"/>
    <col min="8978" max="8978" width="5.09765625" style="1" customWidth="1"/>
    <col min="8979" max="8979" width="11.296875" style="1" customWidth="1"/>
    <col min="8980" max="8980" width="5.09765625" style="1" customWidth="1"/>
    <col min="8981" max="8981" width="10.296875" style="1" customWidth="1"/>
    <col min="8982" max="8982" width="5.3984375" style="1" customWidth="1"/>
    <col min="8983" max="8983" width="12.8984375" style="1" customWidth="1"/>
    <col min="8984" max="8984" width="5.69921875" style="1" bestFit="1" customWidth="1"/>
    <col min="8985" max="8985" width="12.8984375" style="1" customWidth="1"/>
    <col min="8986" max="8986" width="5.69921875" style="1" customWidth="1"/>
    <col min="8987" max="8987" width="12.796875" style="1" customWidth="1"/>
    <col min="8988" max="8990" width="7.09765625" style="1" customWidth="1"/>
    <col min="8991" max="8991" width="14.19921875" style="1" customWidth="1"/>
    <col min="8992" max="8994" width="14.8984375" style="1" customWidth="1"/>
    <col min="8995" max="8996" width="13" style="1" customWidth="1"/>
    <col min="8997" max="8997" width="9.8984375" style="1" bestFit="1" customWidth="1"/>
    <col min="8998" max="8998" width="7.8984375" style="1" customWidth="1"/>
    <col min="8999" max="8999" width="13.796875" style="1" customWidth="1"/>
    <col min="9000" max="9000" width="14.59765625" style="1" customWidth="1"/>
    <col min="9001" max="9001" width="14.19921875" style="1" customWidth="1"/>
    <col min="9002" max="9003" width="14.59765625" style="1" customWidth="1"/>
    <col min="9004" max="9004" width="11.09765625" style="1" bestFit="1" customWidth="1"/>
    <col min="9005" max="9005" width="9" style="1" bestFit="1" customWidth="1"/>
    <col min="9006" max="9208" width="8.8984375" style="1"/>
    <col min="9209" max="9209" width="71.3984375" style="1" customWidth="1"/>
    <col min="9210" max="9210" width="12.8984375" style="1" customWidth="1"/>
    <col min="9211" max="9211" width="6" style="1" customWidth="1"/>
    <col min="9212" max="9212" width="12.8984375" style="1" customWidth="1"/>
    <col min="9213" max="9213" width="6.796875" style="1" customWidth="1"/>
    <col min="9214" max="9214" width="12.8984375" style="1" customWidth="1"/>
    <col min="9215" max="9215" width="6.3984375" style="1" customWidth="1"/>
    <col min="9216" max="9216" width="1.796875" style="1" customWidth="1"/>
    <col min="9217" max="9217" width="11.19921875" style="1" customWidth="1"/>
    <col min="9218" max="9218" width="5.69921875" style="1" customWidth="1"/>
    <col min="9219" max="9219" width="11.59765625" style="1" customWidth="1"/>
    <col min="9220" max="9220" width="5.296875" style="1" customWidth="1"/>
    <col min="9221" max="9221" width="11.59765625" style="1" customWidth="1"/>
    <col min="9222" max="9222" width="5.69921875" style="1" bestFit="1" customWidth="1"/>
    <col min="9223" max="9223" width="12.796875" style="1" customWidth="1"/>
    <col min="9224" max="9224" width="5.8984375" style="1" customWidth="1"/>
    <col min="9225" max="9225" width="11.59765625" style="1" customWidth="1"/>
    <col min="9226" max="9226" width="5.69921875" style="1" bestFit="1" customWidth="1"/>
    <col min="9227" max="9227" width="11.69921875" style="1" customWidth="1"/>
    <col min="9228" max="9228" width="5.69921875" style="1" bestFit="1" customWidth="1"/>
    <col min="9229" max="9229" width="11.19921875" style="1" customWidth="1"/>
    <col min="9230" max="9230" width="5.3984375" style="1" customWidth="1"/>
    <col min="9231" max="9231" width="11.59765625" style="1" customWidth="1"/>
    <col min="9232" max="9232" width="5.09765625" style="1" customWidth="1"/>
    <col min="9233" max="9233" width="11.19921875" style="1" customWidth="1"/>
    <col min="9234" max="9234" width="5.09765625" style="1" customWidth="1"/>
    <col min="9235" max="9235" width="11.296875" style="1" customWidth="1"/>
    <col min="9236" max="9236" width="5.09765625" style="1" customWidth="1"/>
    <col min="9237" max="9237" width="10.296875" style="1" customWidth="1"/>
    <col min="9238" max="9238" width="5.3984375" style="1" customWidth="1"/>
    <col min="9239" max="9239" width="12.8984375" style="1" customWidth="1"/>
    <col min="9240" max="9240" width="5.69921875" style="1" bestFit="1" customWidth="1"/>
    <col min="9241" max="9241" width="12.8984375" style="1" customWidth="1"/>
    <col min="9242" max="9242" width="5.69921875" style="1" customWidth="1"/>
    <col min="9243" max="9243" width="12.796875" style="1" customWidth="1"/>
    <col min="9244" max="9246" width="7.09765625" style="1" customWidth="1"/>
    <col min="9247" max="9247" width="14.19921875" style="1" customWidth="1"/>
    <col min="9248" max="9250" width="14.8984375" style="1" customWidth="1"/>
    <col min="9251" max="9252" width="13" style="1" customWidth="1"/>
    <col min="9253" max="9253" width="9.8984375" style="1" bestFit="1" customWidth="1"/>
    <col min="9254" max="9254" width="7.8984375" style="1" customWidth="1"/>
    <col min="9255" max="9255" width="13.796875" style="1" customWidth="1"/>
    <col min="9256" max="9256" width="14.59765625" style="1" customWidth="1"/>
    <col min="9257" max="9257" width="14.19921875" style="1" customWidth="1"/>
    <col min="9258" max="9259" width="14.59765625" style="1" customWidth="1"/>
    <col min="9260" max="9260" width="11.09765625" style="1" bestFit="1" customWidth="1"/>
    <col min="9261" max="9261" width="9" style="1" bestFit="1" customWidth="1"/>
    <col min="9262" max="9464" width="8.8984375" style="1"/>
    <col min="9465" max="9465" width="71.3984375" style="1" customWidth="1"/>
    <col min="9466" max="9466" width="12.8984375" style="1" customWidth="1"/>
    <col min="9467" max="9467" width="6" style="1" customWidth="1"/>
    <col min="9468" max="9468" width="12.8984375" style="1" customWidth="1"/>
    <col min="9469" max="9469" width="6.796875" style="1" customWidth="1"/>
    <col min="9470" max="9470" width="12.8984375" style="1" customWidth="1"/>
    <col min="9471" max="9471" width="6.3984375" style="1" customWidth="1"/>
    <col min="9472" max="9472" width="1.796875" style="1" customWidth="1"/>
    <col min="9473" max="9473" width="11.19921875" style="1" customWidth="1"/>
    <col min="9474" max="9474" width="5.69921875" style="1" customWidth="1"/>
    <col min="9475" max="9475" width="11.59765625" style="1" customWidth="1"/>
    <col min="9476" max="9476" width="5.296875" style="1" customWidth="1"/>
    <col min="9477" max="9477" width="11.59765625" style="1" customWidth="1"/>
    <col min="9478" max="9478" width="5.69921875" style="1" bestFit="1" customWidth="1"/>
    <col min="9479" max="9479" width="12.796875" style="1" customWidth="1"/>
    <col min="9480" max="9480" width="5.8984375" style="1" customWidth="1"/>
    <col min="9481" max="9481" width="11.59765625" style="1" customWidth="1"/>
    <col min="9482" max="9482" width="5.69921875" style="1" bestFit="1" customWidth="1"/>
    <col min="9483" max="9483" width="11.69921875" style="1" customWidth="1"/>
    <col min="9484" max="9484" width="5.69921875" style="1" bestFit="1" customWidth="1"/>
    <col min="9485" max="9485" width="11.19921875" style="1" customWidth="1"/>
    <col min="9486" max="9486" width="5.3984375" style="1" customWidth="1"/>
    <col min="9487" max="9487" width="11.59765625" style="1" customWidth="1"/>
    <col min="9488" max="9488" width="5.09765625" style="1" customWidth="1"/>
    <col min="9489" max="9489" width="11.19921875" style="1" customWidth="1"/>
    <col min="9490" max="9490" width="5.09765625" style="1" customWidth="1"/>
    <col min="9491" max="9491" width="11.296875" style="1" customWidth="1"/>
    <col min="9492" max="9492" width="5.09765625" style="1" customWidth="1"/>
    <col min="9493" max="9493" width="10.296875" style="1" customWidth="1"/>
    <col min="9494" max="9494" width="5.3984375" style="1" customWidth="1"/>
    <col min="9495" max="9495" width="12.8984375" style="1" customWidth="1"/>
    <col min="9496" max="9496" width="5.69921875" style="1" bestFit="1" customWidth="1"/>
    <col min="9497" max="9497" width="12.8984375" style="1" customWidth="1"/>
    <col min="9498" max="9498" width="5.69921875" style="1" customWidth="1"/>
    <col min="9499" max="9499" width="12.796875" style="1" customWidth="1"/>
    <col min="9500" max="9502" width="7.09765625" style="1" customWidth="1"/>
    <col min="9503" max="9503" width="14.19921875" style="1" customWidth="1"/>
    <col min="9504" max="9506" width="14.8984375" style="1" customWidth="1"/>
    <col min="9507" max="9508" width="13" style="1" customWidth="1"/>
    <col min="9509" max="9509" width="9.8984375" style="1" bestFit="1" customWidth="1"/>
    <col min="9510" max="9510" width="7.8984375" style="1" customWidth="1"/>
    <col min="9511" max="9511" width="13.796875" style="1" customWidth="1"/>
    <col min="9512" max="9512" width="14.59765625" style="1" customWidth="1"/>
    <col min="9513" max="9513" width="14.19921875" style="1" customWidth="1"/>
    <col min="9514" max="9515" width="14.59765625" style="1" customWidth="1"/>
    <col min="9516" max="9516" width="11.09765625" style="1" bestFit="1" customWidth="1"/>
    <col min="9517" max="9517" width="9" style="1" bestFit="1" customWidth="1"/>
    <col min="9518" max="9720" width="8.8984375" style="1"/>
    <col min="9721" max="9721" width="71.3984375" style="1" customWidth="1"/>
    <col min="9722" max="9722" width="12.8984375" style="1" customWidth="1"/>
    <col min="9723" max="9723" width="6" style="1" customWidth="1"/>
    <col min="9724" max="9724" width="12.8984375" style="1" customWidth="1"/>
    <col min="9725" max="9725" width="6.796875" style="1" customWidth="1"/>
    <col min="9726" max="9726" width="12.8984375" style="1" customWidth="1"/>
    <col min="9727" max="9727" width="6.3984375" style="1" customWidth="1"/>
    <col min="9728" max="9728" width="1.796875" style="1" customWidth="1"/>
    <col min="9729" max="9729" width="11.19921875" style="1" customWidth="1"/>
    <col min="9730" max="9730" width="5.69921875" style="1" customWidth="1"/>
    <col min="9731" max="9731" width="11.59765625" style="1" customWidth="1"/>
    <col min="9732" max="9732" width="5.296875" style="1" customWidth="1"/>
    <col min="9733" max="9733" width="11.59765625" style="1" customWidth="1"/>
    <col min="9734" max="9734" width="5.69921875" style="1" bestFit="1" customWidth="1"/>
    <col min="9735" max="9735" width="12.796875" style="1" customWidth="1"/>
    <col min="9736" max="9736" width="5.8984375" style="1" customWidth="1"/>
    <col min="9737" max="9737" width="11.59765625" style="1" customWidth="1"/>
    <col min="9738" max="9738" width="5.69921875" style="1" bestFit="1" customWidth="1"/>
    <col min="9739" max="9739" width="11.69921875" style="1" customWidth="1"/>
    <col min="9740" max="9740" width="5.69921875" style="1" bestFit="1" customWidth="1"/>
    <col min="9741" max="9741" width="11.19921875" style="1" customWidth="1"/>
    <col min="9742" max="9742" width="5.3984375" style="1" customWidth="1"/>
    <col min="9743" max="9743" width="11.59765625" style="1" customWidth="1"/>
    <col min="9744" max="9744" width="5.09765625" style="1" customWidth="1"/>
    <col min="9745" max="9745" width="11.19921875" style="1" customWidth="1"/>
    <col min="9746" max="9746" width="5.09765625" style="1" customWidth="1"/>
    <col min="9747" max="9747" width="11.296875" style="1" customWidth="1"/>
    <col min="9748" max="9748" width="5.09765625" style="1" customWidth="1"/>
    <col min="9749" max="9749" width="10.296875" style="1" customWidth="1"/>
    <col min="9750" max="9750" width="5.3984375" style="1" customWidth="1"/>
    <col min="9751" max="9751" width="12.8984375" style="1" customWidth="1"/>
    <col min="9752" max="9752" width="5.69921875" style="1" bestFit="1" customWidth="1"/>
    <col min="9753" max="9753" width="12.8984375" style="1" customWidth="1"/>
    <col min="9754" max="9754" width="5.69921875" style="1" customWidth="1"/>
    <col min="9755" max="9755" width="12.796875" style="1" customWidth="1"/>
    <col min="9756" max="9758" width="7.09765625" style="1" customWidth="1"/>
    <col min="9759" max="9759" width="14.19921875" style="1" customWidth="1"/>
    <col min="9760" max="9762" width="14.8984375" style="1" customWidth="1"/>
    <col min="9763" max="9764" width="13" style="1" customWidth="1"/>
    <col min="9765" max="9765" width="9.8984375" style="1" bestFit="1" customWidth="1"/>
    <col min="9766" max="9766" width="7.8984375" style="1" customWidth="1"/>
    <col min="9767" max="9767" width="13.796875" style="1" customWidth="1"/>
    <col min="9768" max="9768" width="14.59765625" style="1" customWidth="1"/>
    <col min="9769" max="9769" width="14.19921875" style="1" customWidth="1"/>
    <col min="9770" max="9771" width="14.59765625" style="1" customWidth="1"/>
    <col min="9772" max="9772" width="11.09765625" style="1" bestFit="1" customWidth="1"/>
    <col min="9773" max="9773" width="9" style="1" bestFit="1" customWidth="1"/>
    <col min="9774" max="9976" width="8.8984375" style="1"/>
    <col min="9977" max="9977" width="71.3984375" style="1" customWidth="1"/>
    <col min="9978" max="9978" width="12.8984375" style="1" customWidth="1"/>
    <col min="9979" max="9979" width="6" style="1" customWidth="1"/>
    <col min="9980" max="9980" width="12.8984375" style="1" customWidth="1"/>
    <col min="9981" max="9981" width="6.796875" style="1" customWidth="1"/>
    <col min="9982" max="9982" width="12.8984375" style="1" customWidth="1"/>
    <col min="9983" max="9983" width="6.3984375" style="1" customWidth="1"/>
    <col min="9984" max="9984" width="1.796875" style="1" customWidth="1"/>
    <col min="9985" max="9985" width="11.19921875" style="1" customWidth="1"/>
    <col min="9986" max="9986" width="5.69921875" style="1" customWidth="1"/>
    <col min="9987" max="9987" width="11.59765625" style="1" customWidth="1"/>
    <col min="9988" max="9988" width="5.296875" style="1" customWidth="1"/>
    <col min="9989" max="9989" width="11.59765625" style="1" customWidth="1"/>
    <col min="9990" max="9990" width="5.69921875" style="1" bestFit="1" customWidth="1"/>
    <col min="9991" max="9991" width="12.796875" style="1" customWidth="1"/>
    <col min="9992" max="9992" width="5.8984375" style="1" customWidth="1"/>
    <col min="9993" max="9993" width="11.59765625" style="1" customWidth="1"/>
    <col min="9994" max="9994" width="5.69921875" style="1" bestFit="1" customWidth="1"/>
    <col min="9995" max="9995" width="11.69921875" style="1" customWidth="1"/>
    <col min="9996" max="9996" width="5.69921875" style="1" bestFit="1" customWidth="1"/>
    <col min="9997" max="9997" width="11.19921875" style="1" customWidth="1"/>
    <col min="9998" max="9998" width="5.3984375" style="1" customWidth="1"/>
    <col min="9999" max="9999" width="11.59765625" style="1" customWidth="1"/>
    <col min="10000" max="10000" width="5.09765625" style="1" customWidth="1"/>
    <col min="10001" max="10001" width="11.19921875" style="1" customWidth="1"/>
    <col min="10002" max="10002" width="5.09765625" style="1" customWidth="1"/>
    <col min="10003" max="10003" width="11.296875" style="1" customWidth="1"/>
    <col min="10004" max="10004" width="5.09765625" style="1" customWidth="1"/>
    <col min="10005" max="10005" width="10.296875" style="1" customWidth="1"/>
    <col min="10006" max="10006" width="5.3984375" style="1" customWidth="1"/>
    <col min="10007" max="10007" width="12.8984375" style="1" customWidth="1"/>
    <col min="10008" max="10008" width="5.69921875" style="1" bestFit="1" customWidth="1"/>
    <col min="10009" max="10009" width="12.8984375" style="1" customWidth="1"/>
    <col min="10010" max="10010" width="5.69921875" style="1" customWidth="1"/>
    <col min="10011" max="10011" width="12.796875" style="1" customWidth="1"/>
    <col min="10012" max="10014" width="7.09765625" style="1" customWidth="1"/>
    <col min="10015" max="10015" width="14.19921875" style="1" customWidth="1"/>
    <col min="10016" max="10018" width="14.8984375" style="1" customWidth="1"/>
    <col min="10019" max="10020" width="13" style="1" customWidth="1"/>
    <col min="10021" max="10021" width="9.8984375" style="1" bestFit="1" customWidth="1"/>
    <col min="10022" max="10022" width="7.8984375" style="1" customWidth="1"/>
    <col min="10023" max="10023" width="13.796875" style="1" customWidth="1"/>
    <col min="10024" max="10024" width="14.59765625" style="1" customWidth="1"/>
    <col min="10025" max="10025" width="14.19921875" style="1" customWidth="1"/>
    <col min="10026" max="10027" width="14.59765625" style="1" customWidth="1"/>
    <col min="10028" max="10028" width="11.09765625" style="1" bestFit="1" customWidth="1"/>
    <col min="10029" max="10029" width="9" style="1" bestFit="1" customWidth="1"/>
    <col min="10030" max="10232" width="8.8984375" style="1"/>
    <col min="10233" max="10233" width="71.3984375" style="1" customWidth="1"/>
    <col min="10234" max="10234" width="12.8984375" style="1" customWidth="1"/>
    <col min="10235" max="10235" width="6" style="1" customWidth="1"/>
    <col min="10236" max="10236" width="12.8984375" style="1" customWidth="1"/>
    <col min="10237" max="10237" width="6.796875" style="1" customWidth="1"/>
    <col min="10238" max="10238" width="12.8984375" style="1" customWidth="1"/>
    <col min="10239" max="10239" width="6.3984375" style="1" customWidth="1"/>
    <col min="10240" max="10240" width="1.796875" style="1" customWidth="1"/>
    <col min="10241" max="10241" width="11.19921875" style="1" customWidth="1"/>
    <col min="10242" max="10242" width="5.69921875" style="1" customWidth="1"/>
    <col min="10243" max="10243" width="11.59765625" style="1" customWidth="1"/>
    <col min="10244" max="10244" width="5.296875" style="1" customWidth="1"/>
    <col min="10245" max="10245" width="11.59765625" style="1" customWidth="1"/>
    <col min="10246" max="10246" width="5.69921875" style="1" bestFit="1" customWidth="1"/>
    <col min="10247" max="10247" width="12.796875" style="1" customWidth="1"/>
    <col min="10248" max="10248" width="5.8984375" style="1" customWidth="1"/>
    <col min="10249" max="10249" width="11.59765625" style="1" customWidth="1"/>
    <col min="10250" max="10250" width="5.69921875" style="1" bestFit="1" customWidth="1"/>
    <col min="10251" max="10251" width="11.69921875" style="1" customWidth="1"/>
    <col min="10252" max="10252" width="5.69921875" style="1" bestFit="1" customWidth="1"/>
    <col min="10253" max="10253" width="11.19921875" style="1" customWidth="1"/>
    <col min="10254" max="10254" width="5.3984375" style="1" customWidth="1"/>
    <col min="10255" max="10255" width="11.59765625" style="1" customWidth="1"/>
    <col min="10256" max="10256" width="5.09765625" style="1" customWidth="1"/>
    <col min="10257" max="10257" width="11.19921875" style="1" customWidth="1"/>
    <col min="10258" max="10258" width="5.09765625" style="1" customWidth="1"/>
    <col min="10259" max="10259" width="11.296875" style="1" customWidth="1"/>
    <col min="10260" max="10260" width="5.09765625" style="1" customWidth="1"/>
    <col min="10261" max="10261" width="10.296875" style="1" customWidth="1"/>
    <col min="10262" max="10262" width="5.3984375" style="1" customWidth="1"/>
    <col min="10263" max="10263" width="12.8984375" style="1" customWidth="1"/>
    <col min="10264" max="10264" width="5.69921875" style="1" bestFit="1" customWidth="1"/>
    <col min="10265" max="10265" width="12.8984375" style="1" customWidth="1"/>
    <col min="10266" max="10266" width="5.69921875" style="1" customWidth="1"/>
    <col min="10267" max="10267" width="12.796875" style="1" customWidth="1"/>
    <col min="10268" max="10270" width="7.09765625" style="1" customWidth="1"/>
    <col min="10271" max="10271" width="14.19921875" style="1" customWidth="1"/>
    <col min="10272" max="10274" width="14.8984375" style="1" customWidth="1"/>
    <col min="10275" max="10276" width="13" style="1" customWidth="1"/>
    <col min="10277" max="10277" width="9.8984375" style="1" bestFit="1" customWidth="1"/>
    <col min="10278" max="10278" width="7.8984375" style="1" customWidth="1"/>
    <col min="10279" max="10279" width="13.796875" style="1" customWidth="1"/>
    <col min="10280" max="10280" width="14.59765625" style="1" customWidth="1"/>
    <col min="10281" max="10281" width="14.19921875" style="1" customWidth="1"/>
    <col min="10282" max="10283" width="14.59765625" style="1" customWidth="1"/>
    <col min="10284" max="10284" width="11.09765625" style="1" bestFit="1" customWidth="1"/>
    <col min="10285" max="10285" width="9" style="1" bestFit="1" customWidth="1"/>
    <col min="10286" max="10488" width="8.8984375" style="1"/>
    <col min="10489" max="10489" width="71.3984375" style="1" customWidth="1"/>
    <col min="10490" max="10490" width="12.8984375" style="1" customWidth="1"/>
    <col min="10491" max="10491" width="6" style="1" customWidth="1"/>
    <col min="10492" max="10492" width="12.8984375" style="1" customWidth="1"/>
    <col min="10493" max="10493" width="6.796875" style="1" customWidth="1"/>
    <col min="10494" max="10494" width="12.8984375" style="1" customWidth="1"/>
    <col min="10495" max="10495" width="6.3984375" style="1" customWidth="1"/>
    <col min="10496" max="10496" width="1.796875" style="1" customWidth="1"/>
    <col min="10497" max="10497" width="11.19921875" style="1" customWidth="1"/>
    <col min="10498" max="10498" width="5.69921875" style="1" customWidth="1"/>
    <col min="10499" max="10499" width="11.59765625" style="1" customWidth="1"/>
    <col min="10500" max="10500" width="5.296875" style="1" customWidth="1"/>
    <col min="10501" max="10501" width="11.59765625" style="1" customWidth="1"/>
    <col min="10502" max="10502" width="5.69921875" style="1" bestFit="1" customWidth="1"/>
    <col min="10503" max="10503" width="12.796875" style="1" customWidth="1"/>
    <col min="10504" max="10504" width="5.8984375" style="1" customWidth="1"/>
    <col min="10505" max="10505" width="11.59765625" style="1" customWidth="1"/>
    <col min="10506" max="10506" width="5.69921875" style="1" bestFit="1" customWidth="1"/>
    <col min="10507" max="10507" width="11.69921875" style="1" customWidth="1"/>
    <col min="10508" max="10508" width="5.69921875" style="1" bestFit="1" customWidth="1"/>
    <col min="10509" max="10509" width="11.19921875" style="1" customWidth="1"/>
    <col min="10510" max="10510" width="5.3984375" style="1" customWidth="1"/>
    <col min="10511" max="10511" width="11.59765625" style="1" customWidth="1"/>
    <col min="10512" max="10512" width="5.09765625" style="1" customWidth="1"/>
    <col min="10513" max="10513" width="11.19921875" style="1" customWidth="1"/>
    <col min="10514" max="10514" width="5.09765625" style="1" customWidth="1"/>
    <col min="10515" max="10515" width="11.296875" style="1" customWidth="1"/>
    <col min="10516" max="10516" width="5.09765625" style="1" customWidth="1"/>
    <col min="10517" max="10517" width="10.296875" style="1" customWidth="1"/>
    <col min="10518" max="10518" width="5.3984375" style="1" customWidth="1"/>
    <col min="10519" max="10519" width="12.8984375" style="1" customWidth="1"/>
    <col min="10520" max="10520" width="5.69921875" style="1" bestFit="1" customWidth="1"/>
    <col min="10521" max="10521" width="12.8984375" style="1" customWidth="1"/>
    <col min="10522" max="10522" width="5.69921875" style="1" customWidth="1"/>
    <col min="10523" max="10523" width="12.796875" style="1" customWidth="1"/>
    <col min="10524" max="10526" width="7.09765625" style="1" customWidth="1"/>
    <col min="10527" max="10527" width="14.19921875" style="1" customWidth="1"/>
    <col min="10528" max="10530" width="14.8984375" style="1" customWidth="1"/>
    <col min="10531" max="10532" width="13" style="1" customWidth="1"/>
    <col min="10533" max="10533" width="9.8984375" style="1" bestFit="1" customWidth="1"/>
    <col min="10534" max="10534" width="7.8984375" style="1" customWidth="1"/>
    <col min="10535" max="10535" width="13.796875" style="1" customWidth="1"/>
    <col min="10536" max="10536" width="14.59765625" style="1" customWidth="1"/>
    <col min="10537" max="10537" width="14.19921875" style="1" customWidth="1"/>
    <col min="10538" max="10539" width="14.59765625" style="1" customWidth="1"/>
    <col min="10540" max="10540" width="11.09765625" style="1" bestFit="1" customWidth="1"/>
    <col min="10541" max="10541" width="9" style="1" bestFit="1" customWidth="1"/>
    <col min="10542" max="10744" width="8.8984375" style="1"/>
    <col min="10745" max="10745" width="71.3984375" style="1" customWidth="1"/>
    <col min="10746" max="10746" width="12.8984375" style="1" customWidth="1"/>
    <col min="10747" max="10747" width="6" style="1" customWidth="1"/>
    <col min="10748" max="10748" width="12.8984375" style="1" customWidth="1"/>
    <col min="10749" max="10749" width="6.796875" style="1" customWidth="1"/>
    <col min="10750" max="10750" width="12.8984375" style="1" customWidth="1"/>
    <col min="10751" max="10751" width="6.3984375" style="1" customWidth="1"/>
    <col min="10752" max="10752" width="1.796875" style="1" customWidth="1"/>
    <col min="10753" max="10753" width="11.19921875" style="1" customWidth="1"/>
    <col min="10754" max="10754" width="5.69921875" style="1" customWidth="1"/>
    <col min="10755" max="10755" width="11.59765625" style="1" customWidth="1"/>
    <col min="10756" max="10756" width="5.296875" style="1" customWidth="1"/>
    <col min="10757" max="10757" width="11.59765625" style="1" customWidth="1"/>
    <col min="10758" max="10758" width="5.69921875" style="1" bestFit="1" customWidth="1"/>
    <col min="10759" max="10759" width="12.796875" style="1" customWidth="1"/>
    <col min="10760" max="10760" width="5.8984375" style="1" customWidth="1"/>
    <col min="10761" max="10761" width="11.59765625" style="1" customWidth="1"/>
    <col min="10762" max="10762" width="5.69921875" style="1" bestFit="1" customWidth="1"/>
    <col min="10763" max="10763" width="11.69921875" style="1" customWidth="1"/>
    <col min="10764" max="10764" width="5.69921875" style="1" bestFit="1" customWidth="1"/>
    <col min="10765" max="10765" width="11.19921875" style="1" customWidth="1"/>
    <col min="10766" max="10766" width="5.3984375" style="1" customWidth="1"/>
    <col min="10767" max="10767" width="11.59765625" style="1" customWidth="1"/>
    <col min="10768" max="10768" width="5.09765625" style="1" customWidth="1"/>
    <col min="10769" max="10769" width="11.19921875" style="1" customWidth="1"/>
    <col min="10770" max="10770" width="5.09765625" style="1" customWidth="1"/>
    <col min="10771" max="10771" width="11.296875" style="1" customWidth="1"/>
    <col min="10772" max="10772" width="5.09765625" style="1" customWidth="1"/>
    <col min="10773" max="10773" width="10.296875" style="1" customWidth="1"/>
    <col min="10774" max="10774" width="5.3984375" style="1" customWidth="1"/>
    <col min="10775" max="10775" width="12.8984375" style="1" customWidth="1"/>
    <col min="10776" max="10776" width="5.69921875" style="1" bestFit="1" customWidth="1"/>
    <col min="10777" max="10777" width="12.8984375" style="1" customWidth="1"/>
    <col min="10778" max="10778" width="5.69921875" style="1" customWidth="1"/>
    <col min="10779" max="10779" width="12.796875" style="1" customWidth="1"/>
    <col min="10780" max="10782" width="7.09765625" style="1" customWidth="1"/>
    <col min="10783" max="10783" width="14.19921875" style="1" customWidth="1"/>
    <col min="10784" max="10786" width="14.8984375" style="1" customWidth="1"/>
    <col min="10787" max="10788" width="13" style="1" customWidth="1"/>
    <col min="10789" max="10789" width="9.8984375" style="1" bestFit="1" customWidth="1"/>
    <col min="10790" max="10790" width="7.8984375" style="1" customWidth="1"/>
    <col min="10791" max="10791" width="13.796875" style="1" customWidth="1"/>
    <col min="10792" max="10792" width="14.59765625" style="1" customWidth="1"/>
    <col min="10793" max="10793" width="14.19921875" style="1" customWidth="1"/>
    <col min="10794" max="10795" width="14.59765625" style="1" customWidth="1"/>
    <col min="10796" max="10796" width="11.09765625" style="1" bestFit="1" customWidth="1"/>
    <col min="10797" max="10797" width="9" style="1" bestFit="1" customWidth="1"/>
    <col min="10798" max="11000" width="8.8984375" style="1"/>
    <col min="11001" max="11001" width="71.3984375" style="1" customWidth="1"/>
    <col min="11002" max="11002" width="12.8984375" style="1" customWidth="1"/>
    <col min="11003" max="11003" width="6" style="1" customWidth="1"/>
    <col min="11004" max="11004" width="12.8984375" style="1" customWidth="1"/>
    <col min="11005" max="11005" width="6.796875" style="1" customWidth="1"/>
    <col min="11006" max="11006" width="12.8984375" style="1" customWidth="1"/>
    <col min="11007" max="11007" width="6.3984375" style="1" customWidth="1"/>
    <col min="11008" max="11008" width="1.796875" style="1" customWidth="1"/>
    <col min="11009" max="11009" width="11.19921875" style="1" customWidth="1"/>
    <col min="11010" max="11010" width="5.69921875" style="1" customWidth="1"/>
    <col min="11011" max="11011" width="11.59765625" style="1" customWidth="1"/>
    <col min="11012" max="11012" width="5.296875" style="1" customWidth="1"/>
    <col min="11013" max="11013" width="11.59765625" style="1" customWidth="1"/>
    <col min="11014" max="11014" width="5.69921875" style="1" bestFit="1" customWidth="1"/>
    <col min="11015" max="11015" width="12.796875" style="1" customWidth="1"/>
    <col min="11016" max="11016" width="5.8984375" style="1" customWidth="1"/>
    <col min="11017" max="11017" width="11.59765625" style="1" customWidth="1"/>
    <col min="11018" max="11018" width="5.69921875" style="1" bestFit="1" customWidth="1"/>
    <col min="11019" max="11019" width="11.69921875" style="1" customWidth="1"/>
    <col min="11020" max="11020" width="5.69921875" style="1" bestFit="1" customWidth="1"/>
    <col min="11021" max="11021" width="11.19921875" style="1" customWidth="1"/>
    <col min="11022" max="11022" width="5.3984375" style="1" customWidth="1"/>
    <col min="11023" max="11023" width="11.59765625" style="1" customWidth="1"/>
    <col min="11024" max="11024" width="5.09765625" style="1" customWidth="1"/>
    <col min="11025" max="11025" width="11.19921875" style="1" customWidth="1"/>
    <col min="11026" max="11026" width="5.09765625" style="1" customWidth="1"/>
    <col min="11027" max="11027" width="11.296875" style="1" customWidth="1"/>
    <col min="11028" max="11028" width="5.09765625" style="1" customWidth="1"/>
    <col min="11029" max="11029" width="10.296875" style="1" customWidth="1"/>
    <col min="11030" max="11030" width="5.3984375" style="1" customWidth="1"/>
    <col min="11031" max="11031" width="12.8984375" style="1" customWidth="1"/>
    <col min="11032" max="11032" width="5.69921875" style="1" bestFit="1" customWidth="1"/>
    <col min="11033" max="11033" width="12.8984375" style="1" customWidth="1"/>
    <col min="11034" max="11034" width="5.69921875" style="1" customWidth="1"/>
    <col min="11035" max="11035" width="12.796875" style="1" customWidth="1"/>
    <col min="11036" max="11038" width="7.09765625" style="1" customWidth="1"/>
    <col min="11039" max="11039" width="14.19921875" style="1" customWidth="1"/>
    <col min="11040" max="11042" width="14.8984375" style="1" customWidth="1"/>
    <col min="11043" max="11044" width="13" style="1" customWidth="1"/>
    <col min="11045" max="11045" width="9.8984375" style="1" bestFit="1" customWidth="1"/>
    <col min="11046" max="11046" width="7.8984375" style="1" customWidth="1"/>
    <col min="11047" max="11047" width="13.796875" style="1" customWidth="1"/>
    <col min="11048" max="11048" width="14.59765625" style="1" customWidth="1"/>
    <col min="11049" max="11049" width="14.19921875" style="1" customWidth="1"/>
    <col min="11050" max="11051" width="14.59765625" style="1" customWidth="1"/>
    <col min="11052" max="11052" width="11.09765625" style="1" bestFit="1" customWidth="1"/>
    <col min="11053" max="11053" width="9" style="1" bestFit="1" customWidth="1"/>
    <col min="11054" max="11256" width="8.8984375" style="1"/>
    <col min="11257" max="11257" width="71.3984375" style="1" customWidth="1"/>
    <col min="11258" max="11258" width="12.8984375" style="1" customWidth="1"/>
    <col min="11259" max="11259" width="6" style="1" customWidth="1"/>
    <col min="11260" max="11260" width="12.8984375" style="1" customWidth="1"/>
    <col min="11261" max="11261" width="6.796875" style="1" customWidth="1"/>
    <col min="11262" max="11262" width="12.8984375" style="1" customWidth="1"/>
    <col min="11263" max="11263" width="6.3984375" style="1" customWidth="1"/>
    <col min="11264" max="11264" width="1.796875" style="1" customWidth="1"/>
    <col min="11265" max="11265" width="11.19921875" style="1" customWidth="1"/>
    <col min="11266" max="11266" width="5.69921875" style="1" customWidth="1"/>
    <col min="11267" max="11267" width="11.59765625" style="1" customWidth="1"/>
    <col min="11268" max="11268" width="5.296875" style="1" customWidth="1"/>
    <col min="11269" max="11269" width="11.59765625" style="1" customWidth="1"/>
    <col min="11270" max="11270" width="5.69921875" style="1" bestFit="1" customWidth="1"/>
    <col min="11271" max="11271" width="12.796875" style="1" customWidth="1"/>
    <col min="11272" max="11272" width="5.8984375" style="1" customWidth="1"/>
    <col min="11273" max="11273" width="11.59765625" style="1" customWidth="1"/>
    <col min="11274" max="11274" width="5.69921875" style="1" bestFit="1" customWidth="1"/>
    <col min="11275" max="11275" width="11.69921875" style="1" customWidth="1"/>
    <col min="11276" max="11276" width="5.69921875" style="1" bestFit="1" customWidth="1"/>
    <col min="11277" max="11277" width="11.19921875" style="1" customWidth="1"/>
    <col min="11278" max="11278" width="5.3984375" style="1" customWidth="1"/>
    <col min="11279" max="11279" width="11.59765625" style="1" customWidth="1"/>
    <col min="11280" max="11280" width="5.09765625" style="1" customWidth="1"/>
    <col min="11281" max="11281" width="11.19921875" style="1" customWidth="1"/>
    <col min="11282" max="11282" width="5.09765625" style="1" customWidth="1"/>
    <col min="11283" max="11283" width="11.296875" style="1" customWidth="1"/>
    <col min="11284" max="11284" width="5.09765625" style="1" customWidth="1"/>
    <col min="11285" max="11285" width="10.296875" style="1" customWidth="1"/>
    <col min="11286" max="11286" width="5.3984375" style="1" customWidth="1"/>
    <col min="11287" max="11287" width="12.8984375" style="1" customWidth="1"/>
    <col min="11288" max="11288" width="5.69921875" style="1" bestFit="1" customWidth="1"/>
    <col min="11289" max="11289" width="12.8984375" style="1" customWidth="1"/>
    <col min="11290" max="11290" width="5.69921875" style="1" customWidth="1"/>
    <col min="11291" max="11291" width="12.796875" style="1" customWidth="1"/>
    <col min="11292" max="11294" width="7.09765625" style="1" customWidth="1"/>
    <col min="11295" max="11295" width="14.19921875" style="1" customWidth="1"/>
    <col min="11296" max="11298" width="14.8984375" style="1" customWidth="1"/>
    <col min="11299" max="11300" width="13" style="1" customWidth="1"/>
    <col min="11301" max="11301" width="9.8984375" style="1" bestFit="1" customWidth="1"/>
    <col min="11302" max="11302" width="7.8984375" style="1" customWidth="1"/>
    <col min="11303" max="11303" width="13.796875" style="1" customWidth="1"/>
    <col min="11304" max="11304" width="14.59765625" style="1" customWidth="1"/>
    <col min="11305" max="11305" width="14.19921875" style="1" customWidth="1"/>
    <col min="11306" max="11307" width="14.59765625" style="1" customWidth="1"/>
    <col min="11308" max="11308" width="11.09765625" style="1" bestFit="1" customWidth="1"/>
    <col min="11309" max="11309" width="9" style="1" bestFit="1" customWidth="1"/>
    <col min="11310" max="11512" width="8.8984375" style="1"/>
    <col min="11513" max="11513" width="71.3984375" style="1" customWidth="1"/>
    <col min="11514" max="11514" width="12.8984375" style="1" customWidth="1"/>
    <col min="11515" max="11515" width="6" style="1" customWidth="1"/>
    <col min="11516" max="11516" width="12.8984375" style="1" customWidth="1"/>
    <col min="11517" max="11517" width="6.796875" style="1" customWidth="1"/>
    <col min="11518" max="11518" width="12.8984375" style="1" customWidth="1"/>
    <col min="11519" max="11519" width="6.3984375" style="1" customWidth="1"/>
    <col min="11520" max="11520" width="1.796875" style="1" customWidth="1"/>
    <col min="11521" max="11521" width="11.19921875" style="1" customWidth="1"/>
    <col min="11522" max="11522" width="5.69921875" style="1" customWidth="1"/>
    <col min="11523" max="11523" width="11.59765625" style="1" customWidth="1"/>
    <col min="11524" max="11524" width="5.296875" style="1" customWidth="1"/>
    <col min="11525" max="11525" width="11.59765625" style="1" customWidth="1"/>
    <col min="11526" max="11526" width="5.69921875" style="1" bestFit="1" customWidth="1"/>
    <col min="11527" max="11527" width="12.796875" style="1" customWidth="1"/>
    <col min="11528" max="11528" width="5.8984375" style="1" customWidth="1"/>
    <col min="11529" max="11529" width="11.59765625" style="1" customWidth="1"/>
    <col min="11530" max="11530" width="5.69921875" style="1" bestFit="1" customWidth="1"/>
    <col min="11531" max="11531" width="11.69921875" style="1" customWidth="1"/>
    <col min="11532" max="11532" width="5.69921875" style="1" bestFit="1" customWidth="1"/>
    <col min="11533" max="11533" width="11.19921875" style="1" customWidth="1"/>
    <col min="11534" max="11534" width="5.3984375" style="1" customWidth="1"/>
    <col min="11535" max="11535" width="11.59765625" style="1" customWidth="1"/>
    <col min="11536" max="11536" width="5.09765625" style="1" customWidth="1"/>
    <col min="11537" max="11537" width="11.19921875" style="1" customWidth="1"/>
    <col min="11538" max="11538" width="5.09765625" style="1" customWidth="1"/>
    <col min="11539" max="11539" width="11.296875" style="1" customWidth="1"/>
    <col min="11540" max="11540" width="5.09765625" style="1" customWidth="1"/>
    <col min="11541" max="11541" width="10.296875" style="1" customWidth="1"/>
    <col min="11542" max="11542" width="5.3984375" style="1" customWidth="1"/>
    <col min="11543" max="11543" width="12.8984375" style="1" customWidth="1"/>
    <col min="11544" max="11544" width="5.69921875" style="1" bestFit="1" customWidth="1"/>
    <col min="11545" max="11545" width="12.8984375" style="1" customWidth="1"/>
    <col min="11546" max="11546" width="5.69921875" style="1" customWidth="1"/>
    <col min="11547" max="11547" width="12.796875" style="1" customWidth="1"/>
    <col min="11548" max="11550" width="7.09765625" style="1" customWidth="1"/>
    <col min="11551" max="11551" width="14.19921875" style="1" customWidth="1"/>
    <col min="11552" max="11554" width="14.8984375" style="1" customWidth="1"/>
    <col min="11555" max="11556" width="13" style="1" customWidth="1"/>
    <col min="11557" max="11557" width="9.8984375" style="1" bestFit="1" customWidth="1"/>
    <col min="11558" max="11558" width="7.8984375" style="1" customWidth="1"/>
    <col min="11559" max="11559" width="13.796875" style="1" customWidth="1"/>
    <col min="11560" max="11560" width="14.59765625" style="1" customWidth="1"/>
    <col min="11561" max="11561" width="14.19921875" style="1" customWidth="1"/>
    <col min="11562" max="11563" width="14.59765625" style="1" customWidth="1"/>
    <col min="11564" max="11564" width="11.09765625" style="1" bestFit="1" customWidth="1"/>
    <col min="11565" max="11565" width="9" style="1" bestFit="1" customWidth="1"/>
    <col min="11566" max="11768" width="8.8984375" style="1"/>
    <col min="11769" max="11769" width="71.3984375" style="1" customWidth="1"/>
    <col min="11770" max="11770" width="12.8984375" style="1" customWidth="1"/>
    <col min="11771" max="11771" width="6" style="1" customWidth="1"/>
    <col min="11772" max="11772" width="12.8984375" style="1" customWidth="1"/>
    <col min="11773" max="11773" width="6.796875" style="1" customWidth="1"/>
    <col min="11774" max="11774" width="12.8984375" style="1" customWidth="1"/>
    <col min="11775" max="11775" width="6.3984375" style="1" customWidth="1"/>
    <col min="11776" max="11776" width="1.796875" style="1" customWidth="1"/>
    <col min="11777" max="11777" width="11.19921875" style="1" customWidth="1"/>
    <col min="11778" max="11778" width="5.69921875" style="1" customWidth="1"/>
    <col min="11779" max="11779" width="11.59765625" style="1" customWidth="1"/>
    <col min="11780" max="11780" width="5.296875" style="1" customWidth="1"/>
    <col min="11781" max="11781" width="11.59765625" style="1" customWidth="1"/>
    <col min="11782" max="11782" width="5.69921875" style="1" bestFit="1" customWidth="1"/>
    <col min="11783" max="11783" width="12.796875" style="1" customWidth="1"/>
    <col min="11784" max="11784" width="5.8984375" style="1" customWidth="1"/>
    <col min="11785" max="11785" width="11.59765625" style="1" customWidth="1"/>
    <col min="11786" max="11786" width="5.69921875" style="1" bestFit="1" customWidth="1"/>
    <col min="11787" max="11787" width="11.69921875" style="1" customWidth="1"/>
    <col min="11788" max="11788" width="5.69921875" style="1" bestFit="1" customWidth="1"/>
    <col min="11789" max="11789" width="11.19921875" style="1" customWidth="1"/>
    <col min="11790" max="11790" width="5.3984375" style="1" customWidth="1"/>
    <col min="11791" max="11791" width="11.59765625" style="1" customWidth="1"/>
    <col min="11792" max="11792" width="5.09765625" style="1" customWidth="1"/>
    <col min="11793" max="11793" width="11.19921875" style="1" customWidth="1"/>
    <col min="11794" max="11794" width="5.09765625" style="1" customWidth="1"/>
    <col min="11795" max="11795" width="11.296875" style="1" customWidth="1"/>
    <col min="11796" max="11796" width="5.09765625" style="1" customWidth="1"/>
    <col min="11797" max="11797" width="10.296875" style="1" customWidth="1"/>
    <col min="11798" max="11798" width="5.3984375" style="1" customWidth="1"/>
    <col min="11799" max="11799" width="12.8984375" style="1" customWidth="1"/>
    <col min="11800" max="11800" width="5.69921875" style="1" bestFit="1" customWidth="1"/>
    <col min="11801" max="11801" width="12.8984375" style="1" customWidth="1"/>
    <col min="11802" max="11802" width="5.69921875" style="1" customWidth="1"/>
    <col min="11803" max="11803" width="12.796875" style="1" customWidth="1"/>
    <col min="11804" max="11806" width="7.09765625" style="1" customWidth="1"/>
    <col min="11807" max="11807" width="14.19921875" style="1" customWidth="1"/>
    <col min="11808" max="11810" width="14.8984375" style="1" customWidth="1"/>
    <col min="11811" max="11812" width="13" style="1" customWidth="1"/>
    <col min="11813" max="11813" width="9.8984375" style="1" bestFit="1" customWidth="1"/>
    <col min="11814" max="11814" width="7.8984375" style="1" customWidth="1"/>
    <col min="11815" max="11815" width="13.796875" style="1" customWidth="1"/>
    <col min="11816" max="11816" width="14.59765625" style="1" customWidth="1"/>
    <col min="11817" max="11817" width="14.19921875" style="1" customWidth="1"/>
    <col min="11818" max="11819" width="14.59765625" style="1" customWidth="1"/>
    <col min="11820" max="11820" width="11.09765625" style="1" bestFit="1" customWidth="1"/>
    <col min="11821" max="11821" width="9" style="1" bestFit="1" customWidth="1"/>
    <col min="11822" max="12024" width="8.8984375" style="1"/>
    <col min="12025" max="12025" width="71.3984375" style="1" customWidth="1"/>
    <col min="12026" max="12026" width="12.8984375" style="1" customWidth="1"/>
    <col min="12027" max="12027" width="6" style="1" customWidth="1"/>
    <col min="12028" max="12028" width="12.8984375" style="1" customWidth="1"/>
    <col min="12029" max="12029" width="6.796875" style="1" customWidth="1"/>
    <col min="12030" max="12030" width="12.8984375" style="1" customWidth="1"/>
    <col min="12031" max="12031" width="6.3984375" style="1" customWidth="1"/>
    <col min="12032" max="12032" width="1.796875" style="1" customWidth="1"/>
    <col min="12033" max="12033" width="11.19921875" style="1" customWidth="1"/>
    <col min="12034" max="12034" width="5.69921875" style="1" customWidth="1"/>
    <col min="12035" max="12035" width="11.59765625" style="1" customWidth="1"/>
    <col min="12036" max="12036" width="5.296875" style="1" customWidth="1"/>
    <col min="12037" max="12037" width="11.59765625" style="1" customWidth="1"/>
    <col min="12038" max="12038" width="5.69921875" style="1" bestFit="1" customWidth="1"/>
    <col min="12039" max="12039" width="12.796875" style="1" customWidth="1"/>
    <col min="12040" max="12040" width="5.8984375" style="1" customWidth="1"/>
    <col min="12041" max="12041" width="11.59765625" style="1" customWidth="1"/>
    <col min="12042" max="12042" width="5.69921875" style="1" bestFit="1" customWidth="1"/>
    <col min="12043" max="12043" width="11.69921875" style="1" customWidth="1"/>
    <col min="12044" max="12044" width="5.69921875" style="1" bestFit="1" customWidth="1"/>
    <col min="12045" max="12045" width="11.19921875" style="1" customWidth="1"/>
    <col min="12046" max="12046" width="5.3984375" style="1" customWidth="1"/>
    <col min="12047" max="12047" width="11.59765625" style="1" customWidth="1"/>
    <col min="12048" max="12048" width="5.09765625" style="1" customWidth="1"/>
    <col min="12049" max="12049" width="11.19921875" style="1" customWidth="1"/>
    <col min="12050" max="12050" width="5.09765625" style="1" customWidth="1"/>
    <col min="12051" max="12051" width="11.296875" style="1" customWidth="1"/>
    <col min="12052" max="12052" width="5.09765625" style="1" customWidth="1"/>
    <col min="12053" max="12053" width="10.296875" style="1" customWidth="1"/>
    <col min="12054" max="12054" width="5.3984375" style="1" customWidth="1"/>
    <col min="12055" max="12055" width="12.8984375" style="1" customWidth="1"/>
    <col min="12056" max="12056" width="5.69921875" style="1" bestFit="1" customWidth="1"/>
    <col min="12057" max="12057" width="12.8984375" style="1" customWidth="1"/>
    <col min="12058" max="12058" width="5.69921875" style="1" customWidth="1"/>
    <col min="12059" max="12059" width="12.796875" style="1" customWidth="1"/>
    <col min="12060" max="12062" width="7.09765625" style="1" customWidth="1"/>
    <col min="12063" max="12063" width="14.19921875" style="1" customWidth="1"/>
    <col min="12064" max="12066" width="14.8984375" style="1" customWidth="1"/>
    <col min="12067" max="12068" width="13" style="1" customWidth="1"/>
    <col min="12069" max="12069" width="9.8984375" style="1" bestFit="1" customWidth="1"/>
    <col min="12070" max="12070" width="7.8984375" style="1" customWidth="1"/>
    <col min="12071" max="12071" width="13.796875" style="1" customWidth="1"/>
    <col min="12072" max="12072" width="14.59765625" style="1" customWidth="1"/>
    <col min="12073" max="12073" width="14.19921875" style="1" customWidth="1"/>
    <col min="12074" max="12075" width="14.59765625" style="1" customWidth="1"/>
    <col min="12076" max="12076" width="11.09765625" style="1" bestFit="1" customWidth="1"/>
    <col min="12077" max="12077" width="9" style="1" bestFit="1" customWidth="1"/>
    <col min="12078" max="12280" width="8.8984375" style="1"/>
    <col min="12281" max="12281" width="71.3984375" style="1" customWidth="1"/>
    <col min="12282" max="12282" width="12.8984375" style="1" customWidth="1"/>
    <col min="12283" max="12283" width="6" style="1" customWidth="1"/>
    <col min="12284" max="12284" width="12.8984375" style="1" customWidth="1"/>
    <col min="12285" max="12285" width="6.796875" style="1" customWidth="1"/>
    <col min="12286" max="12286" width="12.8984375" style="1" customWidth="1"/>
    <col min="12287" max="12287" width="6.3984375" style="1" customWidth="1"/>
    <col min="12288" max="12288" width="1.796875" style="1" customWidth="1"/>
    <col min="12289" max="12289" width="11.19921875" style="1" customWidth="1"/>
    <col min="12290" max="12290" width="5.69921875" style="1" customWidth="1"/>
    <col min="12291" max="12291" width="11.59765625" style="1" customWidth="1"/>
    <col min="12292" max="12292" width="5.296875" style="1" customWidth="1"/>
    <col min="12293" max="12293" width="11.59765625" style="1" customWidth="1"/>
    <col min="12294" max="12294" width="5.69921875" style="1" bestFit="1" customWidth="1"/>
    <col min="12295" max="12295" width="12.796875" style="1" customWidth="1"/>
    <col min="12296" max="12296" width="5.8984375" style="1" customWidth="1"/>
    <col min="12297" max="12297" width="11.59765625" style="1" customWidth="1"/>
    <col min="12298" max="12298" width="5.69921875" style="1" bestFit="1" customWidth="1"/>
    <col min="12299" max="12299" width="11.69921875" style="1" customWidth="1"/>
    <col min="12300" max="12300" width="5.69921875" style="1" bestFit="1" customWidth="1"/>
    <col min="12301" max="12301" width="11.19921875" style="1" customWidth="1"/>
    <col min="12302" max="12302" width="5.3984375" style="1" customWidth="1"/>
    <col min="12303" max="12303" width="11.59765625" style="1" customWidth="1"/>
    <col min="12304" max="12304" width="5.09765625" style="1" customWidth="1"/>
    <col min="12305" max="12305" width="11.19921875" style="1" customWidth="1"/>
    <col min="12306" max="12306" width="5.09765625" style="1" customWidth="1"/>
    <col min="12307" max="12307" width="11.296875" style="1" customWidth="1"/>
    <col min="12308" max="12308" width="5.09765625" style="1" customWidth="1"/>
    <col min="12309" max="12309" width="10.296875" style="1" customWidth="1"/>
    <col min="12310" max="12310" width="5.3984375" style="1" customWidth="1"/>
    <col min="12311" max="12311" width="12.8984375" style="1" customWidth="1"/>
    <col min="12312" max="12312" width="5.69921875" style="1" bestFit="1" customWidth="1"/>
    <col min="12313" max="12313" width="12.8984375" style="1" customWidth="1"/>
    <col min="12314" max="12314" width="5.69921875" style="1" customWidth="1"/>
    <col min="12315" max="12315" width="12.796875" style="1" customWidth="1"/>
    <col min="12316" max="12318" width="7.09765625" style="1" customWidth="1"/>
    <col min="12319" max="12319" width="14.19921875" style="1" customWidth="1"/>
    <col min="12320" max="12322" width="14.8984375" style="1" customWidth="1"/>
    <col min="12323" max="12324" width="13" style="1" customWidth="1"/>
    <col min="12325" max="12325" width="9.8984375" style="1" bestFit="1" customWidth="1"/>
    <col min="12326" max="12326" width="7.8984375" style="1" customWidth="1"/>
    <col min="12327" max="12327" width="13.796875" style="1" customWidth="1"/>
    <col min="12328" max="12328" width="14.59765625" style="1" customWidth="1"/>
    <col min="12329" max="12329" width="14.19921875" style="1" customWidth="1"/>
    <col min="12330" max="12331" width="14.59765625" style="1" customWidth="1"/>
    <col min="12332" max="12332" width="11.09765625" style="1" bestFit="1" customWidth="1"/>
    <col min="12333" max="12333" width="9" style="1" bestFit="1" customWidth="1"/>
    <col min="12334" max="12536" width="8.8984375" style="1"/>
    <col min="12537" max="12537" width="71.3984375" style="1" customWidth="1"/>
    <col min="12538" max="12538" width="12.8984375" style="1" customWidth="1"/>
    <col min="12539" max="12539" width="6" style="1" customWidth="1"/>
    <col min="12540" max="12540" width="12.8984375" style="1" customWidth="1"/>
    <col min="12541" max="12541" width="6.796875" style="1" customWidth="1"/>
    <col min="12542" max="12542" width="12.8984375" style="1" customWidth="1"/>
    <col min="12543" max="12543" width="6.3984375" style="1" customWidth="1"/>
    <col min="12544" max="12544" width="1.796875" style="1" customWidth="1"/>
    <col min="12545" max="12545" width="11.19921875" style="1" customWidth="1"/>
    <col min="12546" max="12546" width="5.69921875" style="1" customWidth="1"/>
    <col min="12547" max="12547" width="11.59765625" style="1" customWidth="1"/>
    <col min="12548" max="12548" width="5.296875" style="1" customWidth="1"/>
    <col min="12549" max="12549" width="11.59765625" style="1" customWidth="1"/>
    <col min="12550" max="12550" width="5.69921875" style="1" bestFit="1" customWidth="1"/>
    <col min="12551" max="12551" width="12.796875" style="1" customWidth="1"/>
    <col min="12552" max="12552" width="5.8984375" style="1" customWidth="1"/>
    <col min="12553" max="12553" width="11.59765625" style="1" customWidth="1"/>
    <col min="12554" max="12554" width="5.69921875" style="1" bestFit="1" customWidth="1"/>
    <col min="12555" max="12555" width="11.69921875" style="1" customWidth="1"/>
    <col min="12556" max="12556" width="5.69921875" style="1" bestFit="1" customWidth="1"/>
    <col min="12557" max="12557" width="11.19921875" style="1" customWidth="1"/>
    <col min="12558" max="12558" width="5.3984375" style="1" customWidth="1"/>
    <col min="12559" max="12559" width="11.59765625" style="1" customWidth="1"/>
    <col min="12560" max="12560" width="5.09765625" style="1" customWidth="1"/>
    <col min="12561" max="12561" width="11.19921875" style="1" customWidth="1"/>
    <col min="12562" max="12562" width="5.09765625" style="1" customWidth="1"/>
    <col min="12563" max="12563" width="11.296875" style="1" customWidth="1"/>
    <col min="12564" max="12564" width="5.09765625" style="1" customWidth="1"/>
    <col min="12565" max="12565" width="10.296875" style="1" customWidth="1"/>
    <col min="12566" max="12566" width="5.3984375" style="1" customWidth="1"/>
    <col min="12567" max="12567" width="12.8984375" style="1" customWidth="1"/>
    <col min="12568" max="12568" width="5.69921875" style="1" bestFit="1" customWidth="1"/>
    <col min="12569" max="12569" width="12.8984375" style="1" customWidth="1"/>
    <col min="12570" max="12570" width="5.69921875" style="1" customWidth="1"/>
    <col min="12571" max="12571" width="12.796875" style="1" customWidth="1"/>
    <col min="12572" max="12574" width="7.09765625" style="1" customWidth="1"/>
    <col min="12575" max="12575" width="14.19921875" style="1" customWidth="1"/>
    <col min="12576" max="12578" width="14.8984375" style="1" customWidth="1"/>
    <col min="12579" max="12580" width="13" style="1" customWidth="1"/>
    <col min="12581" max="12581" width="9.8984375" style="1" bestFit="1" customWidth="1"/>
    <col min="12582" max="12582" width="7.8984375" style="1" customWidth="1"/>
    <col min="12583" max="12583" width="13.796875" style="1" customWidth="1"/>
    <col min="12584" max="12584" width="14.59765625" style="1" customWidth="1"/>
    <col min="12585" max="12585" width="14.19921875" style="1" customWidth="1"/>
    <col min="12586" max="12587" width="14.59765625" style="1" customWidth="1"/>
    <col min="12588" max="12588" width="11.09765625" style="1" bestFit="1" customWidth="1"/>
    <col min="12589" max="12589" width="9" style="1" bestFit="1" customWidth="1"/>
    <col min="12590" max="12792" width="8.8984375" style="1"/>
    <col min="12793" max="12793" width="71.3984375" style="1" customWidth="1"/>
    <col min="12794" max="12794" width="12.8984375" style="1" customWidth="1"/>
    <col min="12795" max="12795" width="6" style="1" customWidth="1"/>
    <col min="12796" max="12796" width="12.8984375" style="1" customWidth="1"/>
    <col min="12797" max="12797" width="6.796875" style="1" customWidth="1"/>
    <col min="12798" max="12798" width="12.8984375" style="1" customWidth="1"/>
    <col min="12799" max="12799" width="6.3984375" style="1" customWidth="1"/>
    <col min="12800" max="12800" width="1.796875" style="1" customWidth="1"/>
    <col min="12801" max="12801" width="11.19921875" style="1" customWidth="1"/>
    <col min="12802" max="12802" width="5.69921875" style="1" customWidth="1"/>
    <col min="12803" max="12803" width="11.59765625" style="1" customWidth="1"/>
    <col min="12804" max="12804" width="5.296875" style="1" customWidth="1"/>
    <col min="12805" max="12805" width="11.59765625" style="1" customWidth="1"/>
    <col min="12806" max="12806" width="5.69921875" style="1" bestFit="1" customWidth="1"/>
    <col min="12807" max="12807" width="12.796875" style="1" customWidth="1"/>
    <col min="12808" max="12808" width="5.8984375" style="1" customWidth="1"/>
    <col min="12809" max="12809" width="11.59765625" style="1" customWidth="1"/>
    <col min="12810" max="12810" width="5.69921875" style="1" bestFit="1" customWidth="1"/>
    <col min="12811" max="12811" width="11.69921875" style="1" customWidth="1"/>
    <col min="12812" max="12812" width="5.69921875" style="1" bestFit="1" customWidth="1"/>
    <col min="12813" max="12813" width="11.19921875" style="1" customWidth="1"/>
    <col min="12814" max="12814" width="5.3984375" style="1" customWidth="1"/>
    <col min="12815" max="12815" width="11.59765625" style="1" customWidth="1"/>
    <col min="12816" max="12816" width="5.09765625" style="1" customWidth="1"/>
    <col min="12817" max="12817" width="11.19921875" style="1" customWidth="1"/>
    <col min="12818" max="12818" width="5.09765625" style="1" customWidth="1"/>
    <col min="12819" max="12819" width="11.296875" style="1" customWidth="1"/>
    <col min="12820" max="12820" width="5.09765625" style="1" customWidth="1"/>
    <col min="12821" max="12821" width="10.296875" style="1" customWidth="1"/>
    <col min="12822" max="12822" width="5.3984375" style="1" customWidth="1"/>
    <col min="12823" max="12823" width="12.8984375" style="1" customWidth="1"/>
    <col min="12824" max="12824" width="5.69921875" style="1" bestFit="1" customWidth="1"/>
    <col min="12825" max="12825" width="12.8984375" style="1" customWidth="1"/>
    <col min="12826" max="12826" width="5.69921875" style="1" customWidth="1"/>
    <col min="12827" max="12827" width="12.796875" style="1" customWidth="1"/>
    <col min="12828" max="12830" width="7.09765625" style="1" customWidth="1"/>
    <col min="12831" max="12831" width="14.19921875" style="1" customWidth="1"/>
    <col min="12832" max="12834" width="14.8984375" style="1" customWidth="1"/>
    <col min="12835" max="12836" width="13" style="1" customWidth="1"/>
    <col min="12837" max="12837" width="9.8984375" style="1" bestFit="1" customWidth="1"/>
    <col min="12838" max="12838" width="7.8984375" style="1" customWidth="1"/>
    <col min="12839" max="12839" width="13.796875" style="1" customWidth="1"/>
    <col min="12840" max="12840" width="14.59765625" style="1" customWidth="1"/>
    <col min="12841" max="12841" width="14.19921875" style="1" customWidth="1"/>
    <col min="12842" max="12843" width="14.59765625" style="1" customWidth="1"/>
    <col min="12844" max="12844" width="11.09765625" style="1" bestFit="1" customWidth="1"/>
    <col min="12845" max="12845" width="9" style="1" bestFit="1" customWidth="1"/>
    <col min="12846" max="13048" width="8.8984375" style="1"/>
    <col min="13049" max="13049" width="71.3984375" style="1" customWidth="1"/>
    <col min="13050" max="13050" width="12.8984375" style="1" customWidth="1"/>
    <col min="13051" max="13051" width="6" style="1" customWidth="1"/>
    <col min="13052" max="13052" width="12.8984375" style="1" customWidth="1"/>
    <col min="13053" max="13053" width="6.796875" style="1" customWidth="1"/>
    <col min="13054" max="13054" width="12.8984375" style="1" customWidth="1"/>
    <col min="13055" max="13055" width="6.3984375" style="1" customWidth="1"/>
    <col min="13056" max="13056" width="1.796875" style="1" customWidth="1"/>
    <col min="13057" max="13057" width="11.19921875" style="1" customWidth="1"/>
    <col min="13058" max="13058" width="5.69921875" style="1" customWidth="1"/>
    <col min="13059" max="13059" width="11.59765625" style="1" customWidth="1"/>
    <col min="13060" max="13060" width="5.296875" style="1" customWidth="1"/>
    <col min="13061" max="13061" width="11.59765625" style="1" customWidth="1"/>
    <col min="13062" max="13062" width="5.69921875" style="1" bestFit="1" customWidth="1"/>
    <col min="13063" max="13063" width="12.796875" style="1" customWidth="1"/>
    <col min="13064" max="13064" width="5.8984375" style="1" customWidth="1"/>
    <col min="13065" max="13065" width="11.59765625" style="1" customWidth="1"/>
    <col min="13066" max="13066" width="5.69921875" style="1" bestFit="1" customWidth="1"/>
    <col min="13067" max="13067" width="11.69921875" style="1" customWidth="1"/>
    <col min="13068" max="13068" width="5.69921875" style="1" bestFit="1" customWidth="1"/>
    <col min="13069" max="13069" width="11.19921875" style="1" customWidth="1"/>
    <col min="13070" max="13070" width="5.3984375" style="1" customWidth="1"/>
    <col min="13071" max="13071" width="11.59765625" style="1" customWidth="1"/>
    <col min="13072" max="13072" width="5.09765625" style="1" customWidth="1"/>
    <col min="13073" max="13073" width="11.19921875" style="1" customWidth="1"/>
    <col min="13074" max="13074" width="5.09765625" style="1" customWidth="1"/>
    <col min="13075" max="13075" width="11.296875" style="1" customWidth="1"/>
    <col min="13076" max="13076" width="5.09765625" style="1" customWidth="1"/>
    <col min="13077" max="13077" width="10.296875" style="1" customWidth="1"/>
    <col min="13078" max="13078" width="5.3984375" style="1" customWidth="1"/>
    <col min="13079" max="13079" width="12.8984375" style="1" customWidth="1"/>
    <col min="13080" max="13080" width="5.69921875" style="1" bestFit="1" customWidth="1"/>
    <col min="13081" max="13081" width="12.8984375" style="1" customWidth="1"/>
    <col min="13082" max="13082" width="5.69921875" style="1" customWidth="1"/>
    <col min="13083" max="13083" width="12.796875" style="1" customWidth="1"/>
    <col min="13084" max="13086" width="7.09765625" style="1" customWidth="1"/>
    <col min="13087" max="13087" width="14.19921875" style="1" customWidth="1"/>
    <col min="13088" max="13090" width="14.8984375" style="1" customWidth="1"/>
    <col min="13091" max="13092" width="13" style="1" customWidth="1"/>
    <col min="13093" max="13093" width="9.8984375" style="1" bestFit="1" customWidth="1"/>
    <col min="13094" max="13094" width="7.8984375" style="1" customWidth="1"/>
    <col min="13095" max="13095" width="13.796875" style="1" customWidth="1"/>
    <col min="13096" max="13096" width="14.59765625" style="1" customWidth="1"/>
    <col min="13097" max="13097" width="14.19921875" style="1" customWidth="1"/>
    <col min="13098" max="13099" width="14.59765625" style="1" customWidth="1"/>
    <col min="13100" max="13100" width="11.09765625" style="1" bestFit="1" customWidth="1"/>
    <col min="13101" max="13101" width="9" style="1" bestFit="1" customWidth="1"/>
    <col min="13102" max="13304" width="8.8984375" style="1"/>
    <col min="13305" max="13305" width="71.3984375" style="1" customWidth="1"/>
    <col min="13306" max="13306" width="12.8984375" style="1" customWidth="1"/>
    <col min="13307" max="13307" width="6" style="1" customWidth="1"/>
    <col min="13308" max="13308" width="12.8984375" style="1" customWidth="1"/>
    <col min="13309" max="13309" width="6.796875" style="1" customWidth="1"/>
    <col min="13310" max="13310" width="12.8984375" style="1" customWidth="1"/>
    <col min="13311" max="13311" width="6.3984375" style="1" customWidth="1"/>
    <col min="13312" max="13312" width="1.796875" style="1" customWidth="1"/>
    <col min="13313" max="13313" width="11.19921875" style="1" customWidth="1"/>
    <col min="13314" max="13314" width="5.69921875" style="1" customWidth="1"/>
    <col min="13315" max="13315" width="11.59765625" style="1" customWidth="1"/>
    <col min="13316" max="13316" width="5.296875" style="1" customWidth="1"/>
    <col min="13317" max="13317" width="11.59765625" style="1" customWidth="1"/>
    <col min="13318" max="13318" width="5.69921875" style="1" bestFit="1" customWidth="1"/>
    <col min="13319" max="13319" width="12.796875" style="1" customWidth="1"/>
    <col min="13320" max="13320" width="5.8984375" style="1" customWidth="1"/>
    <col min="13321" max="13321" width="11.59765625" style="1" customWidth="1"/>
    <col min="13322" max="13322" width="5.69921875" style="1" bestFit="1" customWidth="1"/>
    <col min="13323" max="13323" width="11.69921875" style="1" customWidth="1"/>
    <col min="13324" max="13324" width="5.69921875" style="1" bestFit="1" customWidth="1"/>
    <col min="13325" max="13325" width="11.19921875" style="1" customWidth="1"/>
    <col min="13326" max="13326" width="5.3984375" style="1" customWidth="1"/>
    <col min="13327" max="13327" width="11.59765625" style="1" customWidth="1"/>
    <col min="13328" max="13328" width="5.09765625" style="1" customWidth="1"/>
    <col min="13329" max="13329" width="11.19921875" style="1" customWidth="1"/>
    <col min="13330" max="13330" width="5.09765625" style="1" customWidth="1"/>
    <col min="13331" max="13331" width="11.296875" style="1" customWidth="1"/>
    <col min="13332" max="13332" width="5.09765625" style="1" customWidth="1"/>
    <col min="13333" max="13333" width="10.296875" style="1" customWidth="1"/>
    <col min="13334" max="13334" width="5.3984375" style="1" customWidth="1"/>
    <col min="13335" max="13335" width="12.8984375" style="1" customWidth="1"/>
    <col min="13336" max="13336" width="5.69921875" style="1" bestFit="1" customWidth="1"/>
    <col min="13337" max="13337" width="12.8984375" style="1" customWidth="1"/>
    <col min="13338" max="13338" width="5.69921875" style="1" customWidth="1"/>
    <col min="13339" max="13339" width="12.796875" style="1" customWidth="1"/>
    <col min="13340" max="13342" width="7.09765625" style="1" customWidth="1"/>
    <col min="13343" max="13343" width="14.19921875" style="1" customWidth="1"/>
    <col min="13344" max="13346" width="14.8984375" style="1" customWidth="1"/>
    <col min="13347" max="13348" width="13" style="1" customWidth="1"/>
    <col min="13349" max="13349" width="9.8984375" style="1" bestFit="1" customWidth="1"/>
    <col min="13350" max="13350" width="7.8984375" style="1" customWidth="1"/>
    <col min="13351" max="13351" width="13.796875" style="1" customWidth="1"/>
    <col min="13352" max="13352" width="14.59765625" style="1" customWidth="1"/>
    <col min="13353" max="13353" width="14.19921875" style="1" customWidth="1"/>
    <col min="13354" max="13355" width="14.59765625" style="1" customWidth="1"/>
    <col min="13356" max="13356" width="11.09765625" style="1" bestFit="1" customWidth="1"/>
    <col min="13357" max="13357" width="9" style="1" bestFit="1" customWidth="1"/>
    <col min="13358" max="13560" width="8.8984375" style="1"/>
    <col min="13561" max="13561" width="71.3984375" style="1" customWidth="1"/>
    <col min="13562" max="13562" width="12.8984375" style="1" customWidth="1"/>
    <col min="13563" max="13563" width="6" style="1" customWidth="1"/>
    <col min="13564" max="13564" width="12.8984375" style="1" customWidth="1"/>
    <col min="13565" max="13565" width="6.796875" style="1" customWidth="1"/>
    <col min="13566" max="13566" width="12.8984375" style="1" customWidth="1"/>
    <col min="13567" max="13567" width="6.3984375" style="1" customWidth="1"/>
    <col min="13568" max="13568" width="1.796875" style="1" customWidth="1"/>
    <col min="13569" max="13569" width="11.19921875" style="1" customWidth="1"/>
    <col min="13570" max="13570" width="5.69921875" style="1" customWidth="1"/>
    <col min="13571" max="13571" width="11.59765625" style="1" customWidth="1"/>
    <col min="13572" max="13572" width="5.296875" style="1" customWidth="1"/>
    <col min="13573" max="13573" width="11.59765625" style="1" customWidth="1"/>
    <col min="13574" max="13574" width="5.69921875" style="1" bestFit="1" customWidth="1"/>
    <col min="13575" max="13575" width="12.796875" style="1" customWidth="1"/>
    <col min="13576" max="13576" width="5.8984375" style="1" customWidth="1"/>
    <col min="13577" max="13577" width="11.59765625" style="1" customWidth="1"/>
    <col min="13578" max="13578" width="5.69921875" style="1" bestFit="1" customWidth="1"/>
    <col min="13579" max="13579" width="11.69921875" style="1" customWidth="1"/>
    <col min="13580" max="13580" width="5.69921875" style="1" bestFit="1" customWidth="1"/>
    <col min="13581" max="13581" width="11.19921875" style="1" customWidth="1"/>
    <col min="13582" max="13582" width="5.3984375" style="1" customWidth="1"/>
    <col min="13583" max="13583" width="11.59765625" style="1" customWidth="1"/>
    <col min="13584" max="13584" width="5.09765625" style="1" customWidth="1"/>
    <col min="13585" max="13585" width="11.19921875" style="1" customWidth="1"/>
    <col min="13586" max="13586" width="5.09765625" style="1" customWidth="1"/>
    <col min="13587" max="13587" width="11.296875" style="1" customWidth="1"/>
    <col min="13588" max="13588" width="5.09765625" style="1" customWidth="1"/>
    <col min="13589" max="13589" width="10.296875" style="1" customWidth="1"/>
    <col min="13590" max="13590" width="5.3984375" style="1" customWidth="1"/>
    <col min="13591" max="13591" width="12.8984375" style="1" customWidth="1"/>
    <col min="13592" max="13592" width="5.69921875" style="1" bestFit="1" customWidth="1"/>
    <col min="13593" max="13593" width="12.8984375" style="1" customWidth="1"/>
    <col min="13594" max="13594" width="5.69921875" style="1" customWidth="1"/>
    <col min="13595" max="13595" width="12.796875" style="1" customWidth="1"/>
    <col min="13596" max="13598" width="7.09765625" style="1" customWidth="1"/>
    <col min="13599" max="13599" width="14.19921875" style="1" customWidth="1"/>
    <col min="13600" max="13602" width="14.8984375" style="1" customWidth="1"/>
    <col min="13603" max="13604" width="13" style="1" customWidth="1"/>
    <col min="13605" max="13605" width="9.8984375" style="1" bestFit="1" customWidth="1"/>
    <col min="13606" max="13606" width="7.8984375" style="1" customWidth="1"/>
    <col min="13607" max="13607" width="13.796875" style="1" customWidth="1"/>
    <col min="13608" max="13608" width="14.59765625" style="1" customWidth="1"/>
    <col min="13609" max="13609" width="14.19921875" style="1" customWidth="1"/>
    <col min="13610" max="13611" width="14.59765625" style="1" customWidth="1"/>
    <col min="13612" max="13612" width="11.09765625" style="1" bestFit="1" customWidth="1"/>
    <col min="13613" max="13613" width="9" style="1" bestFit="1" customWidth="1"/>
    <col min="13614" max="13816" width="8.8984375" style="1"/>
    <col min="13817" max="13817" width="71.3984375" style="1" customWidth="1"/>
    <col min="13818" max="13818" width="12.8984375" style="1" customWidth="1"/>
    <col min="13819" max="13819" width="6" style="1" customWidth="1"/>
    <col min="13820" max="13820" width="12.8984375" style="1" customWidth="1"/>
    <col min="13821" max="13821" width="6.796875" style="1" customWidth="1"/>
    <col min="13822" max="13822" width="12.8984375" style="1" customWidth="1"/>
    <col min="13823" max="13823" width="6.3984375" style="1" customWidth="1"/>
    <col min="13824" max="13824" width="1.796875" style="1" customWidth="1"/>
    <col min="13825" max="13825" width="11.19921875" style="1" customWidth="1"/>
    <col min="13826" max="13826" width="5.69921875" style="1" customWidth="1"/>
    <col min="13827" max="13827" width="11.59765625" style="1" customWidth="1"/>
    <col min="13828" max="13828" width="5.296875" style="1" customWidth="1"/>
    <col min="13829" max="13829" width="11.59765625" style="1" customWidth="1"/>
    <col min="13830" max="13830" width="5.69921875" style="1" bestFit="1" customWidth="1"/>
    <col min="13831" max="13831" width="12.796875" style="1" customWidth="1"/>
    <col min="13832" max="13832" width="5.8984375" style="1" customWidth="1"/>
    <col min="13833" max="13833" width="11.59765625" style="1" customWidth="1"/>
    <col min="13834" max="13834" width="5.69921875" style="1" bestFit="1" customWidth="1"/>
    <col min="13835" max="13835" width="11.69921875" style="1" customWidth="1"/>
    <col min="13836" max="13836" width="5.69921875" style="1" bestFit="1" customWidth="1"/>
    <col min="13837" max="13837" width="11.19921875" style="1" customWidth="1"/>
    <col min="13838" max="13838" width="5.3984375" style="1" customWidth="1"/>
    <col min="13839" max="13839" width="11.59765625" style="1" customWidth="1"/>
    <col min="13840" max="13840" width="5.09765625" style="1" customWidth="1"/>
    <col min="13841" max="13841" width="11.19921875" style="1" customWidth="1"/>
    <col min="13842" max="13842" width="5.09765625" style="1" customWidth="1"/>
    <col min="13843" max="13843" width="11.296875" style="1" customWidth="1"/>
    <col min="13844" max="13844" width="5.09765625" style="1" customWidth="1"/>
    <col min="13845" max="13845" width="10.296875" style="1" customWidth="1"/>
    <col min="13846" max="13846" width="5.3984375" style="1" customWidth="1"/>
    <col min="13847" max="13847" width="12.8984375" style="1" customWidth="1"/>
    <col min="13848" max="13848" width="5.69921875" style="1" bestFit="1" customWidth="1"/>
    <col min="13849" max="13849" width="12.8984375" style="1" customWidth="1"/>
    <col min="13850" max="13850" width="5.69921875" style="1" customWidth="1"/>
    <col min="13851" max="13851" width="12.796875" style="1" customWidth="1"/>
    <col min="13852" max="13854" width="7.09765625" style="1" customWidth="1"/>
    <col min="13855" max="13855" width="14.19921875" style="1" customWidth="1"/>
    <col min="13856" max="13858" width="14.8984375" style="1" customWidth="1"/>
    <col min="13859" max="13860" width="13" style="1" customWidth="1"/>
    <col min="13861" max="13861" width="9.8984375" style="1" bestFit="1" customWidth="1"/>
    <col min="13862" max="13862" width="7.8984375" style="1" customWidth="1"/>
    <col min="13863" max="13863" width="13.796875" style="1" customWidth="1"/>
    <col min="13864" max="13864" width="14.59765625" style="1" customWidth="1"/>
    <col min="13865" max="13865" width="14.19921875" style="1" customWidth="1"/>
    <col min="13866" max="13867" width="14.59765625" style="1" customWidth="1"/>
    <col min="13868" max="13868" width="11.09765625" style="1" bestFit="1" customWidth="1"/>
    <col min="13869" max="13869" width="9" style="1" bestFit="1" customWidth="1"/>
    <col min="13870" max="14072" width="8.8984375" style="1"/>
    <col min="14073" max="14073" width="71.3984375" style="1" customWidth="1"/>
    <col min="14074" max="14074" width="12.8984375" style="1" customWidth="1"/>
    <col min="14075" max="14075" width="6" style="1" customWidth="1"/>
    <col min="14076" max="14076" width="12.8984375" style="1" customWidth="1"/>
    <col min="14077" max="14077" width="6.796875" style="1" customWidth="1"/>
    <col min="14078" max="14078" width="12.8984375" style="1" customWidth="1"/>
    <col min="14079" max="14079" width="6.3984375" style="1" customWidth="1"/>
    <col min="14080" max="14080" width="1.796875" style="1" customWidth="1"/>
    <col min="14081" max="14081" width="11.19921875" style="1" customWidth="1"/>
    <col min="14082" max="14082" width="5.69921875" style="1" customWidth="1"/>
    <col min="14083" max="14083" width="11.59765625" style="1" customWidth="1"/>
    <col min="14084" max="14084" width="5.296875" style="1" customWidth="1"/>
    <col min="14085" max="14085" width="11.59765625" style="1" customWidth="1"/>
    <col min="14086" max="14086" width="5.69921875" style="1" bestFit="1" customWidth="1"/>
    <col min="14087" max="14087" width="12.796875" style="1" customWidth="1"/>
    <col min="14088" max="14088" width="5.8984375" style="1" customWidth="1"/>
    <col min="14089" max="14089" width="11.59765625" style="1" customWidth="1"/>
    <col min="14090" max="14090" width="5.69921875" style="1" bestFit="1" customWidth="1"/>
    <col min="14091" max="14091" width="11.69921875" style="1" customWidth="1"/>
    <col min="14092" max="14092" width="5.69921875" style="1" bestFit="1" customWidth="1"/>
    <col min="14093" max="14093" width="11.19921875" style="1" customWidth="1"/>
    <col min="14094" max="14094" width="5.3984375" style="1" customWidth="1"/>
    <col min="14095" max="14095" width="11.59765625" style="1" customWidth="1"/>
    <col min="14096" max="14096" width="5.09765625" style="1" customWidth="1"/>
    <col min="14097" max="14097" width="11.19921875" style="1" customWidth="1"/>
    <col min="14098" max="14098" width="5.09765625" style="1" customWidth="1"/>
    <col min="14099" max="14099" width="11.296875" style="1" customWidth="1"/>
    <col min="14100" max="14100" width="5.09765625" style="1" customWidth="1"/>
    <col min="14101" max="14101" width="10.296875" style="1" customWidth="1"/>
    <col min="14102" max="14102" width="5.3984375" style="1" customWidth="1"/>
    <col min="14103" max="14103" width="12.8984375" style="1" customWidth="1"/>
    <col min="14104" max="14104" width="5.69921875" style="1" bestFit="1" customWidth="1"/>
    <col min="14105" max="14105" width="12.8984375" style="1" customWidth="1"/>
    <col min="14106" max="14106" width="5.69921875" style="1" customWidth="1"/>
    <col min="14107" max="14107" width="12.796875" style="1" customWidth="1"/>
    <col min="14108" max="14110" width="7.09765625" style="1" customWidth="1"/>
    <col min="14111" max="14111" width="14.19921875" style="1" customWidth="1"/>
    <col min="14112" max="14114" width="14.8984375" style="1" customWidth="1"/>
    <col min="14115" max="14116" width="13" style="1" customWidth="1"/>
    <col min="14117" max="14117" width="9.8984375" style="1" bestFit="1" customWidth="1"/>
    <col min="14118" max="14118" width="7.8984375" style="1" customWidth="1"/>
    <col min="14119" max="14119" width="13.796875" style="1" customWidth="1"/>
    <col min="14120" max="14120" width="14.59765625" style="1" customWidth="1"/>
    <col min="14121" max="14121" width="14.19921875" style="1" customWidth="1"/>
    <col min="14122" max="14123" width="14.59765625" style="1" customWidth="1"/>
    <col min="14124" max="14124" width="11.09765625" style="1" bestFit="1" customWidth="1"/>
    <col min="14125" max="14125" width="9" style="1" bestFit="1" customWidth="1"/>
    <col min="14126" max="14328" width="8.8984375" style="1"/>
    <col min="14329" max="14329" width="71.3984375" style="1" customWidth="1"/>
    <col min="14330" max="14330" width="12.8984375" style="1" customWidth="1"/>
    <col min="14331" max="14331" width="6" style="1" customWidth="1"/>
    <col min="14332" max="14332" width="12.8984375" style="1" customWidth="1"/>
    <col min="14333" max="14333" width="6.796875" style="1" customWidth="1"/>
    <col min="14334" max="14334" width="12.8984375" style="1" customWidth="1"/>
    <col min="14335" max="14335" width="6.3984375" style="1" customWidth="1"/>
    <col min="14336" max="14336" width="1.796875" style="1" customWidth="1"/>
    <col min="14337" max="14337" width="11.19921875" style="1" customWidth="1"/>
    <col min="14338" max="14338" width="5.69921875" style="1" customWidth="1"/>
    <col min="14339" max="14339" width="11.59765625" style="1" customWidth="1"/>
    <col min="14340" max="14340" width="5.296875" style="1" customWidth="1"/>
    <col min="14341" max="14341" width="11.59765625" style="1" customWidth="1"/>
    <col min="14342" max="14342" width="5.69921875" style="1" bestFit="1" customWidth="1"/>
    <col min="14343" max="14343" width="12.796875" style="1" customWidth="1"/>
    <col min="14344" max="14344" width="5.8984375" style="1" customWidth="1"/>
    <col min="14345" max="14345" width="11.59765625" style="1" customWidth="1"/>
    <col min="14346" max="14346" width="5.69921875" style="1" bestFit="1" customWidth="1"/>
    <col min="14347" max="14347" width="11.69921875" style="1" customWidth="1"/>
    <col min="14348" max="14348" width="5.69921875" style="1" bestFit="1" customWidth="1"/>
    <col min="14349" max="14349" width="11.19921875" style="1" customWidth="1"/>
    <col min="14350" max="14350" width="5.3984375" style="1" customWidth="1"/>
    <col min="14351" max="14351" width="11.59765625" style="1" customWidth="1"/>
    <col min="14352" max="14352" width="5.09765625" style="1" customWidth="1"/>
    <col min="14353" max="14353" width="11.19921875" style="1" customWidth="1"/>
    <col min="14354" max="14354" width="5.09765625" style="1" customWidth="1"/>
    <col min="14355" max="14355" width="11.296875" style="1" customWidth="1"/>
    <col min="14356" max="14356" width="5.09765625" style="1" customWidth="1"/>
    <col min="14357" max="14357" width="10.296875" style="1" customWidth="1"/>
    <col min="14358" max="14358" width="5.3984375" style="1" customWidth="1"/>
    <col min="14359" max="14359" width="12.8984375" style="1" customWidth="1"/>
    <col min="14360" max="14360" width="5.69921875" style="1" bestFit="1" customWidth="1"/>
    <col min="14361" max="14361" width="12.8984375" style="1" customWidth="1"/>
    <col min="14362" max="14362" width="5.69921875" style="1" customWidth="1"/>
    <col min="14363" max="14363" width="12.796875" style="1" customWidth="1"/>
    <col min="14364" max="14366" width="7.09765625" style="1" customWidth="1"/>
    <col min="14367" max="14367" width="14.19921875" style="1" customWidth="1"/>
    <col min="14368" max="14370" width="14.8984375" style="1" customWidth="1"/>
    <col min="14371" max="14372" width="13" style="1" customWidth="1"/>
    <col min="14373" max="14373" width="9.8984375" style="1" bestFit="1" customWidth="1"/>
    <col min="14374" max="14374" width="7.8984375" style="1" customWidth="1"/>
    <col min="14375" max="14375" width="13.796875" style="1" customWidth="1"/>
    <col min="14376" max="14376" width="14.59765625" style="1" customWidth="1"/>
    <col min="14377" max="14377" width="14.19921875" style="1" customWidth="1"/>
    <col min="14378" max="14379" width="14.59765625" style="1" customWidth="1"/>
    <col min="14380" max="14380" width="11.09765625" style="1" bestFit="1" customWidth="1"/>
    <col min="14381" max="14381" width="9" style="1" bestFit="1" customWidth="1"/>
    <col min="14382" max="14584" width="8.8984375" style="1"/>
    <col min="14585" max="14585" width="71.3984375" style="1" customWidth="1"/>
    <col min="14586" max="14586" width="12.8984375" style="1" customWidth="1"/>
    <col min="14587" max="14587" width="6" style="1" customWidth="1"/>
    <col min="14588" max="14588" width="12.8984375" style="1" customWidth="1"/>
    <col min="14589" max="14589" width="6.796875" style="1" customWidth="1"/>
    <col min="14590" max="14590" width="12.8984375" style="1" customWidth="1"/>
    <col min="14591" max="14591" width="6.3984375" style="1" customWidth="1"/>
    <col min="14592" max="14592" width="1.796875" style="1" customWidth="1"/>
    <col min="14593" max="14593" width="11.19921875" style="1" customWidth="1"/>
    <col min="14594" max="14594" width="5.69921875" style="1" customWidth="1"/>
    <col min="14595" max="14595" width="11.59765625" style="1" customWidth="1"/>
    <col min="14596" max="14596" width="5.296875" style="1" customWidth="1"/>
    <col min="14597" max="14597" width="11.59765625" style="1" customWidth="1"/>
    <col min="14598" max="14598" width="5.69921875" style="1" bestFit="1" customWidth="1"/>
    <col min="14599" max="14599" width="12.796875" style="1" customWidth="1"/>
    <col min="14600" max="14600" width="5.8984375" style="1" customWidth="1"/>
    <col min="14601" max="14601" width="11.59765625" style="1" customWidth="1"/>
    <col min="14602" max="14602" width="5.69921875" style="1" bestFit="1" customWidth="1"/>
    <col min="14603" max="14603" width="11.69921875" style="1" customWidth="1"/>
    <col min="14604" max="14604" width="5.69921875" style="1" bestFit="1" customWidth="1"/>
    <col min="14605" max="14605" width="11.19921875" style="1" customWidth="1"/>
    <col min="14606" max="14606" width="5.3984375" style="1" customWidth="1"/>
    <col min="14607" max="14607" width="11.59765625" style="1" customWidth="1"/>
    <col min="14608" max="14608" width="5.09765625" style="1" customWidth="1"/>
    <col min="14609" max="14609" width="11.19921875" style="1" customWidth="1"/>
    <col min="14610" max="14610" width="5.09765625" style="1" customWidth="1"/>
    <col min="14611" max="14611" width="11.296875" style="1" customWidth="1"/>
    <col min="14612" max="14612" width="5.09765625" style="1" customWidth="1"/>
    <col min="14613" max="14613" width="10.296875" style="1" customWidth="1"/>
    <col min="14614" max="14614" width="5.3984375" style="1" customWidth="1"/>
    <col min="14615" max="14615" width="12.8984375" style="1" customWidth="1"/>
    <col min="14616" max="14616" width="5.69921875" style="1" bestFit="1" customWidth="1"/>
    <col min="14617" max="14617" width="12.8984375" style="1" customWidth="1"/>
    <col min="14618" max="14618" width="5.69921875" style="1" customWidth="1"/>
    <col min="14619" max="14619" width="12.796875" style="1" customWidth="1"/>
    <col min="14620" max="14622" width="7.09765625" style="1" customWidth="1"/>
    <col min="14623" max="14623" width="14.19921875" style="1" customWidth="1"/>
    <col min="14624" max="14626" width="14.8984375" style="1" customWidth="1"/>
    <col min="14627" max="14628" width="13" style="1" customWidth="1"/>
    <col min="14629" max="14629" width="9.8984375" style="1" bestFit="1" customWidth="1"/>
    <col min="14630" max="14630" width="7.8984375" style="1" customWidth="1"/>
    <col min="14631" max="14631" width="13.796875" style="1" customWidth="1"/>
    <col min="14632" max="14632" width="14.59765625" style="1" customWidth="1"/>
    <col min="14633" max="14633" width="14.19921875" style="1" customWidth="1"/>
    <col min="14634" max="14635" width="14.59765625" style="1" customWidth="1"/>
    <col min="14636" max="14636" width="11.09765625" style="1" bestFit="1" customWidth="1"/>
    <col min="14637" max="14637" width="9" style="1" bestFit="1" customWidth="1"/>
    <col min="14638" max="14840" width="8.8984375" style="1"/>
    <col min="14841" max="14841" width="71.3984375" style="1" customWidth="1"/>
    <col min="14842" max="14842" width="12.8984375" style="1" customWidth="1"/>
    <col min="14843" max="14843" width="6" style="1" customWidth="1"/>
    <col min="14844" max="14844" width="12.8984375" style="1" customWidth="1"/>
    <col min="14845" max="14845" width="6.796875" style="1" customWidth="1"/>
    <col min="14846" max="14846" width="12.8984375" style="1" customWidth="1"/>
    <col min="14847" max="14847" width="6.3984375" style="1" customWidth="1"/>
    <col min="14848" max="14848" width="1.796875" style="1" customWidth="1"/>
    <col min="14849" max="14849" width="11.19921875" style="1" customWidth="1"/>
    <col min="14850" max="14850" width="5.69921875" style="1" customWidth="1"/>
    <col min="14851" max="14851" width="11.59765625" style="1" customWidth="1"/>
    <col min="14852" max="14852" width="5.296875" style="1" customWidth="1"/>
    <col min="14853" max="14853" width="11.59765625" style="1" customWidth="1"/>
    <col min="14854" max="14854" width="5.69921875" style="1" bestFit="1" customWidth="1"/>
    <col min="14855" max="14855" width="12.796875" style="1" customWidth="1"/>
    <col min="14856" max="14856" width="5.8984375" style="1" customWidth="1"/>
    <col min="14857" max="14857" width="11.59765625" style="1" customWidth="1"/>
    <col min="14858" max="14858" width="5.69921875" style="1" bestFit="1" customWidth="1"/>
    <col min="14859" max="14859" width="11.69921875" style="1" customWidth="1"/>
    <col min="14860" max="14860" width="5.69921875" style="1" bestFit="1" customWidth="1"/>
    <col min="14861" max="14861" width="11.19921875" style="1" customWidth="1"/>
    <col min="14862" max="14862" width="5.3984375" style="1" customWidth="1"/>
    <col min="14863" max="14863" width="11.59765625" style="1" customWidth="1"/>
    <col min="14864" max="14864" width="5.09765625" style="1" customWidth="1"/>
    <col min="14865" max="14865" width="11.19921875" style="1" customWidth="1"/>
    <col min="14866" max="14866" width="5.09765625" style="1" customWidth="1"/>
    <col min="14867" max="14867" width="11.296875" style="1" customWidth="1"/>
    <col min="14868" max="14868" width="5.09765625" style="1" customWidth="1"/>
    <col min="14869" max="14869" width="10.296875" style="1" customWidth="1"/>
    <col min="14870" max="14870" width="5.3984375" style="1" customWidth="1"/>
    <col min="14871" max="14871" width="12.8984375" style="1" customWidth="1"/>
    <col min="14872" max="14872" width="5.69921875" style="1" bestFit="1" customWidth="1"/>
    <col min="14873" max="14873" width="12.8984375" style="1" customWidth="1"/>
    <col min="14874" max="14874" width="5.69921875" style="1" customWidth="1"/>
    <col min="14875" max="14875" width="12.796875" style="1" customWidth="1"/>
    <col min="14876" max="14878" width="7.09765625" style="1" customWidth="1"/>
    <col min="14879" max="14879" width="14.19921875" style="1" customWidth="1"/>
    <col min="14880" max="14882" width="14.8984375" style="1" customWidth="1"/>
    <col min="14883" max="14884" width="13" style="1" customWidth="1"/>
    <col min="14885" max="14885" width="9.8984375" style="1" bestFit="1" customWidth="1"/>
    <col min="14886" max="14886" width="7.8984375" style="1" customWidth="1"/>
    <col min="14887" max="14887" width="13.796875" style="1" customWidth="1"/>
    <col min="14888" max="14888" width="14.59765625" style="1" customWidth="1"/>
    <col min="14889" max="14889" width="14.19921875" style="1" customWidth="1"/>
    <col min="14890" max="14891" width="14.59765625" style="1" customWidth="1"/>
    <col min="14892" max="14892" width="11.09765625" style="1" bestFit="1" customWidth="1"/>
    <col min="14893" max="14893" width="9" style="1" bestFit="1" customWidth="1"/>
    <col min="14894" max="15096" width="8.8984375" style="1"/>
    <col min="15097" max="15097" width="71.3984375" style="1" customWidth="1"/>
    <col min="15098" max="15098" width="12.8984375" style="1" customWidth="1"/>
    <col min="15099" max="15099" width="6" style="1" customWidth="1"/>
    <col min="15100" max="15100" width="12.8984375" style="1" customWidth="1"/>
    <col min="15101" max="15101" width="6.796875" style="1" customWidth="1"/>
    <col min="15102" max="15102" width="12.8984375" style="1" customWidth="1"/>
    <col min="15103" max="15103" width="6.3984375" style="1" customWidth="1"/>
    <col min="15104" max="15104" width="1.796875" style="1" customWidth="1"/>
    <col min="15105" max="15105" width="11.19921875" style="1" customWidth="1"/>
    <col min="15106" max="15106" width="5.69921875" style="1" customWidth="1"/>
    <col min="15107" max="15107" width="11.59765625" style="1" customWidth="1"/>
    <col min="15108" max="15108" width="5.296875" style="1" customWidth="1"/>
    <col min="15109" max="15109" width="11.59765625" style="1" customWidth="1"/>
    <col min="15110" max="15110" width="5.69921875" style="1" bestFit="1" customWidth="1"/>
    <col min="15111" max="15111" width="12.796875" style="1" customWidth="1"/>
    <col min="15112" max="15112" width="5.8984375" style="1" customWidth="1"/>
    <col min="15113" max="15113" width="11.59765625" style="1" customWidth="1"/>
    <col min="15114" max="15114" width="5.69921875" style="1" bestFit="1" customWidth="1"/>
    <col min="15115" max="15115" width="11.69921875" style="1" customWidth="1"/>
    <col min="15116" max="15116" width="5.69921875" style="1" bestFit="1" customWidth="1"/>
    <col min="15117" max="15117" width="11.19921875" style="1" customWidth="1"/>
    <col min="15118" max="15118" width="5.3984375" style="1" customWidth="1"/>
    <col min="15119" max="15119" width="11.59765625" style="1" customWidth="1"/>
    <col min="15120" max="15120" width="5.09765625" style="1" customWidth="1"/>
    <col min="15121" max="15121" width="11.19921875" style="1" customWidth="1"/>
    <col min="15122" max="15122" width="5.09765625" style="1" customWidth="1"/>
    <col min="15123" max="15123" width="11.296875" style="1" customWidth="1"/>
    <col min="15124" max="15124" width="5.09765625" style="1" customWidth="1"/>
    <col min="15125" max="15125" width="10.296875" style="1" customWidth="1"/>
    <col min="15126" max="15126" width="5.3984375" style="1" customWidth="1"/>
    <col min="15127" max="15127" width="12.8984375" style="1" customWidth="1"/>
    <col min="15128" max="15128" width="5.69921875" style="1" bestFit="1" customWidth="1"/>
    <col min="15129" max="15129" width="12.8984375" style="1" customWidth="1"/>
    <col min="15130" max="15130" width="5.69921875" style="1" customWidth="1"/>
    <col min="15131" max="15131" width="12.796875" style="1" customWidth="1"/>
    <col min="15132" max="15134" width="7.09765625" style="1" customWidth="1"/>
    <col min="15135" max="15135" width="14.19921875" style="1" customWidth="1"/>
    <col min="15136" max="15138" width="14.8984375" style="1" customWidth="1"/>
    <col min="15139" max="15140" width="13" style="1" customWidth="1"/>
    <col min="15141" max="15141" width="9.8984375" style="1" bestFit="1" customWidth="1"/>
    <col min="15142" max="15142" width="7.8984375" style="1" customWidth="1"/>
    <col min="15143" max="15143" width="13.796875" style="1" customWidth="1"/>
    <col min="15144" max="15144" width="14.59765625" style="1" customWidth="1"/>
    <col min="15145" max="15145" width="14.19921875" style="1" customWidth="1"/>
    <col min="15146" max="15147" width="14.59765625" style="1" customWidth="1"/>
    <col min="15148" max="15148" width="11.09765625" style="1" bestFit="1" customWidth="1"/>
    <col min="15149" max="15149" width="9" style="1" bestFit="1" customWidth="1"/>
    <col min="15150" max="15352" width="8.8984375" style="1"/>
    <col min="15353" max="15353" width="71.3984375" style="1" customWidth="1"/>
    <col min="15354" max="15354" width="12.8984375" style="1" customWidth="1"/>
    <col min="15355" max="15355" width="6" style="1" customWidth="1"/>
    <col min="15356" max="15356" width="12.8984375" style="1" customWidth="1"/>
    <col min="15357" max="15357" width="6.796875" style="1" customWidth="1"/>
    <col min="15358" max="15358" width="12.8984375" style="1" customWidth="1"/>
    <col min="15359" max="15359" width="6.3984375" style="1" customWidth="1"/>
    <col min="15360" max="15360" width="1.796875" style="1" customWidth="1"/>
    <col min="15361" max="15361" width="11.19921875" style="1" customWidth="1"/>
    <col min="15362" max="15362" width="5.69921875" style="1" customWidth="1"/>
    <col min="15363" max="15363" width="11.59765625" style="1" customWidth="1"/>
    <col min="15364" max="15364" width="5.296875" style="1" customWidth="1"/>
    <col min="15365" max="15365" width="11.59765625" style="1" customWidth="1"/>
    <col min="15366" max="15366" width="5.69921875" style="1" bestFit="1" customWidth="1"/>
    <col min="15367" max="15367" width="12.796875" style="1" customWidth="1"/>
    <col min="15368" max="15368" width="5.8984375" style="1" customWidth="1"/>
    <col min="15369" max="15369" width="11.59765625" style="1" customWidth="1"/>
    <col min="15370" max="15370" width="5.69921875" style="1" bestFit="1" customWidth="1"/>
    <col min="15371" max="15371" width="11.69921875" style="1" customWidth="1"/>
    <col min="15372" max="15372" width="5.69921875" style="1" bestFit="1" customWidth="1"/>
    <col min="15373" max="15373" width="11.19921875" style="1" customWidth="1"/>
    <col min="15374" max="15374" width="5.3984375" style="1" customWidth="1"/>
    <col min="15375" max="15375" width="11.59765625" style="1" customWidth="1"/>
    <col min="15376" max="15376" width="5.09765625" style="1" customWidth="1"/>
    <col min="15377" max="15377" width="11.19921875" style="1" customWidth="1"/>
    <col min="15378" max="15378" width="5.09765625" style="1" customWidth="1"/>
    <col min="15379" max="15379" width="11.296875" style="1" customWidth="1"/>
    <col min="15380" max="15380" width="5.09765625" style="1" customWidth="1"/>
    <col min="15381" max="15381" width="10.296875" style="1" customWidth="1"/>
    <col min="15382" max="15382" width="5.3984375" style="1" customWidth="1"/>
    <col min="15383" max="15383" width="12.8984375" style="1" customWidth="1"/>
    <col min="15384" max="15384" width="5.69921875" style="1" bestFit="1" customWidth="1"/>
    <col min="15385" max="15385" width="12.8984375" style="1" customWidth="1"/>
    <col min="15386" max="15386" width="5.69921875" style="1" customWidth="1"/>
    <col min="15387" max="15387" width="12.796875" style="1" customWidth="1"/>
    <col min="15388" max="15390" width="7.09765625" style="1" customWidth="1"/>
    <col min="15391" max="15391" width="14.19921875" style="1" customWidth="1"/>
    <col min="15392" max="15394" width="14.8984375" style="1" customWidth="1"/>
    <col min="15395" max="15396" width="13" style="1" customWidth="1"/>
    <col min="15397" max="15397" width="9.8984375" style="1" bestFit="1" customWidth="1"/>
    <col min="15398" max="15398" width="7.8984375" style="1" customWidth="1"/>
    <col min="15399" max="15399" width="13.796875" style="1" customWidth="1"/>
    <col min="15400" max="15400" width="14.59765625" style="1" customWidth="1"/>
    <col min="15401" max="15401" width="14.19921875" style="1" customWidth="1"/>
    <col min="15402" max="15403" width="14.59765625" style="1" customWidth="1"/>
    <col min="15404" max="15404" width="11.09765625" style="1" bestFit="1" customWidth="1"/>
    <col min="15405" max="15405" width="9" style="1" bestFit="1" customWidth="1"/>
    <col min="15406" max="15608" width="8.8984375" style="1"/>
    <col min="15609" max="15609" width="71.3984375" style="1" customWidth="1"/>
    <col min="15610" max="15610" width="12.8984375" style="1" customWidth="1"/>
    <col min="15611" max="15611" width="6" style="1" customWidth="1"/>
    <col min="15612" max="15612" width="12.8984375" style="1" customWidth="1"/>
    <col min="15613" max="15613" width="6.796875" style="1" customWidth="1"/>
    <col min="15614" max="15614" width="12.8984375" style="1" customWidth="1"/>
    <col min="15615" max="15615" width="6.3984375" style="1" customWidth="1"/>
    <col min="15616" max="15616" width="1.796875" style="1" customWidth="1"/>
    <col min="15617" max="15617" width="11.19921875" style="1" customWidth="1"/>
    <col min="15618" max="15618" width="5.69921875" style="1" customWidth="1"/>
    <col min="15619" max="15619" width="11.59765625" style="1" customWidth="1"/>
    <col min="15620" max="15620" width="5.296875" style="1" customWidth="1"/>
    <col min="15621" max="15621" width="11.59765625" style="1" customWidth="1"/>
    <col min="15622" max="15622" width="5.69921875" style="1" bestFit="1" customWidth="1"/>
    <col min="15623" max="15623" width="12.796875" style="1" customWidth="1"/>
    <col min="15624" max="15624" width="5.8984375" style="1" customWidth="1"/>
    <col min="15625" max="15625" width="11.59765625" style="1" customWidth="1"/>
    <col min="15626" max="15626" width="5.69921875" style="1" bestFit="1" customWidth="1"/>
    <col min="15627" max="15627" width="11.69921875" style="1" customWidth="1"/>
    <col min="15628" max="15628" width="5.69921875" style="1" bestFit="1" customWidth="1"/>
    <col min="15629" max="15629" width="11.19921875" style="1" customWidth="1"/>
    <col min="15630" max="15630" width="5.3984375" style="1" customWidth="1"/>
    <col min="15631" max="15631" width="11.59765625" style="1" customWidth="1"/>
    <col min="15632" max="15632" width="5.09765625" style="1" customWidth="1"/>
    <col min="15633" max="15633" width="11.19921875" style="1" customWidth="1"/>
    <col min="15634" max="15634" width="5.09765625" style="1" customWidth="1"/>
    <col min="15635" max="15635" width="11.296875" style="1" customWidth="1"/>
    <col min="15636" max="15636" width="5.09765625" style="1" customWidth="1"/>
    <col min="15637" max="15637" width="10.296875" style="1" customWidth="1"/>
    <col min="15638" max="15638" width="5.3984375" style="1" customWidth="1"/>
    <col min="15639" max="15639" width="12.8984375" style="1" customWidth="1"/>
    <col min="15640" max="15640" width="5.69921875" style="1" bestFit="1" customWidth="1"/>
    <col min="15641" max="15641" width="12.8984375" style="1" customWidth="1"/>
    <col min="15642" max="15642" width="5.69921875" style="1" customWidth="1"/>
    <col min="15643" max="15643" width="12.796875" style="1" customWidth="1"/>
    <col min="15644" max="15646" width="7.09765625" style="1" customWidth="1"/>
    <col min="15647" max="15647" width="14.19921875" style="1" customWidth="1"/>
    <col min="15648" max="15650" width="14.8984375" style="1" customWidth="1"/>
    <col min="15651" max="15652" width="13" style="1" customWidth="1"/>
    <col min="15653" max="15653" width="9.8984375" style="1" bestFit="1" customWidth="1"/>
    <col min="15654" max="15654" width="7.8984375" style="1" customWidth="1"/>
    <col min="15655" max="15655" width="13.796875" style="1" customWidth="1"/>
    <col min="15656" max="15656" width="14.59765625" style="1" customWidth="1"/>
    <col min="15657" max="15657" width="14.19921875" style="1" customWidth="1"/>
    <col min="15658" max="15659" width="14.59765625" style="1" customWidth="1"/>
    <col min="15660" max="15660" width="11.09765625" style="1" bestFit="1" customWidth="1"/>
    <col min="15661" max="15661" width="9" style="1" bestFit="1" customWidth="1"/>
    <col min="15662" max="15864" width="8.8984375" style="1"/>
    <col min="15865" max="15865" width="71.3984375" style="1" customWidth="1"/>
    <col min="15866" max="15866" width="12.8984375" style="1" customWidth="1"/>
    <col min="15867" max="15867" width="6" style="1" customWidth="1"/>
    <col min="15868" max="15868" width="12.8984375" style="1" customWidth="1"/>
    <col min="15869" max="15869" width="6.796875" style="1" customWidth="1"/>
    <col min="15870" max="15870" width="12.8984375" style="1" customWidth="1"/>
    <col min="15871" max="15871" width="6.3984375" style="1" customWidth="1"/>
    <col min="15872" max="15872" width="1.796875" style="1" customWidth="1"/>
    <col min="15873" max="15873" width="11.19921875" style="1" customWidth="1"/>
    <col min="15874" max="15874" width="5.69921875" style="1" customWidth="1"/>
    <col min="15875" max="15875" width="11.59765625" style="1" customWidth="1"/>
    <col min="15876" max="15876" width="5.296875" style="1" customWidth="1"/>
    <col min="15877" max="15877" width="11.59765625" style="1" customWidth="1"/>
    <col min="15878" max="15878" width="5.69921875" style="1" bestFit="1" customWidth="1"/>
    <col min="15879" max="15879" width="12.796875" style="1" customWidth="1"/>
    <col min="15880" max="15880" width="5.8984375" style="1" customWidth="1"/>
    <col min="15881" max="15881" width="11.59765625" style="1" customWidth="1"/>
    <col min="15882" max="15882" width="5.69921875" style="1" bestFit="1" customWidth="1"/>
    <col min="15883" max="15883" width="11.69921875" style="1" customWidth="1"/>
    <col min="15884" max="15884" width="5.69921875" style="1" bestFit="1" customWidth="1"/>
    <col min="15885" max="15885" width="11.19921875" style="1" customWidth="1"/>
    <col min="15886" max="15886" width="5.3984375" style="1" customWidth="1"/>
    <col min="15887" max="15887" width="11.59765625" style="1" customWidth="1"/>
    <col min="15888" max="15888" width="5.09765625" style="1" customWidth="1"/>
    <col min="15889" max="15889" width="11.19921875" style="1" customWidth="1"/>
    <col min="15890" max="15890" width="5.09765625" style="1" customWidth="1"/>
    <col min="15891" max="15891" width="11.296875" style="1" customWidth="1"/>
    <col min="15892" max="15892" width="5.09765625" style="1" customWidth="1"/>
    <col min="15893" max="15893" width="10.296875" style="1" customWidth="1"/>
    <col min="15894" max="15894" width="5.3984375" style="1" customWidth="1"/>
    <col min="15895" max="15895" width="12.8984375" style="1" customWidth="1"/>
    <col min="15896" max="15896" width="5.69921875" style="1" bestFit="1" customWidth="1"/>
    <col min="15897" max="15897" width="12.8984375" style="1" customWidth="1"/>
    <col min="15898" max="15898" width="5.69921875" style="1" customWidth="1"/>
    <col min="15899" max="15899" width="12.796875" style="1" customWidth="1"/>
    <col min="15900" max="15902" width="7.09765625" style="1" customWidth="1"/>
    <col min="15903" max="15903" width="14.19921875" style="1" customWidth="1"/>
    <col min="15904" max="15906" width="14.8984375" style="1" customWidth="1"/>
    <col min="15907" max="15908" width="13" style="1" customWidth="1"/>
    <col min="15909" max="15909" width="9.8984375" style="1" bestFit="1" customWidth="1"/>
    <col min="15910" max="15910" width="7.8984375" style="1" customWidth="1"/>
    <col min="15911" max="15911" width="13.796875" style="1" customWidth="1"/>
    <col min="15912" max="15912" width="14.59765625" style="1" customWidth="1"/>
    <col min="15913" max="15913" width="14.19921875" style="1" customWidth="1"/>
    <col min="15914" max="15915" width="14.59765625" style="1" customWidth="1"/>
    <col min="15916" max="15916" width="11.09765625" style="1" bestFit="1" customWidth="1"/>
    <col min="15917" max="15917" width="9" style="1" bestFit="1" customWidth="1"/>
    <col min="15918" max="16120" width="8.8984375" style="1"/>
    <col min="16121" max="16121" width="71.3984375" style="1" customWidth="1"/>
    <col min="16122" max="16122" width="12.8984375" style="1" customWidth="1"/>
    <col min="16123" max="16123" width="6" style="1" customWidth="1"/>
    <col min="16124" max="16124" width="12.8984375" style="1" customWidth="1"/>
    <col min="16125" max="16125" width="6.796875" style="1" customWidth="1"/>
    <col min="16126" max="16126" width="12.8984375" style="1" customWidth="1"/>
    <col min="16127" max="16127" width="6.3984375" style="1" customWidth="1"/>
    <col min="16128" max="16128" width="1.796875" style="1" customWidth="1"/>
    <col min="16129" max="16129" width="11.19921875" style="1" customWidth="1"/>
    <col min="16130" max="16130" width="5.69921875" style="1" customWidth="1"/>
    <col min="16131" max="16131" width="11.59765625" style="1" customWidth="1"/>
    <col min="16132" max="16132" width="5.296875" style="1" customWidth="1"/>
    <col min="16133" max="16133" width="11.59765625" style="1" customWidth="1"/>
    <col min="16134" max="16134" width="5.69921875" style="1" bestFit="1" customWidth="1"/>
    <col min="16135" max="16135" width="12.796875" style="1" customWidth="1"/>
    <col min="16136" max="16136" width="5.8984375" style="1" customWidth="1"/>
    <col min="16137" max="16137" width="11.59765625" style="1" customWidth="1"/>
    <col min="16138" max="16138" width="5.69921875" style="1" bestFit="1" customWidth="1"/>
    <col min="16139" max="16139" width="11.69921875" style="1" customWidth="1"/>
    <col min="16140" max="16140" width="5.69921875" style="1" bestFit="1" customWidth="1"/>
    <col min="16141" max="16141" width="11.19921875" style="1" customWidth="1"/>
    <col min="16142" max="16142" width="5.3984375" style="1" customWidth="1"/>
    <col min="16143" max="16143" width="11.59765625" style="1" customWidth="1"/>
    <col min="16144" max="16144" width="5.09765625" style="1" customWidth="1"/>
    <col min="16145" max="16145" width="11.19921875" style="1" customWidth="1"/>
    <col min="16146" max="16146" width="5.09765625" style="1" customWidth="1"/>
    <col min="16147" max="16147" width="11.296875" style="1" customWidth="1"/>
    <col min="16148" max="16148" width="5.09765625" style="1" customWidth="1"/>
    <col min="16149" max="16149" width="10.296875" style="1" customWidth="1"/>
    <col min="16150" max="16150" width="5.3984375" style="1" customWidth="1"/>
    <col min="16151" max="16151" width="12.8984375" style="1" customWidth="1"/>
    <col min="16152" max="16152" width="5.69921875" style="1" bestFit="1" customWidth="1"/>
    <col min="16153" max="16153" width="12.8984375" style="1" customWidth="1"/>
    <col min="16154" max="16154" width="5.69921875" style="1" customWidth="1"/>
    <col min="16155" max="16155" width="12.796875" style="1" customWidth="1"/>
    <col min="16156" max="16158" width="7.09765625" style="1" customWidth="1"/>
    <col min="16159" max="16159" width="14.19921875" style="1" customWidth="1"/>
    <col min="16160" max="16162" width="14.8984375" style="1" customWidth="1"/>
    <col min="16163" max="16164" width="13" style="1" customWidth="1"/>
    <col min="16165" max="16165" width="9.8984375" style="1" bestFit="1" customWidth="1"/>
    <col min="16166" max="16166" width="7.8984375" style="1" customWidth="1"/>
    <col min="16167" max="16167" width="13.796875" style="1" customWidth="1"/>
    <col min="16168" max="16168" width="14.59765625" style="1" customWidth="1"/>
    <col min="16169" max="16169" width="14.19921875" style="1" customWidth="1"/>
    <col min="16170" max="16171" width="14.59765625" style="1" customWidth="1"/>
    <col min="16172" max="16172" width="11.09765625" style="1" bestFit="1" customWidth="1"/>
    <col min="16173" max="16173" width="9" style="1" bestFit="1" customWidth="1"/>
    <col min="16174" max="16384" width="8.8984375" style="1"/>
  </cols>
  <sheetData>
    <row r="1" spans="1:52" ht="44.25" customHeight="1" x14ac:dyDescent="0.35">
      <c r="A1" s="286" t="s">
        <v>18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</row>
    <row r="2" spans="1:52" ht="21" customHeight="1" x14ac:dyDescent="0.35">
      <c r="A2" s="287" t="s">
        <v>91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</row>
    <row r="3" spans="1:52" ht="33" customHeight="1" thickBot="1" x14ac:dyDescent="0.4">
      <c r="A3" s="3" t="s">
        <v>100</v>
      </c>
      <c r="B3" s="223"/>
      <c r="C3" s="223"/>
      <c r="D3" s="223"/>
      <c r="E3" s="223"/>
      <c r="F3" s="225"/>
      <c r="G3" s="257"/>
      <c r="H3" s="5"/>
      <c r="AM3" s="121"/>
      <c r="AN3" s="121" t="s">
        <v>19</v>
      </c>
      <c r="AO3" s="121"/>
      <c r="AP3" s="121"/>
      <c r="AQ3" s="121"/>
      <c r="AR3" s="121"/>
      <c r="AS3" s="221"/>
      <c r="AT3" s="121"/>
      <c r="AU3" s="121"/>
      <c r="AV3" s="121"/>
      <c r="AW3" s="121"/>
      <c r="AX3" s="121"/>
      <c r="AY3" s="121"/>
      <c r="AZ3" s="121"/>
    </row>
    <row r="4" spans="1:52" s="7" customFormat="1" ht="35.25" customHeight="1" thickTop="1" x14ac:dyDescent="0.35">
      <c r="A4" s="289" t="s">
        <v>20</v>
      </c>
      <c r="B4" s="291" t="s">
        <v>17</v>
      </c>
      <c r="C4" s="292"/>
      <c r="D4" s="293" t="s">
        <v>21</v>
      </c>
      <c r="E4" s="292"/>
      <c r="F4" s="294" t="s">
        <v>6</v>
      </c>
      <c r="G4" s="295"/>
      <c r="H4" s="6"/>
      <c r="I4" s="296" t="s">
        <v>22</v>
      </c>
      <c r="J4" s="297"/>
      <c r="K4" s="296" t="s">
        <v>23</v>
      </c>
      <c r="L4" s="298"/>
      <c r="M4" s="298"/>
      <c r="N4" s="297"/>
      <c r="O4" s="296" t="s">
        <v>24</v>
      </c>
      <c r="P4" s="298"/>
      <c r="Q4" s="298"/>
      <c r="R4" s="297"/>
      <c r="S4" s="296" t="s">
        <v>25</v>
      </c>
      <c r="T4" s="298"/>
      <c r="U4" s="298"/>
      <c r="V4" s="297"/>
      <c r="W4" s="296" t="s">
        <v>26</v>
      </c>
      <c r="X4" s="298"/>
      <c r="Y4" s="298"/>
      <c r="Z4" s="297"/>
      <c r="AA4" s="296" t="s">
        <v>27</v>
      </c>
      <c r="AB4" s="298"/>
      <c r="AC4" s="298"/>
      <c r="AD4" s="297"/>
      <c r="AE4" s="296" t="s">
        <v>28</v>
      </c>
      <c r="AF4" s="298"/>
      <c r="AG4" s="298"/>
      <c r="AH4" s="297"/>
      <c r="AI4" s="299" t="s">
        <v>29</v>
      </c>
      <c r="AJ4" s="133"/>
      <c r="AK4" s="133"/>
      <c r="AL4" s="133"/>
      <c r="AM4" s="283" t="s">
        <v>21</v>
      </c>
      <c r="AN4" s="283"/>
      <c r="AO4" s="283"/>
      <c r="AP4" s="283"/>
      <c r="AQ4" s="283"/>
      <c r="AR4" s="283"/>
      <c r="AS4" s="238"/>
      <c r="AT4" s="129"/>
      <c r="AU4" s="283" t="s">
        <v>17</v>
      </c>
      <c r="AV4" s="283"/>
      <c r="AW4" s="283"/>
      <c r="AX4" s="283"/>
      <c r="AY4" s="283"/>
      <c r="AZ4" s="283"/>
    </row>
    <row r="5" spans="1:52" s="10" customFormat="1" ht="38.25" customHeight="1" x14ac:dyDescent="0.35">
      <c r="A5" s="290"/>
      <c r="B5" s="226"/>
      <c r="C5" s="227" t="s">
        <v>30</v>
      </c>
      <c r="D5" s="228"/>
      <c r="E5" s="227" t="s">
        <v>30</v>
      </c>
      <c r="F5" s="228"/>
      <c r="G5" s="9" t="s">
        <v>30</v>
      </c>
      <c r="H5" s="8"/>
      <c r="I5" s="140" t="s">
        <v>31</v>
      </c>
      <c r="J5" s="141" t="s">
        <v>30</v>
      </c>
      <c r="K5" s="140" t="s">
        <v>32</v>
      </c>
      <c r="L5" s="141" t="s">
        <v>30</v>
      </c>
      <c r="M5" s="142" t="s">
        <v>92</v>
      </c>
      <c r="N5" s="141" t="s">
        <v>30</v>
      </c>
      <c r="O5" s="140" t="s">
        <v>32</v>
      </c>
      <c r="P5" s="141" t="s">
        <v>30</v>
      </c>
      <c r="Q5" s="142" t="s">
        <v>92</v>
      </c>
      <c r="R5" s="141" t="s">
        <v>30</v>
      </c>
      <c r="S5" s="140" t="s">
        <v>32</v>
      </c>
      <c r="T5" s="141" t="s">
        <v>30</v>
      </c>
      <c r="U5" s="142" t="s">
        <v>92</v>
      </c>
      <c r="V5" s="141" t="s">
        <v>30</v>
      </c>
      <c r="W5" s="140" t="s">
        <v>32</v>
      </c>
      <c r="X5" s="141" t="s">
        <v>30</v>
      </c>
      <c r="Y5" s="142" t="s">
        <v>93</v>
      </c>
      <c r="Z5" s="141" t="s">
        <v>30</v>
      </c>
      <c r="AA5" s="140" t="s">
        <v>32</v>
      </c>
      <c r="AB5" s="141" t="s">
        <v>30</v>
      </c>
      <c r="AC5" s="142" t="s">
        <v>92</v>
      </c>
      <c r="AD5" s="141" t="s">
        <v>30</v>
      </c>
      <c r="AE5" s="140" t="s">
        <v>32</v>
      </c>
      <c r="AF5" s="141" t="s">
        <v>30</v>
      </c>
      <c r="AG5" s="142" t="s">
        <v>92</v>
      </c>
      <c r="AH5" s="141" t="s">
        <v>30</v>
      </c>
      <c r="AI5" s="300"/>
      <c r="AJ5" s="140" t="s">
        <v>32</v>
      </c>
      <c r="AK5" s="142" t="s">
        <v>92</v>
      </c>
      <c r="AL5" s="133"/>
      <c r="AM5" s="130">
        <v>2017</v>
      </c>
      <c r="AN5" s="130">
        <v>2018</v>
      </c>
      <c r="AO5" s="130">
        <v>2019</v>
      </c>
      <c r="AP5" s="130">
        <v>2020</v>
      </c>
      <c r="AQ5" s="130">
        <v>2021</v>
      </c>
      <c r="AR5" s="130">
        <v>2022</v>
      </c>
      <c r="AS5" s="232"/>
      <c r="AT5" s="130"/>
      <c r="AU5" s="130">
        <v>2018</v>
      </c>
      <c r="AV5" s="130">
        <v>2019</v>
      </c>
      <c r="AW5" s="130">
        <v>2020</v>
      </c>
      <c r="AX5" s="130">
        <v>2021</v>
      </c>
      <c r="AY5" s="130">
        <v>2022</v>
      </c>
      <c r="AZ5" s="130"/>
    </row>
    <row r="6" spans="1:52" ht="21" customHeight="1" outlineLevel="1" x14ac:dyDescent="0.35">
      <c r="A6" s="11" t="s">
        <v>33</v>
      </c>
      <c r="B6" s="240">
        <f>B7</f>
        <v>12520000</v>
      </c>
      <c r="C6" s="254">
        <f t="shared" ref="C6:C60" si="0">B6/F6*100</f>
        <v>79.020449381469319</v>
      </c>
      <c r="D6" s="241">
        <f>D7</f>
        <v>3324000</v>
      </c>
      <c r="E6" s="254">
        <f t="shared" ref="E6:E58" si="1">D6/F6*100</f>
        <v>20.979550618530673</v>
      </c>
      <c r="F6" s="241">
        <f>F7</f>
        <v>15844000</v>
      </c>
      <c r="G6" s="258">
        <f t="shared" ref="G6:G61" si="2">F6/$F$61*100</f>
        <v>3.6422988505747127</v>
      </c>
      <c r="H6" s="14"/>
      <c r="I6" s="15">
        <f>I7</f>
        <v>0</v>
      </c>
      <c r="J6" s="111">
        <f>I6/$F6</f>
        <v>0</v>
      </c>
      <c r="K6" s="143">
        <f t="shared" ref="K6:AC6" si="3">K7</f>
        <v>2371165</v>
      </c>
      <c r="L6" s="144">
        <f>K6/$F6</f>
        <v>0.14965696793738956</v>
      </c>
      <c r="M6" s="145">
        <f t="shared" si="3"/>
        <v>808572</v>
      </c>
      <c r="N6" s="144">
        <f>M6/$F6</f>
        <v>5.1033324917950013E-2</v>
      </c>
      <c r="O6" s="15">
        <f t="shared" si="3"/>
        <v>3871059</v>
      </c>
      <c r="P6" s="111">
        <f>O6/$F6</f>
        <v>0.24432334006563999</v>
      </c>
      <c r="Q6" s="16">
        <f t="shared" si="3"/>
        <v>939782</v>
      </c>
      <c r="R6" s="111">
        <f>Q6/$F6</f>
        <v>5.9314693259277962E-2</v>
      </c>
      <c r="S6" s="143">
        <f t="shared" si="3"/>
        <v>2848617</v>
      </c>
      <c r="T6" s="144">
        <f>S6/$F6</f>
        <v>0.1797915299166877</v>
      </c>
      <c r="U6" s="145">
        <f t="shared" si="3"/>
        <v>723536</v>
      </c>
      <c r="V6" s="144">
        <f>U6/$F6</f>
        <v>4.5666245897500631E-2</v>
      </c>
      <c r="W6" s="15">
        <f t="shared" si="3"/>
        <v>2687701</v>
      </c>
      <c r="X6" s="111">
        <f>W6/$F6</f>
        <v>0.16963525624842213</v>
      </c>
      <c r="Y6" s="16">
        <f t="shared" si="3"/>
        <v>633757</v>
      </c>
      <c r="Z6" s="111">
        <f>Y6/$F6</f>
        <v>3.9999810653875284E-2</v>
      </c>
      <c r="AA6" s="143">
        <f t="shared" si="3"/>
        <v>741458</v>
      </c>
      <c r="AB6" s="144">
        <f>AA6/$F6</f>
        <v>4.6797399646553897E-2</v>
      </c>
      <c r="AC6" s="145">
        <f t="shared" si="3"/>
        <v>218353</v>
      </c>
      <c r="AD6" s="144">
        <f>AC6/$F6</f>
        <v>1.3781431456702853E-2</v>
      </c>
      <c r="AE6" s="15">
        <f>AE7</f>
        <v>12520000</v>
      </c>
      <c r="AF6" s="111">
        <f t="shared" ref="AF6:AF61" si="4">AE6/$F6</f>
        <v>0.79020449381469327</v>
      </c>
      <c r="AG6" s="16">
        <f>AG7</f>
        <v>3324000</v>
      </c>
      <c r="AH6" s="111">
        <f>AG6/$F6</f>
        <v>0.20979550618530673</v>
      </c>
      <c r="AI6" s="155">
        <f>AI7</f>
        <v>15844000</v>
      </c>
      <c r="AJ6" s="134">
        <f>B6-AE6</f>
        <v>0</v>
      </c>
      <c r="AK6" s="134">
        <f>D6-AG6</f>
        <v>0</v>
      </c>
      <c r="AL6" s="134"/>
      <c r="AM6" s="121"/>
      <c r="AN6" s="122"/>
      <c r="AO6" s="122"/>
      <c r="AP6" s="122"/>
      <c r="AQ6" s="122"/>
      <c r="AR6" s="122"/>
      <c r="AS6" s="221">
        <f>SUM(AM6:AR6)</f>
        <v>0</v>
      </c>
      <c r="AT6" s="121"/>
      <c r="AU6" s="122"/>
      <c r="AV6" s="122"/>
      <c r="AW6" s="122"/>
      <c r="AX6" s="122"/>
      <c r="AY6" s="122"/>
      <c r="AZ6" s="122"/>
    </row>
    <row r="7" spans="1:52" s="24" customFormat="1" ht="21" customHeight="1" outlineLevel="1" x14ac:dyDescent="0.35">
      <c r="A7" s="11" t="s">
        <v>34</v>
      </c>
      <c r="B7" s="240">
        <f>SUM(B8:B12)</f>
        <v>12520000</v>
      </c>
      <c r="C7" s="254">
        <f t="shared" si="0"/>
        <v>79.020449381469319</v>
      </c>
      <c r="D7" s="241">
        <f>SUM(D8:D12)</f>
        <v>3324000</v>
      </c>
      <c r="E7" s="254">
        <f t="shared" si="1"/>
        <v>20.979550618530673</v>
      </c>
      <c r="F7" s="240">
        <f>SUM(F8:F12)</f>
        <v>15844000</v>
      </c>
      <c r="G7" s="258">
        <f t="shared" si="2"/>
        <v>3.6422988505747127</v>
      </c>
      <c r="H7" s="67"/>
      <c r="I7" s="12">
        <f>SUM(I8:I12)</f>
        <v>0</v>
      </c>
      <c r="J7" s="112">
        <f t="shared" ref="J7:J13" si="5">I7/F7</f>
        <v>0</v>
      </c>
      <c r="K7" s="146">
        <f>SUM(K8:K12)</f>
        <v>2371165</v>
      </c>
      <c r="L7" s="147">
        <f t="shared" ref="L7:L61" si="6">K7/$F7</f>
        <v>0.14965696793738956</v>
      </c>
      <c r="M7" s="146">
        <f>SUM(M8:M12)</f>
        <v>808572</v>
      </c>
      <c r="N7" s="147">
        <f t="shared" ref="N7:N61" si="7">M7/$F7</f>
        <v>5.1033324917950013E-2</v>
      </c>
      <c r="O7" s="12">
        <f>SUM(O8:O12)</f>
        <v>3871059</v>
      </c>
      <c r="P7" s="112">
        <f t="shared" ref="P7:P61" si="8">O7/$F7</f>
        <v>0.24432334006563999</v>
      </c>
      <c r="Q7" s="12">
        <f>SUM(Q8:Q12)</f>
        <v>939782</v>
      </c>
      <c r="R7" s="112">
        <f t="shared" ref="R7:R61" si="9">Q7/$F7</f>
        <v>5.9314693259277962E-2</v>
      </c>
      <c r="S7" s="146">
        <f>SUM(S8:S12)</f>
        <v>2848617</v>
      </c>
      <c r="T7" s="147">
        <f t="shared" ref="T7:T61" si="10">S7/$F7</f>
        <v>0.1797915299166877</v>
      </c>
      <c r="U7" s="146">
        <f>SUM(U8:U12)</f>
        <v>723536</v>
      </c>
      <c r="V7" s="147">
        <f t="shared" ref="V7:V61" si="11">U7/$F7</f>
        <v>4.5666245897500631E-2</v>
      </c>
      <c r="W7" s="12">
        <f>SUM(W8:W12)</f>
        <v>2687701</v>
      </c>
      <c r="X7" s="112">
        <f t="shared" ref="X7:X61" si="12">W7/$F7</f>
        <v>0.16963525624842213</v>
      </c>
      <c r="Y7" s="12">
        <f>SUM(Y8:Y12)</f>
        <v>633757</v>
      </c>
      <c r="Z7" s="112">
        <f t="shared" ref="Z7:Z61" si="13">Y7/$F7</f>
        <v>3.9999810653875284E-2</v>
      </c>
      <c r="AA7" s="146">
        <f>SUM(AA8:AA12)</f>
        <v>741458</v>
      </c>
      <c r="AB7" s="147">
        <f t="shared" ref="AB7:AB61" si="14">AA7/$F7</f>
        <v>4.6797399646553897E-2</v>
      </c>
      <c r="AC7" s="146">
        <f>SUM(AC8:AC12)</f>
        <v>218353</v>
      </c>
      <c r="AD7" s="147">
        <f t="shared" ref="AD7:AD61" si="15">AC7/$F7</f>
        <v>1.3781431456702853E-2</v>
      </c>
      <c r="AE7" s="12">
        <f>SUM(AE8:AE12)</f>
        <v>12520000</v>
      </c>
      <c r="AF7" s="112">
        <f t="shared" si="4"/>
        <v>0.79020449381469327</v>
      </c>
      <c r="AG7" s="12">
        <f>SUM(AG8:AG12)</f>
        <v>3324000</v>
      </c>
      <c r="AH7" s="112">
        <f t="shared" ref="AH7:AH61" si="16">AG7/$F7</f>
        <v>0.20979550618530673</v>
      </c>
      <c r="AI7" s="146">
        <f>SUM(AI8:AI12)</f>
        <v>15844000</v>
      </c>
      <c r="AJ7" s="134">
        <f t="shared" ref="AJ7:AJ61" si="17">B7-AE7</f>
        <v>0</v>
      </c>
      <c r="AK7" s="134">
        <f t="shared" ref="AK7:AK61" si="18">D7-AG7</f>
        <v>0</v>
      </c>
      <c r="AL7" s="134"/>
      <c r="AM7" s="121"/>
      <c r="AN7" s="122"/>
      <c r="AO7" s="122"/>
      <c r="AP7" s="122"/>
      <c r="AQ7" s="122"/>
      <c r="AR7" s="122"/>
      <c r="AS7" s="221">
        <f t="shared" ref="AS7:AS58" si="19">SUM(AM7:AR7)</f>
        <v>0</v>
      </c>
      <c r="AT7" s="121"/>
      <c r="AU7" s="122"/>
      <c r="AV7" s="122"/>
      <c r="AW7" s="122"/>
      <c r="AX7" s="122"/>
      <c r="AY7" s="122"/>
      <c r="AZ7" s="122"/>
    </row>
    <row r="8" spans="1:52" ht="21" customHeight="1" outlineLevel="2" x14ac:dyDescent="0.35">
      <c r="A8" s="17" t="s">
        <v>35</v>
      </c>
      <c r="B8" s="242">
        <v>10510000</v>
      </c>
      <c r="C8" s="251">
        <f t="shared" si="0"/>
        <v>81.428404520818248</v>
      </c>
      <c r="D8" s="242">
        <f>2396960+84</f>
        <v>2397044</v>
      </c>
      <c r="E8" s="251">
        <f t="shared" si="1"/>
        <v>18.571595479181756</v>
      </c>
      <c r="F8" s="242">
        <f>B8+D8</f>
        <v>12907044</v>
      </c>
      <c r="G8" s="259">
        <f t="shared" si="2"/>
        <v>2.9671365517241379</v>
      </c>
      <c r="H8" s="19"/>
      <c r="I8" s="18">
        <f>AM8</f>
        <v>0</v>
      </c>
      <c r="J8" s="112">
        <f t="shared" si="5"/>
        <v>0</v>
      </c>
      <c r="K8" s="148">
        <f>AU8</f>
        <v>1878843</v>
      </c>
      <c r="L8" s="147">
        <f t="shared" si="6"/>
        <v>0.14556725769277612</v>
      </c>
      <c r="M8" s="149">
        <f>AN8</f>
        <v>379329</v>
      </c>
      <c r="N8" s="147">
        <f t="shared" si="7"/>
        <v>2.9389300911967141E-2</v>
      </c>
      <c r="O8" s="18">
        <f>AV8</f>
        <v>2627500</v>
      </c>
      <c r="P8" s="112">
        <f t="shared" si="8"/>
        <v>0.20357101130204561</v>
      </c>
      <c r="Q8" s="20">
        <f>AO8</f>
        <v>599240</v>
      </c>
      <c r="R8" s="112">
        <f t="shared" si="9"/>
        <v>4.6427361679405449E-2</v>
      </c>
      <c r="S8" s="148">
        <f>AW8</f>
        <v>2634699</v>
      </c>
      <c r="T8" s="147">
        <f t="shared" si="10"/>
        <v>0.20412876875603739</v>
      </c>
      <c r="U8" s="149">
        <f>AP8</f>
        <v>600882</v>
      </c>
      <c r="V8" s="147">
        <f t="shared" si="11"/>
        <v>4.6554579034517894E-2</v>
      </c>
      <c r="W8" s="18">
        <f>AX8</f>
        <v>2627500</v>
      </c>
      <c r="X8" s="112">
        <f t="shared" si="12"/>
        <v>0.20357101130204561</v>
      </c>
      <c r="Y8" s="20">
        <f>AQ8</f>
        <v>599240</v>
      </c>
      <c r="Z8" s="112">
        <f t="shared" si="13"/>
        <v>4.6427361679405449E-2</v>
      </c>
      <c r="AA8" s="148">
        <f>AY8</f>
        <v>741458</v>
      </c>
      <c r="AB8" s="147">
        <f t="shared" si="14"/>
        <v>5.7445996155277693E-2</v>
      </c>
      <c r="AC8" s="149">
        <f>AR8</f>
        <v>218353</v>
      </c>
      <c r="AD8" s="147">
        <f t="shared" si="15"/>
        <v>1.6917351486521622E-2</v>
      </c>
      <c r="AE8" s="18">
        <f t="shared" ref="AE8:AE12" si="20">K8+O8+S8+W8+AA8</f>
        <v>10510000</v>
      </c>
      <c r="AF8" s="112">
        <f t="shared" si="4"/>
        <v>0.81428404520818243</v>
      </c>
      <c r="AG8" s="20">
        <f t="shared" ref="AG8:AG12" si="21">I8+M8+Q8+U8+Y8+AC8</f>
        <v>2397044</v>
      </c>
      <c r="AH8" s="112">
        <f t="shared" si="16"/>
        <v>0.18571595479181754</v>
      </c>
      <c r="AI8" s="154">
        <f t="shared" ref="AI8:AI60" si="22">AE8+AG8</f>
        <v>12907044</v>
      </c>
      <c r="AJ8" s="134">
        <f t="shared" si="17"/>
        <v>0</v>
      </c>
      <c r="AK8" s="134">
        <f t="shared" si="18"/>
        <v>0</v>
      </c>
      <c r="AL8" s="135"/>
      <c r="AM8" s="121"/>
      <c r="AN8" s="220">
        <f>379245+84</f>
        <v>379329</v>
      </c>
      <c r="AO8" s="122">
        <v>599240</v>
      </c>
      <c r="AP8" s="122">
        <v>600882</v>
      </c>
      <c r="AQ8" s="122">
        <v>599240</v>
      </c>
      <c r="AR8" s="122">
        <v>218353</v>
      </c>
      <c r="AS8" s="221">
        <f t="shared" si="19"/>
        <v>2397044</v>
      </c>
      <c r="AT8" s="121"/>
      <c r="AU8" s="122">
        <v>1878843</v>
      </c>
      <c r="AV8" s="122">
        <v>2627500</v>
      </c>
      <c r="AW8" s="122">
        <v>2634699</v>
      </c>
      <c r="AX8" s="122">
        <v>2627500</v>
      </c>
      <c r="AY8" s="122">
        <v>741458</v>
      </c>
      <c r="AZ8" s="122">
        <f t="shared" ref="AZ8:AZ60" si="23">SUM(AU8:AY8)</f>
        <v>10510000</v>
      </c>
    </row>
    <row r="9" spans="1:52" s="24" customFormat="1" ht="21" customHeight="1" outlineLevel="2" x14ac:dyDescent="0.35">
      <c r="A9" s="22" t="s">
        <v>36</v>
      </c>
      <c r="B9" s="242">
        <v>640000</v>
      </c>
      <c r="C9" s="251">
        <f t="shared" si="0"/>
        <v>63.55789130806113</v>
      </c>
      <c r="D9" s="242">
        <v>366956</v>
      </c>
      <c r="E9" s="251">
        <f t="shared" si="1"/>
        <v>36.442108691938877</v>
      </c>
      <c r="F9" s="242">
        <f t="shared" ref="F9:F12" si="24">B9+D9</f>
        <v>1006956</v>
      </c>
      <c r="G9" s="259">
        <f t="shared" si="2"/>
        <v>0.23148413793103445</v>
      </c>
      <c r="H9" s="23"/>
      <c r="I9" s="18">
        <f>AM9</f>
        <v>0</v>
      </c>
      <c r="J9" s="112">
        <f t="shared" si="5"/>
        <v>0</v>
      </c>
      <c r="K9" s="148">
        <f>AU9</f>
        <v>152548</v>
      </c>
      <c r="L9" s="147">
        <f>K9/$F9</f>
        <v>0.15149420630097046</v>
      </c>
      <c r="M9" s="149">
        <f>AN9</f>
        <v>87466</v>
      </c>
      <c r="N9" s="147">
        <f>M9/$F9</f>
        <v>8.6861789392982419E-2</v>
      </c>
      <c r="O9" s="18">
        <f>AV9</f>
        <v>213333</v>
      </c>
      <c r="P9" s="112">
        <f>O9/$F9</f>
        <v>0.21185930666285319</v>
      </c>
      <c r="Q9" s="20">
        <f>AO9</f>
        <v>122319</v>
      </c>
      <c r="R9" s="112">
        <f>Q9/$F9</f>
        <v>0.12147402667048014</v>
      </c>
      <c r="S9" s="148">
        <f>AW9</f>
        <v>213918</v>
      </c>
      <c r="T9" s="147">
        <f>S9/$F9</f>
        <v>0.21244026551309095</v>
      </c>
      <c r="U9" s="149">
        <f>AP9</f>
        <v>122654</v>
      </c>
      <c r="V9" s="147">
        <f>U9/$F9</f>
        <v>0.12180671250779578</v>
      </c>
      <c r="W9" s="18">
        <f>AX9</f>
        <v>60201</v>
      </c>
      <c r="X9" s="112">
        <f>W9/$F9</f>
        <v>5.9785134603696687E-2</v>
      </c>
      <c r="Y9" s="20">
        <f>AQ9</f>
        <v>34517</v>
      </c>
      <c r="Z9" s="112">
        <f>Y9/$F9</f>
        <v>3.4278558348130407E-2</v>
      </c>
      <c r="AA9" s="148">
        <f>AY9</f>
        <v>0</v>
      </c>
      <c r="AB9" s="147">
        <f>AA9/$F9</f>
        <v>0</v>
      </c>
      <c r="AC9" s="149">
        <f>AR9</f>
        <v>0</v>
      </c>
      <c r="AD9" s="147">
        <f>AC9/$F9</f>
        <v>0</v>
      </c>
      <c r="AE9" s="18">
        <f t="shared" si="20"/>
        <v>640000</v>
      </c>
      <c r="AF9" s="112">
        <f>AE9/$F9</f>
        <v>0.63557891308061132</v>
      </c>
      <c r="AG9" s="20">
        <f t="shared" si="21"/>
        <v>366956</v>
      </c>
      <c r="AH9" s="112">
        <f>AG9/$F9</f>
        <v>0.36442108691938874</v>
      </c>
      <c r="AI9" s="154">
        <f>AE9+AG9</f>
        <v>1006956</v>
      </c>
      <c r="AJ9" s="134">
        <f t="shared" si="17"/>
        <v>0</v>
      </c>
      <c r="AK9" s="134">
        <f t="shared" si="18"/>
        <v>0</v>
      </c>
      <c r="AL9" s="135"/>
      <c r="AM9" s="123"/>
      <c r="AN9" s="124">
        <v>87466</v>
      </c>
      <c r="AO9" s="124">
        <v>122319</v>
      </c>
      <c r="AP9" s="124">
        <v>122654</v>
      </c>
      <c r="AQ9" s="124">
        <v>34517</v>
      </c>
      <c r="AR9" s="124"/>
      <c r="AS9" s="221">
        <f t="shared" si="19"/>
        <v>366956</v>
      </c>
      <c r="AT9" s="123"/>
      <c r="AU9" s="124">
        <v>152548</v>
      </c>
      <c r="AV9" s="124">
        <v>213333</v>
      </c>
      <c r="AW9" s="124">
        <v>213918</v>
      </c>
      <c r="AX9" s="124">
        <v>60201</v>
      </c>
      <c r="AY9" s="123"/>
      <c r="AZ9" s="122">
        <f t="shared" si="23"/>
        <v>640000</v>
      </c>
    </row>
    <row r="10" spans="1:52" s="24" customFormat="1" ht="21" customHeight="1" outlineLevel="2" x14ac:dyDescent="0.35">
      <c r="A10" s="22" t="s">
        <v>37</v>
      </c>
      <c r="B10" s="242">
        <v>90000</v>
      </c>
      <c r="C10" s="251">
        <f t="shared" si="0"/>
        <v>39.130434782608695</v>
      </c>
      <c r="D10" s="242">
        <v>140000</v>
      </c>
      <c r="E10" s="251">
        <f t="shared" si="1"/>
        <v>60.869565217391312</v>
      </c>
      <c r="F10" s="242">
        <f t="shared" si="24"/>
        <v>230000</v>
      </c>
      <c r="G10" s="259">
        <f t="shared" si="2"/>
        <v>5.2873563218390811E-2</v>
      </c>
      <c r="H10" s="23"/>
      <c r="I10" s="18">
        <f>AM10</f>
        <v>0</v>
      </c>
      <c r="J10" s="112">
        <f t="shared" si="5"/>
        <v>0</v>
      </c>
      <c r="K10" s="148">
        <f>AU10</f>
        <v>78000</v>
      </c>
      <c r="L10" s="147">
        <f>K10/$F10</f>
        <v>0.33913043478260868</v>
      </c>
      <c r="M10" s="149">
        <f>AN10</f>
        <v>121333</v>
      </c>
      <c r="N10" s="147">
        <f>M10/$F10</f>
        <v>0.52753478260869568</v>
      </c>
      <c r="O10" s="18">
        <f>AV10</f>
        <v>12000</v>
      </c>
      <c r="P10" s="112">
        <f>O10/$F10</f>
        <v>5.2173913043478258E-2</v>
      </c>
      <c r="Q10" s="20">
        <f>AO10</f>
        <v>18667</v>
      </c>
      <c r="R10" s="112">
        <f>Q10/$F10</f>
        <v>8.1160869565217397E-2</v>
      </c>
      <c r="S10" s="148">
        <f>AW10</f>
        <v>0</v>
      </c>
      <c r="T10" s="147">
        <f>S10/$F10</f>
        <v>0</v>
      </c>
      <c r="U10" s="149">
        <f>AP10</f>
        <v>0</v>
      </c>
      <c r="V10" s="147">
        <f>U10/$F10</f>
        <v>0</v>
      </c>
      <c r="W10" s="18">
        <f>AX10</f>
        <v>0</v>
      </c>
      <c r="X10" s="112">
        <f>W10/$F10</f>
        <v>0</v>
      </c>
      <c r="Y10" s="20">
        <f>AQ10</f>
        <v>0</v>
      </c>
      <c r="Z10" s="112">
        <f>Y10/$F10</f>
        <v>0</v>
      </c>
      <c r="AA10" s="148">
        <f>AY10</f>
        <v>0</v>
      </c>
      <c r="AB10" s="147">
        <f>AA10/$F10</f>
        <v>0</v>
      </c>
      <c r="AC10" s="149">
        <f>AR10</f>
        <v>0</v>
      </c>
      <c r="AD10" s="147">
        <f>AC10/$F10</f>
        <v>0</v>
      </c>
      <c r="AE10" s="18">
        <f t="shared" si="20"/>
        <v>90000</v>
      </c>
      <c r="AF10" s="112">
        <f>AE10/$F10</f>
        <v>0.39130434782608697</v>
      </c>
      <c r="AG10" s="20">
        <f t="shared" si="21"/>
        <v>140000</v>
      </c>
      <c r="AH10" s="112">
        <f>AG10/$F10</f>
        <v>0.60869565217391308</v>
      </c>
      <c r="AI10" s="154">
        <f>AE10+AG10</f>
        <v>230000</v>
      </c>
      <c r="AJ10" s="134">
        <f t="shared" si="17"/>
        <v>0</v>
      </c>
      <c r="AK10" s="134">
        <f t="shared" si="18"/>
        <v>0</v>
      </c>
      <c r="AL10" s="135"/>
      <c r="AM10" s="123"/>
      <c r="AN10" s="124">
        <v>121333</v>
      </c>
      <c r="AO10" s="124">
        <v>18667</v>
      </c>
      <c r="AP10" s="124"/>
      <c r="AQ10" s="124"/>
      <c r="AR10" s="124"/>
      <c r="AS10" s="221">
        <f t="shared" si="19"/>
        <v>140000</v>
      </c>
      <c r="AT10" s="123"/>
      <c r="AU10" s="124">
        <v>78000</v>
      </c>
      <c r="AV10" s="124">
        <v>12000</v>
      </c>
      <c r="AW10" s="123"/>
      <c r="AX10" s="124"/>
      <c r="AY10" s="124"/>
      <c r="AZ10" s="122">
        <f t="shared" si="23"/>
        <v>90000</v>
      </c>
    </row>
    <row r="11" spans="1:52" s="24" customFormat="1" ht="21" customHeight="1" outlineLevel="2" x14ac:dyDescent="0.35">
      <c r="A11" s="17" t="s">
        <v>38</v>
      </c>
      <c r="B11" s="242">
        <v>380000</v>
      </c>
      <c r="C11" s="251">
        <f t="shared" si="0"/>
        <v>54.285714285714285</v>
      </c>
      <c r="D11" s="242">
        <v>320000</v>
      </c>
      <c r="E11" s="251">
        <f t="shared" si="1"/>
        <v>45.714285714285715</v>
      </c>
      <c r="F11" s="242">
        <f t="shared" si="24"/>
        <v>700000</v>
      </c>
      <c r="G11" s="259">
        <f t="shared" si="2"/>
        <v>0.16091954022988506</v>
      </c>
      <c r="H11" s="23"/>
      <c r="I11" s="18">
        <f>AM11</f>
        <v>0</v>
      </c>
      <c r="J11" s="112">
        <f t="shared" si="5"/>
        <v>0</v>
      </c>
      <c r="K11" s="148">
        <f>AU11</f>
        <v>261774</v>
      </c>
      <c r="L11" s="147">
        <f>K11/$F11</f>
        <v>0.37396285714285715</v>
      </c>
      <c r="M11" s="149">
        <f>AN11</f>
        <v>220444</v>
      </c>
      <c r="N11" s="147">
        <f>M11/$F11</f>
        <v>0.31491999999999998</v>
      </c>
      <c r="O11" s="18">
        <f>AV11</f>
        <v>118226</v>
      </c>
      <c r="P11" s="112">
        <f>O11/$F11</f>
        <v>0.16889428571428572</v>
      </c>
      <c r="Q11" s="20">
        <f>AO11</f>
        <v>99556</v>
      </c>
      <c r="R11" s="112">
        <f>Q11/$F11</f>
        <v>0.14222285714285715</v>
      </c>
      <c r="S11" s="148">
        <f>AW11</f>
        <v>0</v>
      </c>
      <c r="T11" s="147">
        <f>S11/$F11</f>
        <v>0</v>
      </c>
      <c r="U11" s="149">
        <f>AP11</f>
        <v>0</v>
      </c>
      <c r="V11" s="147">
        <f>U11/$F11</f>
        <v>0</v>
      </c>
      <c r="W11" s="18">
        <f>AX11</f>
        <v>0</v>
      </c>
      <c r="X11" s="112">
        <f>W11/$F11</f>
        <v>0</v>
      </c>
      <c r="Y11" s="20">
        <f>AQ11</f>
        <v>0</v>
      </c>
      <c r="Z11" s="112">
        <f>Y11/$F11</f>
        <v>0</v>
      </c>
      <c r="AA11" s="148">
        <f>AY11</f>
        <v>0</v>
      </c>
      <c r="AB11" s="147">
        <f>AA11/$F11</f>
        <v>0</v>
      </c>
      <c r="AC11" s="149">
        <f>AR11</f>
        <v>0</v>
      </c>
      <c r="AD11" s="147">
        <f>AC11/$F11</f>
        <v>0</v>
      </c>
      <c r="AE11" s="18">
        <f t="shared" si="20"/>
        <v>380000</v>
      </c>
      <c r="AF11" s="112">
        <f>AE11/$F11</f>
        <v>0.54285714285714282</v>
      </c>
      <c r="AG11" s="20">
        <f t="shared" si="21"/>
        <v>320000</v>
      </c>
      <c r="AH11" s="112">
        <f>AG11/$F11</f>
        <v>0.45714285714285713</v>
      </c>
      <c r="AI11" s="154">
        <f>AE11+AG11</f>
        <v>700000</v>
      </c>
      <c r="AJ11" s="134">
        <f t="shared" si="17"/>
        <v>0</v>
      </c>
      <c r="AK11" s="134">
        <f t="shared" si="18"/>
        <v>0</v>
      </c>
      <c r="AL11" s="135"/>
      <c r="AM11" s="123"/>
      <c r="AN11" s="124">
        <v>220444</v>
      </c>
      <c r="AO11" s="124">
        <v>99556</v>
      </c>
      <c r="AP11" s="123"/>
      <c r="AQ11" s="123"/>
      <c r="AR11" s="123"/>
      <c r="AS11" s="221">
        <f t="shared" si="19"/>
        <v>320000</v>
      </c>
      <c r="AT11" s="123"/>
      <c r="AU11" s="124">
        <v>261774</v>
      </c>
      <c r="AV11" s="124">
        <v>118226</v>
      </c>
      <c r="AW11" s="123"/>
      <c r="AX11" s="123"/>
      <c r="AY11" s="123"/>
      <c r="AZ11" s="122">
        <f t="shared" si="23"/>
        <v>380000</v>
      </c>
    </row>
    <row r="12" spans="1:52" s="24" customFormat="1" ht="21" customHeight="1" outlineLevel="2" x14ac:dyDescent="0.35">
      <c r="A12" s="25" t="s">
        <v>39</v>
      </c>
      <c r="B12" s="244">
        <v>900000</v>
      </c>
      <c r="C12" s="252">
        <f t="shared" si="0"/>
        <v>90</v>
      </c>
      <c r="D12" s="244">
        <v>100000</v>
      </c>
      <c r="E12" s="252">
        <f t="shared" si="1"/>
        <v>10</v>
      </c>
      <c r="F12" s="244">
        <f t="shared" si="24"/>
        <v>1000000</v>
      </c>
      <c r="G12" s="260">
        <f t="shared" si="2"/>
        <v>0.22988505747126436</v>
      </c>
      <c r="H12" s="27"/>
      <c r="I12" s="26">
        <v>0</v>
      </c>
      <c r="J12" s="113">
        <f t="shared" si="5"/>
        <v>0</v>
      </c>
      <c r="K12" s="150">
        <v>0</v>
      </c>
      <c r="L12" s="151">
        <f>K12/$F12</f>
        <v>0</v>
      </c>
      <c r="M12" s="152">
        <v>0</v>
      </c>
      <c r="N12" s="151">
        <f>M12/$F12</f>
        <v>0</v>
      </c>
      <c r="O12" s="26">
        <v>900000</v>
      </c>
      <c r="P12" s="113">
        <f>O12/$F12</f>
        <v>0.9</v>
      </c>
      <c r="Q12" s="28">
        <v>100000</v>
      </c>
      <c r="R12" s="113">
        <f>Q12/$F12</f>
        <v>0.1</v>
      </c>
      <c r="S12" s="150">
        <f>AW12</f>
        <v>0</v>
      </c>
      <c r="T12" s="151">
        <f>S12/$F12</f>
        <v>0</v>
      </c>
      <c r="U12" s="152">
        <f>AP12</f>
        <v>0</v>
      </c>
      <c r="V12" s="151">
        <f>U12/$F12</f>
        <v>0</v>
      </c>
      <c r="W12" s="26">
        <f>AX12</f>
        <v>0</v>
      </c>
      <c r="X12" s="113">
        <f>W12/$F12</f>
        <v>0</v>
      </c>
      <c r="Y12" s="28">
        <f>AQ12</f>
        <v>0</v>
      </c>
      <c r="Z12" s="113">
        <f>Y12/$F12</f>
        <v>0</v>
      </c>
      <c r="AA12" s="150">
        <f>AY12</f>
        <v>0</v>
      </c>
      <c r="AB12" s="151">
        <f>AA12/$F12</f>
        <v>0</v>
      </c>
      <c r="AC12" s="152">
        <f>AR12</f>
        <v>0</v>
      </c>
      <c r="AD12" s="151">
        <f>AC12/$F12</f>
        <v>0</v>
      </c>
      <c r="AE12" s="26">
        <f t="shared" si="20"/>
        <v>900000</v>
      </c>
      <c r="AF12" s="113">
        <f>AE12/$F12</f>
        <v>0.9</v>
      </c>
      <c r="AG12" s="28">
        <f t="shared" si="21"/>
        <v>100000</v>
      </c>
      <c r="AH12" s="113">
        <f>AG12/$F12</f>
        <v>0.1</v>
      </c>
      <c r="AI12" s="160">
        <f>AE12+AG12</f>
        <v>1000000</v>
      </c>
      <c r="AJ12" s="134">
        <f t="shared" si="17"/>
        <v>0</v>
      </c>
      <c r="AK12" s="134">
        <f t="shared" si="18"/>
        <v>0</v>
      </c>
      <c r="AL12" s="135"/>
      <c r="AM12" s="123"/>
      <c r="AN12" s="124"/>
      <c r="AO12" s="124">
        <v>100000</v>
      </c>
      <c r="AP12" s="123"/>
      <c r="AQ12" s="123"/>
      <c r="AR12" s="123"/>
      <c r="AS12" s="221">
        <f t="shared" si="19"/>
        <v>100000</v>
      </c>
      <c r="AT12" s="123"/>
      <c r="AU12" s="124"/>
      <c r="AV12" s="124">
        <v>900000</v>
      </c>
      <c r="AW12" s="124"/>
      <c r="AX12" s="124"/>
      <c r="AY12" s="123"/>
      <c r="AZ12" s="122">
        <f t="shared" si="23"/>
        <v>900000</v>
      </c>
    </row>
    <row r="13" spans="1:52" ht="21" customHeight="1" outlineLevel="1" x14ac:dyDescent="0.35">
      <c r="A13" s="11" t="s">
        <v>40</v>
      </c>
      <c r="B13" s="241">
        <f>B14+B43</f>
        <v>207708000</v>
      </c>
      <c r="C13" s="254">
        <f t="shared" si="0"/>
        <v>53.514507876145871</v>
      </c>
      <c r="D13" s="241">
        <f>D14+D43</f>
        <v>180426000</v>
      </c>
      <c r="E13" s="254">
        <f t="shared" si="1"/>
        <v>46.485492123854129</v>
      </c>
      <c r="F13" s="241">
        <f>F14+F43</f>
        <v>388134000</v>
      </c>
      <c r="G13" s="258">
        <f t="shared" si="2"/>
        <v>89.22620689655173</v>
      </c>
      <c r="H13" s="14"/>
      <c r="I13" s="12">
        <f>I14+I43</f>
        <v>28938940</v>
      </c>
      <c r="J13" s="112">
        <f t="shared" si="5"/>
        <v>7.4559147098682416E-2</v>
      </c>
      <c r="K13" s="143">
        <f>K14+K43</f>
        <v>47453358</v>
      </c>
      <c r="L13" s="144">
        <f t="shared" si="6"/>
        <v>0.12226024517305879</v>
      </c>
      <c r="M13" s="143">
        <f>M14+M43</f>
        <v>81023256</v>
      </c>
      <c r="N13" s="144">
        <f t="shared" si="7"/>
        <v>0.20875073041784539</v>
      </c>
      <c r="O13" s="12">
        <f>O14+O43</f>
        <v>80713716</v>
      </c>
      <c r="P13" s="111">
        <f t="shared" si="8"/>
        <v>0.20795322234073799</v>
      </c>
      <c r="Q13" s="12">
        <f>Q14+Q43</f>
        <v>55499345</v>
      </c>
      <c r="R13" s="111">
        <f t="shared" si="9"/>
        <v>0.14299016576749268</v>
      </c>
      <c r="S13" s="143">
        <f>S14+S43</f>
        <v>41910253</v>
      </c>
      <c r="T13" s="144">
        <f t="shared" si="10"/>
        <v>0.10797882432355836</v>
      </c>
      <c r="U13" s="143">
        <f>U14+U43</f>
        <v>10211823</v>
      </c>
      <c r="V13" s="144">
        <f t="shared" si="11"/>
        <v>2.6310044984464129E-2</v>
      </c>
      <c r="W13" s="12">
        <f>W14+W43</f>
        <v>23420217</v>
      </c>
      <c r="X13" s="111">
        <f t="shared" si="12"/>
        <v>6.0340544760314738E-2</v>
      </c>
      <c r="Y13" s="12">
        <f>Y14+Y43</f>
        <v>2969003</v>
      </c>
      <c r="Z13" s="111">
        <f t="shared" si="13"/>
        <v>7.649427774943705E-3</v>
      </c>
      <c r="AA13" s="143">
        <f>AA14+AA43</f>
        <v>14210456</v>
      </c>
      <c r="AB13" s="144">
        <f t="shared" si="14"/>
        <v>3.6612242163788791E-2</v>
      </c>
      <c r="AC13" s="143">
        <f>AC14+AC43</f>
        <v>1783633</v>
      </c>
      <c r="AD13" s="144">
        <f t="shared" si="15"/>
        <v>4.5954051951130276E-3</v>
      </c>
      <c r="AE13" s="12">
        <f>AE14+AE43</f>
        <v>207708000</v>
      </c>
      <c r="AF13" s="111">
        <f t="shared" si="4"/>
        <v>0.53514507876145867</v>
      </c>
      <c r="AG13" s="12">
        <f>AG14+AG43</f>
        <v>180426000</v>
      </c>
      <c r="AH13" s="111">
        <f t="shared" si="16"/>
        <v>0.46485492123854133</v>
      </c>
      <c r="AI13" s="143">
        <f>AI14+AI43</f>
        <v>388134000</v>
      </c>
      <c r="AJ13" s="134">
        <f t="shared" si="17"/>
        <v>0</v>
      </c>
      <c r="AK13" s="134">
        <f t="shared" si="18"/>
        <v>0</v>
      </c>
      <c r="AL13" s="134"/>
      <c r="AM13" s="122"/>
      <c r="AN13" s="122"/>
      <c r="AO13" s="122"/>
      <c r="AP13" s="122"/>
      <c r="AQ13" s="122"/>
      <c r="AR13" s="122"/>
      <c r="AS13" s="221">
        <f t="shared" si="19"/>
        <v>0</v>
      </c>
      <c r="AT13" s="121"/>
      <c r="AU13" s="122"/>
      <c r="AV13" s="122"/>
      <c r="AW13" s="122"/>
      <c r="AX13" s="122"/>
      <c r="AY13" s="122"/>
      <c r="AZ13" s="122"/>
    </row>
    <row r="14" spans="1:52" ht="21.75" customHeight="1" outlineLevel="2" x14ac:dyDescent="0.35">
      <c r="A14" s="11" t="s">
        <v>98</v>
      </c>
      <c r="B14" s="240">
        <f>B15+B27+B34+B40</f>
        <v>193583000</v>
      </c>
      <c r="C14" s="251">
        <f t="shared" si="0"/>
        <v>52.217693533986285</v>
      </c>
      <c r="D14" s="240">
        <f>D15+D27+D34+D40</f>
        <v>177140000</v>
      </c>
      <c r="E14" s="251">
        <f t="shared" si="1"/>
        <v>47.782306466013708</v>
      </c>
      <c r="F14" s="240">
        <f>F15+F27+F34+F40</f>
        <v>370723000</v>
      </c>
      <c r="G14" s="259">
        <f t="shared" si="2"/>
        <v>85.223678160919533</v>
      </c>
      <c r="H14" s="14"/>
      <c r="I14" s="12">
        <f>I15+I27+I34+I40</f>
        <v>28584809</v>
      </c>
      <c r="J14" s="112">
        <f>I14/$F14</f>
        <v>7.7105572084818039E-2</v>
      </c>
      <c r="K14" s="146">
        <f>K15+K27+K34+K40</f>
        <v>44660518</v>
      </c>
      <c r="L14" s="147">
        <f>K14/$F14</f>
        <v>0.12046870035039639</v>
      </c>
      <c r="M14" s="146">
        <f>M15+M27+M34+M40</f>
        <v>80387030</v>
      </c>
      <c r="N14" s="147">
        <f>M14/$F14</f>
        <v>0.21683852903650436</v>
      </c>
      <c r="O14" s="12">
        <f>O15+O27+O34+O40</f>
        <v>77624666</v>
      </c>
      <c r="P14" s="112">
        <f>O14/$F14</f>
        <v>0.20938724060821692</v>
      </c>
      <c r="Q14" s="12">
        <f>Q15+Q27+Q34+Q40</f>
        <v>54863119</v>
      </c>
      <c r="R14" s="112">
        <f>Q14/$F14</f>
        <v>0.14798952047755332</v>
      </c>
      <c r="S14" s="146">
        <f>S15+S27+S34+S40</f>
        <v>38812739</v>
      </c>
      <c r="T14" s="147">
        <f>S14/$F14</f>
        <v>0.1046947154614092</v>
      </c>
      <c r="U14" s="146">
        <f>U15+U27+U34+U40</f>
        <v>9573854</v>
      </c>
      <c r="V14" s="147">
        <f>U14/$F14</f>
        <v>2.5824817990790967E-2</v>
      </c>
      <c r="W14" s="12">
        <f>W15+W27+W34+W40</f>
        <v>20331167</v>
      </c>
      <c r="X14" s="112">
        <f>W14/$F14</f>
        <v>5.4841935892836431E-2</v>
      </c>
      <c r="Y14" s="12">
        <f>Y15+Y27+Y34+Y40</f>
        <v>2332777</v>
      </c>
      <c r="Z14" s="112">
        <f>Y14/$F14</f>
        <v>6.2925068042716525E-3</v>
      </c>
      <c r="AA14" s="146">
        <f>AA15+AA27+AA34+AA40</f>
        <v>12153910</v>
      </c>
      <c r="AB14" s="147">
        <f>AA14/$F14</f>
        <v>3.278434302700399E-2</v>
      </c>
      <c r="AC14" s="146">
        <f>AC15+AC27+AC34+AC40</f>
        <v>1398411</v>
      </c>
      <c r="AD14" s="169">
        <f>AC14/$F14</f>
        <v>3.7721182661987524E-3</v>
      </c>
      <c r="AE14" s="12">
        <f>AE15+AE27+AE34+AE40</f>
        <v>193583000</v>
      </c>
      <c r="AF14" s="112">
        <f t="shared" si="4"/>
        <v>0.52217693533986287</v>
      </c>
      <c r="AG14" s="12">
        <f>AG15+AG27+AG34+AG40</f>
        <v>177140000</v>
      </c>
      <c r="AH14" s="112">
        <f t="shared" si="16"/>
        <v>0.47782306466013708</v>
      </c>
      <c r="AI14" s="146">
        <f>AI15+AI27+AI34+AI40</f>
        <v>370723000</v>
      </c>
      <c r="AJ14" s="134">
        <f t="shared" si="17"/>
        <v>0</v>
      </c>
      <c r="AK14" s="134">
        <f t="shared" si="18"/>
        <v>0</v>
      </c>
      <c r="AL14" s="134"/>
      <c r="AM14" s="122"/>
      <c r="AN14" s="122"/>
      <c r="AO14" s="122"/>
      <c r="AP14" s="122"/>
      <c r="AQ14" s="122"/>
      <c r="AR14" s="122"/>
      <c r="AS14" s="221">
        <f t="shared" si="19"/>
        <v>0</v>
      </c>
      <c r="AT14" s="121"/>
      <c r="AU14" s="122"/>
      <c r="AV14" s="122"/>
      <c r="AW14" s="122"/>
      <c r="AX14" s="122"/>
      <c r="AY14" s="122"/>
      <c r="AZ14" s="122"/>
    </row>
    <row r="15" spans="1:52" s="69" customFormat="1" ht="21" customHeight="1" outlineLevel="2" x14ac:dyDescent="0.35">
      <c r="A15" s="11" t="s">
        <v>41</v>
      </c>
      <c r="B15" s="242">
        <f>B16+B25+B26</f>
        <v>88228023</v>
      </c>
      <c r="C15" s="251">
        <f t="shared" si="0"/>
        <v>43.372812850603836</v>
      </c>
      <c r="D15" s="243">
        <f>D16+D25+D26</f>
        <v>115189780</v>
      </c>
      <c r="E15" s="251">
        <f t="shared" si="1"/>
        <v>56.627187149396164</v>
      </c>
      <c r="F15" s="243">
        <f>F16+F25+F26</f>
        <v>203417803</v>
      </c>
      <c r="G15" s="259">
        <f t="shared" si="2"/>
        <v>46.76271333333333</v>
      </c>
      <c r="H15" s="68"/>
      <c r="I15" s="18">
        <f>I16+I25+I26</f>
        <v>27148554</v>
      </c>
      <c r="J15" s="112">
        <f t="shared" ref="J15:J60" si="25">I15/F15</f>
        <v>0.13346203527721712</v>
      </c>
      <c r="K15" s="148">
        <f>K16+K25+K26</f>
        <v>5557344</v>
      </c>
      <c r="L15" s="147">
        <f t="shared" si="6"/>
        <v>2.7319850662235301E-2</v>
      </c>
      <c r="M15" s="148">
        <f>M16+M25+M26</f>
        <v>51255587</v>
      </c>
      <c r="N15" s="147">
        <f t="shared" si="7"/>
        <v>0.25197198201968585</v>
      </c>
      <c r="O15" s="18">
        <f>O16+O25+O26</f>
        <v>29520955</v>
      </c>
      <c r="P15" s="112">
        <f t="shared" si="8"/>
        <v>0.14512473620610286</v>
      </c>
      <c r="Q15" s="18">
        <f>Q16+Q25+Q26</f>
        <v>30715282</v>
      </c>
      <c r="R15" s="112">
        <f t="shared" si="9"/>
        <v>0.1509960364678602</v>
      </c>
      <c r="S15" s="148">
        <f>S16+S25+S26</f>
        <v>20664647</v>
      </c>
      <c r="T15" s="147">
        <f t="shared" si="10"/>
        <v>0.10158720965047489</v>
      </c>
      <c r="U15" s="148">
        <f>U16+U25+U26</f>
        <v>2339169</v>
      </c>
      <c r="V15" s="147">
        <f t="shared" si="11"/>
        <v>1.1499332730478855E-2</v>
      </c>
      <c r="W15" s="18">
        <f>W16+W25+W26</f>
        <v>20331167</v>
      </c>
      <c r="X15" s="112">
        <f t="shared" si="12"/>
        <v>9.9947825117352188E-2</v>
      </c>
      <c r="Y15" s="18">
        <f>Y16+Y25+Y26</f>
        <v>2332777</v>
      </c>
      <c r="Z15" s="112">
        <f t="shared" si="13"/>
        <v>1.1467909718796835E-2</v>
      </c>
      <c r="AA15" s="148">
        <f>AA16+AA25+AA26</f>
        <v>12153910</v>
      </c>
      <c r="AB15" s="147">
        <f t="shared" si="14"/>
        <v>5.9748506869873132E-2</v>
      </c>
      <c r="AC15" s="148">
        <f>AC16+AC25+AC26</f>
        <v>1398411</v>
      </c>
      <c r="AD15" s="147">
        <f t="shared" si="15"/>
        <v>6.8745752799227707E-3</v>
      </c>
      <c r="AE15" s="18">
        <f>AE16+AE25+AE26</f>
        <v>88228023</v>
      </c>
      <c r="AF15" s="112">
        <f t="shared" si="4"/>
        <v>0.43372812850603837</v>
      </c>
      <c r="AG15" s="18">
        <f>AG16+AG25+AG26</f>
        <v>115189780</v>
      </c>
      <c r="AH15" s="112">
        <f t="shared" si="16"/>
        <v>0.56627187149396163</v>
      </c>
      <c r="AI15" s="148">
        <f>AI16+AI25+AI26</f>
        <v>203417803</v>
      </c>
      <c r="AJ15" s="134">
        <f t="shared" si="17"/>
        <v>0</v>
      </c>
      <c r="AK15" s="134">
        <f t="shared" si="18"/>
        <v>0</v>
      </c>
      <c r="AL15" s="135"/>
      <c r="AM15" s="122"/>
      <c r="AN15" s="122"/>
      <c r="AO15" s="122"/>
      <c r="AP15" s="122"/>
      <c r="AQ15" s="122"/>
      <c r="AR15" s="122"/>
      <c r="AS15" s="221">
        <f t="shared" si="19"/>
        <v>0</v>
      </c>
      <c r="AT15" s="121"/>
      <c r="AU15" s="122"/>
      <c r="AV15" s="122"/>
      <c r="AW15" s="122"/>
      <c r="AX15" s="122"/>
      <c r="AY15" s="122"/>
      <c r="AZ15" s="122"/>
    </row>
    <row r="16" spans="1:52" ht="21" customHeight="1" outlineLevel="2" x14ac:dyDescent="0.35">
      <c r="A16" s="17" t="s">
        <v>42</v>
      </c>
      <c r="B16" s="242">
        <f>SUM(B17:B24)</f>
        <v>82163256</v>
      </c>
      <c r="C16" s="251">
        <f t="shared" si="0"/>
        <v>42.243528651730692</v>
      </c>
      <c r="D16" s="242">
        <f>SUM(D17:D24)</f>
        <v>112335780</v>
      </c>
      <c r="E16" s="251">
        <f t="shared" si="1"/>
        <v>57.756471348269301</v>
      </c>
      <c r="F16" s="242">
        <f>SUM(F17:F24)</f>
        <v>194499036</v>
      </c>
      <c r="G16" s="259">
        <f t="shared" si="2"/>
        <v>44.712422068965516</v>
      </c>
      <c r="H16" s="23"/>
      <c r="I16" s="18">
        <f>SUM(I17:I24)</f>
        <v>27148554</v>
      </c>
      <c r="J16" s="112">
        <f t="shared" si="25"/>
        <v>0.13958194630846396</v>
      </c>
      <c r="K16" s="148">
        <f t="shared" ref="K16:AC16" si="26">SUM(K17:K24)</f>
        <v>4583333</v>
      </c>
      <c r="L16" s="147">
        <f t="shared" si="6"/>
        <v>2.3564810881633366E-2</v>
      </c>
      <c r="M16" s="154">
        <f t="shared" si="26"/>
        <v>50797235</v>
      </c>
      <c r="N16" s="147">
        <f t="shared" si="7"/>
        <v>0.26116959777630983</v>
      </c>
      <c r="O16" s="18">
        <f t="shared" si="26"/>
        <v>27892822</v>
      </c>
      <c r="P16" s="112">
        <f t="shared" si="8"/>
        <v>0.14340853596827083</v>
      </c>
      <c r="Q16" s="21">
        <f t="shared" si="26"/>
        <v>29949104</v>
      </c>
      <c r="R16" s="112">
        <f t="shared" si="9"/>
        <v>0.15398073232609749</v>
      </c>
      <c r="S16" s="148">
        <f t="shared" si="26"/>
        <v>19333428</v>
      </c>
      <c r="T16" s="147">
        <f t="shared" si="10"/>
        <v>9.9401150759431012E-2</v>
      </c>
      <c r="U16" s="154">
        <f t="shared" si="26"/>
        <v>1712713</v>
      </c>
      <c r="V16" s="147">
        <f t="shared" si="11"/>
        <v>8.8057660090407851E-3</v>
      </c>
      <c r="W16" s="18">
        <f t="shared" si="26"/>
        <v>19003586</v>
      </c>
      <c r="X16" s="112">
        <f t="shared" si="12"/>
        <v>9.7705296595917313E-2</v>
      </c>
      <c r="Y16" s="21">
        <f t="shared" si="26"/>
        <v>1708033</v>
      </c>
      <c r="Z16" s="112">
        <f t="shared" si="13"/>
        <v>8.7817041931251526E-3</v>
      </c>
      <c r="AA16" s="148">
        <f t="shared" si="26"/>
        <v>11350087</v>
      </c>
      <c r="AB16" s="147">
        <f t="shared" si="14"/>
        <v>5.835549231205444E-2</v>
      </c>
      <c r="AC16" s="154">
        <f t="shared" si="26"/>
        <v>1020141</v>
      </c>
      <c r="AD16" s="147">
        <f t="shared" si="15"/>
        <v>5.2449668696558475E-3</v>
      </c>
      <c r="AE16" s="18">
        <f t="shared" ref="AE16:AE60" si="27">K16+O16+S16+W16+AA16</f>
        <v>82163256</v>
      </c>
      <c r="AF16" s="112">
        <f t="shared" si="4"/>
        <v>0.42243528651730694</v>
      </c>
      <c r="AG16" s="21">
        <f t="shared" ref="AG16:AG60" si="28">I16+M16+Q16+U16+Y16+AC16</f>
        <v>112335780</v>
      </c>
      <c r="AH16" s="112">
        <f t="shared" si="16"/>
        <v>0.577564713482693</v>
      </c>
      <c r="AI16" s="154">
        <f t="shared" si="22"/>
        <v>194499036</v>
      </c>
      <c r="AJ16" s="134">
        <f t="shared" si="17"/>
        <v>0</v>
      </c>
      <c r="AK16" s="134">
        <f t="shared" si="18"/>
        <v>0</v>
      </c>
      <c r="AL16" s="135"/>
      <c r="AM16" s="122">
        <f>27148554+82</f>
        <v>27148636</v>
      </c>
      <c r="AN16" s="122">
        <v>50797234</v>
      </c>
      <c r="AO16" s="122">
        <v>29949023</v>
      </c>
      <c r="AP16" s="122">
        <v>1712713</v>
      </c>
      <c r="AQ16" s="122">
        <v>1708033</v>
      </c>
      <c r="AR16" s="122">
        <v>1020141</v>
      </c>
      <c r="AS16" s="221">
        <f t="shared" si="19"/>
        <v>112335780</v>
      </c>
      <c r="AT16" s="121"/>
      <c r="AU16" s="122"/>
      <c r="AV16" s="122"/>
      <c r="AW16" s="122"/>
      <c r="AX16" s="122"/>
      <c r="AY16" s="122"/>
      <c r="AZ16" s="122"/>
    </row>
    <row r="17" spans="1:52" ht="21" customHeight="1" outlineLevel="4" x14ac:dyDescent="0.35">
      <c r="A17" s="30" t="s">
        <v>43</v>
      </c>
      <c r="B17" s="242">
        <v>15000000</v>
      </c>
      <c r="C17" s="251">
        <f t="shared" si="0"/>
        <v>100</v>
      </c>
      <c r="D17" s="242">
        <v>0</v>
      </c>
      <c r="E17" s="251">
        <f t="shared" si="1"/>
        <v>0</v>
      </c>
      <c r="F17" s="242">
        <f t="shared" ref="F17:F27" si="29">B17+D17</f>
        <v>15000000</v>
      </c>
      <c r="G17" s="259">
        <f t="shared" si="2"/>
        <v>3.4482758620689653</v>
      </c>
      <c r="H17" s="23"/>
      <c r="I17" s="18">
        <f t="shared" ref="I17:I26" si="30">AM17</f>
        <v>0</v>
      </c>
      <c r="J17" s="112">
        <f t="shared" si="25"/>
        <v>0</v>
      </c>
      <c r="K17" s="148">
        <f t="shared" ref="K17:K26" si="31">AU17</f>
        <v>4583333</v>
      </c>
      <c r="L17" s="147">
        <f t="shared" si="6"/>
        <v>0.30555553333333335</v>
      </c>
      <c r="M17" s="154">
        <f t="shared" ref="M17:M26" si="32">AN17</f>
        <v>0</v>
      </c>
      <c r="N17" s="147">
        <f t="shared" si="7"/>
        <v>0</v>
      </c>
      <c r="O17" s="18">
        <f t="shared" ref="O17:O26" si="33">AV17</f>
        <v>10138889</v>
      </c>
      <c r="P17" s="112">
        <f t="shared" si="8"/>
        <v>0.67592593333333328</v>
      </c>
      <c r="Q17" s="21">
        <f t="shared" ref="Q17:Q26" si="34">AO17</f>
        <v>0</v>
      </c>
      <c r="R17" s="112">
        <f t="shared" si="9"/>
        <v>0</v>
      </c>
      <c r="S17" s="148">
        <f t="shared" ref="S17:S26" si="35">AW17</f>
        <v>277778</v>
      </c>
      <c r="T17" s="147">
        <f t="shared" si="10"/>
        <v>1.8518533333333333E-2</v>
      </c>
      <c r="U17" s="154">
        <f t="shared" ref="U17:U26" si="36">AP17</f>
        <v>0</v>
      </c>
      <c r="V17" s="147">
        <f t="shared" si="11"/>
        <v>0</v>
      </c>
      <c r="W17" s="18">
        <f t="shared" ref="W17:W26" si="37">AX17</f>
        <v>0</v>
      </c>
      <c r="X17" s="112">
        <f t="shared" si="12"/>
        <v>0</v>
      </c>
      <c r="Y17" s="21">
        <f t="shared" ref="Y17:Y26" si="38">AQ17</f>
        <v>0</v>
      </c>
      <c r="Z17" s="112">
        <f t="shared" si="13"/>
        <v>0</v>
      </c>
      <c r="AA17" s="148">
        <f t="shared" ref="AA17:AA26" si="39">AY17</f>
        <v>0</v>
      </c>
      <c r="AB17" s="147">
        <f t="shared" si="14"/>
        <v>0</v>
      </c>
      <c r="AC17" s="154">
        <f t="shared" ref="AC17:AC26" si="40">AR17</f>
        <v>0</v>
      </c>
      <c r="AD17" s="147">
        <f t="shared" si="15"/>
        <v>0</v>
      </c>
      <c r="AE17" s="18">
        <f t="shared" si="27"/>
        <v>15000000</v>
      </c>
      <c r="AF17" s="112">
        <f t="shared" si="4"/>
        <v>1</v>
      </c>
      <c r="AG17" s="21">
        <f t="shared" si="28"/>
        <v>0</v>
      </c>
      <c r="AH17" s="112">
        <f t="shared" si="16"/>
        <v>0</v>
      </c>
      <c r="AI17" s="154">
        <f t="shared" si="22"/>
        <v>15000000</v>
      </c>
      <c r="AJ17" s="134">
        <f t="shared" si="17"/>
        <v>0</v>
      </c>
      <c r="AK17" s="134">
        <f t="shared" si="18"/>
        <v>0</v>
      </c>
      <c r="AL17" s="135"/>
      <c r="AM17" s="121"/>
      <c r="AN17" s="121"/>
      <c r="AO17" s="121"/>
      <c r="AP17" s="121"/>
      <c r="AQ17" s="121"/>
      <c r="AR17" s="121"/>
      <c r="AS17" s="221">
        <f t="shared" si="19"/>
        <v>0</v>
      </c>
      <c r="AT17" s="121"/>
      <c r="AU17" s="122">
        <v>4583333</v>
      </c>
      <c r="AV17" s="122">
        <v>10138889</v>
      </c>
      <c r="AW17" s="122">
        <v>277778</v>
      </c>
      <c r="AX17" s="121"/>
      <c r="AY17" s="121"/>
      <c r="AZ17" s="122">
        <f t="shared" si="23"/>
        <v>15000000</v>
      </c>
    </row>
    <row r="18" spans="1:52" ht="21" customHeight="1" outlineLevel="4" x14ac:dyDescent="0.35">
      <c r="A18" s="30" t="s">
        <v>44</v>
      </c>
      <c r="B18" s="242">
        <v>0</v>
      </c>
      <c r="C18" s="251">
        <f t="shared" si="0"/>
        <v>0</v>
      </c>
      <c r="D18" s="242">
        <v>28511814</v>
      </c>
      <c r="E18" s="251">
        <f t="shared" si="1"/>
        <v>100</v>
      </c>
      <c r="F18" s="242">
        <f t="shared" si="29"/>
        <v>28511814</v>
      </c>
      <c r="G18" s="259">
        <f t="shared" si="2"/>
        <v>6.5544400000000005</v>
      </c>
      <c r="H18" s="23"/>
      <c r="I18" s="18">
        <f t="shared" si="30"/>
        <v>19292994</v>
      </c>
      <c r="J18" s="112">
        <f t="shared" si="25"/>
        <v>0.67666666175642143</v>
      </c>
      <c r="K18" s="148">
        <f t="shared" si="31"/>
        <v>0</v>
      </c>
      <c r="L18" s="147">
        <f t="shared" si="6"/>
        <v>0</v>
      </c>
      <c r="M18" s="154">
        <f t="shared" si="32"/>
        <v>9218820</v>
      </c>
      <c r="N18" s="147">
        <f t="shared" si="7"/>
        <v>0.32333333824357863</v>
      </c>
      <c r="O18" s="18">
        <f t="shared" si="33"/>
        <v>0</v>
      </c>
      <c r="P18" s="112">
        <f t="shared" si="8"/>
        <v>0</v>
      </c>
      <c r="Q18" s="21">
        <f t="shared" si="34"/>
        <v>0</v>
      </c>
      <c r="R18" s="112">
        <f t="shared" si="9"/>
        <v>0</v>
      </c>
      <c r="S18" s="148">
        <f t="shared" si="35"/>
        <v>0</v>
      </c>
      <c r="T18" s="147">
        <f t="shared" si="10"/>
        <v>0</v>
      </c>
      <c r="U18" s="154">
        <f t="shared" si="36"/>
        <v>0</v>
      </c>
      <c r="V18" s="147">
        <f t="shared" si="11"/>
        <v>0</v>
      </c>
      <c r="W18" s="18">
        <f t="shared" si="37"/>
        <v>0</v>
      </c>
      <c r="X18" s="112">
        <f t="shared" si="12"/>
        <v>0</v>
      </c>
      <c r="Y18" s="21">
        <f t="shared" si="38"/>
        <v>0</v>
      </c>
      <c r="Z18" s="112">
        <f t="shared" si="13"/>
        <v>0</v>
      </c>
      <c r="AA18" s="148">
        <f t="shared" si="39"/>
        <v>0</v>
      </c>
      <c r="AB18" s="147">
        <f t="shared" si="14"/>
        <v>0</v>
      </c>
      <c r="AC18" s="154">
        <f t="shared" si="40"/>
        <v>0</v>
      </c>
      <c r="AD18" s="147">
        <f t="shared" si="15"/>
        <v>0</v>
      </c>
      <c r="AE18" s="18">
        <f t="shared" si="27"/>
        <v>0</v>
      </c>
      <c r="AF18" s="112">
        <f t="shared" si="4"/>
        <v>0</v>
      </c>
      <c r="AG18" s="21">
        <f t="shared" si="28"/>
        <v>28511814</v>
      </c>
      <c r="AH18" s="112">
        <f t="shared" si="16"/>
        <v>1</v>
      </c>
      <c r="AI18" s="154">
        <f t="shared" si="22"/>
        <v>28511814</v>
      </c>
      <c r="AJ18" s="134">
        <f t="shared" si="17"/>
        <v>0</v>
      </c>
      <c r="AK18" s="134">
        <f t="shared" si="18"/>
        <v>0</v>
      </c>
      <c r="AL18" s="135"/>
      <c r="AM18" s="122">
        <v>19292994</v>
      </c>
      <c r="AN18" s="122">
        <v>9218820</v>
      </c>
      <c r="AO18" s="121"/>
      <c r="AP18" s="121"/>
      <c r="AQ18" s="121"/>
      <c r="AR18" s="121"/>
      <c r="AS18" s="221">
        <f t="shared" si="19"/>
        <v>28511814</v>
      </c>
      <c r="AT18" s="121"/>
      <c r="AU18" s="121"/>
      <c r="AV18" s="121"/>
      <c r="AW18" s="121"/>
      <c r="AX18" s="121"/>
      <c r="AY18" s="121"/>
      <c r="AZ18" s="122">
        <f t="shared" si="23"/>
        <v>0</v>
      </c>
    </row>
    <row r="19" spans="1:52" ht="21" customHeight="1" outlineLevel="4" x14ac:dyDescent="0.35">
      <c r="A19" s="30" t="s">
        <v>45</v>
      </c>
      <c r="B19" s="242">
        <v>0</v>
      </c>
      <c r="C19" s="251">
        <f t="shared" si="0"/>
        <v>0</v>
      </c>
      <c r="D19" s="242">
        <v>4506023</v>
      </c>
      <c r="E19" s="251">
        <f t="shared" si="1"/>
        <v>100</v>
      </c>
      <c r="F19" s="242">
        <f t="shared" si="29"/>
        <v>4506023</v>
      </c>
      <c r="G19" s="259">
        <f t="shared" si="2"/>
        <v>1.035867356321839</v>
      </c>
      <c r="H19" s="23"/>
      <c r="I19" s="18">
        <f t="shared" si="30"/>
        <v>4506023</v>
      </c>
      <c r="J19" s="112">
        <f t="shared" si="25"/>
        <v>1</v>
      </c>
      <c r="K19" s="148">
        <f t="shared" si="31"/>
        <v>0</v>
      </c>
      <c r="L19" s="147">
        <f t="shared" si="6"/>
        <v>0</v>
      </c>
      <c r="M19" s="154">
        <f t="shared" si="32"/>
        <v>0</v>
      </c>
      <c r="N19" s="147">
        <f t="shared" si="7"/>
        <v>0</v>
      </c>
      <c r="O19" s="18">
        <f t="shared" si="33"/>
        <v>0</v>
      </c>
      <c r="P19" s="112">
        <f t="shared" si="8"/>
        <v>0</v>
      </c>
      <c r="Q19" s="21">
        <f t="shared" si="34"/>
        <v>0</v>
      </c>
      <c r="R19" s="112">
        <f t="shared" si="9"/>
        <v>0</v>
      </c>
      <c r="S19" s="148">
        <f t="shared" si="35"/>
        <v>0</v>
      </c>
      <c r="T19" s="147">
        <f t="shared" si="10"/>
        <v>0</v>
      </c>
      <c r="U19" s="154">
        <f t="shared" si="36"/>
        <v>0</v>
      </c>
      <c r="V19" s="147">
        <f t="shared" si="11"/>
        <v>0</v>
      </c>
      <c r="W19" s="18">
        <f t="shared" si="37"/>
        <v>0</v>
      </c>
      <c r="X19" s="112">
        <f t="shared" si="12"/>
        <v>0</v>
      </c>
      <c r="Y19" s="21">
        <f t="shared" si="38"/>
        <v>0</v>
      </c>
      <c r="Z19" s="112">
        <f t="shared" si="13"/>
        <v>0</v>
      </c>
      <c r="AA19" s="148">
        <f t="shared" si="39"/>
        <v>0</v>
      </c>
      <c r="AB19" s="147">
        <f t="shared" si="14"/>
        <v>0</v>
      </c>
      <c r="AC19" s="154">
        <f t="shared" si="40"/>
        <v>0</v>
      </c>
      <c r="AD19" s="147">
        <f t="shared" si="15"/>
        <v>0</v>
      </c>
      <c r="AE19" s="18">
        <f t="shared" si="27"/>
        <v>0</v>
      </c>
      <c r="AF19" s="112">
        <f t="shared" si="4"/>
        <v>0</v>
      </c>
      <c r="AG19" s="21">
        <f t="shared" si="28"/>
        <v>4506023</v>
      </c>
      <c r="AH19" s="112">
        <f t="shared" si="16"/>
        <v>1</v>
      </c>
      <c r="AI19" s="154">
        <f t="shared" si="22"/>
        <v>4506023</v>
      </c>
      <c r="AJ19" s="134">
        <f t="shared" si="17"/>
        <v>0</v>
      </c>
      <c r="AK19" s="134">
        <f t="shared" si="18"/>
        <v>0</v>
      </c>
      <c r="AL19" s="135"/>
      <c r="AM19" s="122">
        <v>4506023</v>
      </c>
      <c r="AN19" s="122"/>
      <c r="AO19" s="121"/>
      <c r="AP19" s="121"/>
      <c r="AQ19" s="121"/>
      <c r="AR19" s="121"/>
      <c r="AS19" s="221">
        <f t="shared" si="19"/>
        <v>4506023</v>
      </c>
      <c r="AT19" s="121"/>
      <c r="AU19" s="121"/>
      <c r="AV19" s="121"/>
      <c r="AW19" s="121"/>
      <c r="AX19" s="121"/>
      <c r="AY19" s="121"/>
      <c r="AZ19" s="122">
        <f t="shared" si="23"/>
        <v>0</v>
      </c>
    </row>
    <row r="20" spans="1:52" ht="21" customHeight="1" outlineLevel="4" x14ac:dyDescent="0.35">
      <c r="A20" s="30" t="s">
        <v>46</v>
      </c>
      <c r="B20" s="242">
        <v>0</v>
      </c>
      <c r="C20" s="251">
        <f t="shared" si="0"/>
        <v>0</v>
      </c>
      <c r="D20" s="242">
        <v>10937500</v>
      </c>
      <c r="E20" s="251">
        <f t="shared" si="1"/>
        <v>100</v>
      </c>
      <c r="F20" s="242">
        <f t="shared" si="29"/>
        <v>10937500</v>
      </c>
      <c r="G20" s="259">
        <f t="shared" si="2"/>
        <v>2.514367816091954</v>
      </c>
      <c r="H20" s="23"/>
      <c r="I20" s="18">
        <f t="shared" si="30"/>
        <v>708912</v>
      </c>
      <c r="J20" s="112">
        <f t="shared" si="25"/>
        <v>6.4814811428571428E-2</v>
      </c>
      <c r="K20" s="148">
        <f t="shared" si="31"/>
        <v>0</v>
      </c>
      <c r="L20" s="147">
        <f t="shared" si="6"/>
        <v>0</v>
      </c>
      <c r="M20" s="154">
        <f t="shared" si="32"/>
        <v>7392940</v>
      </c>
      <c r="N20" s="147">
        <f t="shared" si="7"/>
        <v>0.6759259428571428</v>
      </c>
      <c r="O20" s="18">
        <f t="shared" si="33"/>
        <v>0</v>
      </c>
      <c r="P20" s="112">
        <f t="shared" si="8"/>
        <v>0</v>
      </c>
      <c r="Q20" s="21">
        <f t="shared" si="34"/>
        <v>2835648</v>
      </c>
      <c r="R20" s="112">
        <f t="shared" si="9"/>
        <v>0.25925924571428571</v>
      </c>
      <c r="S20" s="148">
        <f t="shared" si="35"/>
        <v>0</v>
      </c>
      <c r="T20" s="147">
        <f t="shared" si="10"/>
        <v>0</v>
      </c>
      <c r="U20" s="154">
        <f t="shared" si="36"/>
        <v>0</v>
      </c>
      <c r="V20" s="147">
        <f t="shared" si="11"/>
        <v>0</v>
      </c>
      <c r="W20" s="18">
        <f t="shared" si="37"/>
        <v>0</v>
      </c>
      <c r="X20" s="112">
        <f t="shared" si="12"/>
        <v>0</v>
      </c>
      <c r="Y20" s="21">
        <f t="shared" si="38"/>
        <v>0</v>
      </c>
      <c r="Z20" s="112">
        <f t="shared" si="13"/>
        <v>0</v>
      </c>
      <c r="AA20" s="148">
        <f t="shared" si="39"/>
        <v>0</v>
      </c>
      <c r="AB20" s="147">
        <f t="shared" si="14"/>
        <v>0</v>
      </c>
      <c r="AC20" s="154">
        <f t="shared" si="40"/>
        <v>0</v>
      </c>
      <c r="AD20" s="147">
        <f t="shared" si="15"/>
        <v>0</v>
      </c>
      <c r="AE20" s="18">
        <f t="shared" si="27"/>
        <v>0</v>
      </c>
      <c r="AF20" s="112">
        <f t="shared" si="4"/>
        <v>0</v>
      </c>
      <c r="AG20" s="21">
        <f t="shared" si="28"/>
        <v>10937500</v>
      </c>
      <c r="AH20" s="112">
        <f t="shared" si="16"/>
        <v>1</v>
      </c>
      <c r="AI20" s="154">
        <f t="shared" si="22"/>
        <v>10937500</v>
      </c>
      <c r="AJ20" s="134">
        <f t="shared" si="17"/>
        <v>0</v>
      </c>
      <c r="AK20" s="134">
        <f t="shared" si="18"/>
        <v>0</v>
      </c>
      <c r="AL20" s="135"/>
      <c r="AM20" s="122">
        <v>708912</v>
      </c>
      <c r="AN20" s="122">
        <v>7392940</v>
      </c>
      <c r="AO20" s="122">
        <v>2835648</v>
      </c>
      <c r="AP20" s="121"/>
      <c r="AQ20" s="121"/>
      <c r="AR20" s="121"/>
      <c r="AS20" s="221">
        <f t="shared" si="19"/>
        <v>10937500</v>
      </c>
      <c r="AT20" s="121"/>
      <c r="AU20" s="121"/>
      <c r="AV20" s="121"/>
      <c r="AW20" s="121"/>
      <c r="AX20" s="121"/>
      <c r="AY20" s="121"/>
      <c r="AZ20" s="122">
        <f t="shared" si="23"/>
        <v>0</v>
      </c>
    </row>
    <row r="21" spans="1:52" ht="21" customHeight="1" outlineLevel="4" x14ac:dyDescent="0.35">
      <c r="A21" s="30" t="s">
        <v>47</v>
      </c>
      <c r="B21" s="242">
        <v>0</v>
      </c>
      <c r="C21" s="251">
        <f t="shared" si="0"/>
        <v>0</v>
      </c>
      <c r="D21" s="242">
        <v>1562500</v>
      </c>
      <c r="E21" s="251">
        <f t="shared" si="1"/>
        <v>100</v>
      </c>
      <c r="F21" s="242">
        <f t="shared" si="29"/>
        <v>1562500</v>
      </c>
      <c r="G21" s="259">
        <f t="shared" si="2"/>
        <v>0.35919540229885055</v>
      </c>
      <c r="H21" s="23"/>
      <c r="I21" s="18">
        <f t="shared" si="30"/>
        <v>0</v>
      </c>
      <c r="J21" s="112">
        <f t="shared" si="25"/>
        <v>0</v>
      </c>
      <c r="K21" s="148">
        <f t="shared" si="31"/>
        <v>0</v>
      </c>
      <c r="L21" s="147">
        <f t="shared" si="6"/>
        <v>0</v>
      </c>
      <c r="M21" s="154">
        <f t="shared" si="32"/>
        <v>1562500</v>
      </c>
      <c r="N21" s="147">
        <f t="shared" si="7"/>
        <v>1</v>
      </c>
      <c r="O21" s="18">
        <f t="shared" si="33"/>
        <v>0</v>
      </c>
      <c r="P21" s="112">
        <f t="shared" si="8"/>
        <v>0</v>
      </c>
      <c r="Q21" s="21">
        <f t="shared" si="34"/>
        <v>0</v>
      </c>
      <c r="R21" s="112">
        <f t="shared" si="9"/>
        <v>0</v>
      </c>
      <c r="S21" s="148">
        <f t="shared" si="35"/>
        <v>0</v>
      </c>
      <c r="T21" s="147">
        <f t="shared" si="10"/>
        <v>0</v>
      </c>
      <c r="U21" s="154">
        <f t="shared" si="36"/>
        <v>0</v>
      </c>
      <c r="V21" s="147">
        <f t="shared" si="11"/>
        <v>0</v>
      </c>
      <c r="W21" s="18">
        <f t="shared" si="37"/>
        <v>0</v>
      </c>
      <c r="X21" s="112">
        <f t="shared" si="12"/>
        <v>0</v>
      </c>
      <c r="Y21" s="21">
        <f t="shared" si="38"/>
        <v>0</v>
      </c>
      <c r="Z21" s="112">
        <f t="shared" si="13"/>
        <v>0</v>
      </c>
      <c r="AA21" s="148">
        <f t="shared" si="39"/>
        <v>0</v>
      </c>
      <c r="AB21" s="147">
        <f t="shared" si="14"/>
        <v>0</v>
      </c>
      <c r="AC21" s="154">
        <f t="shared" si="40"/>
        <v>0</v>
      </c>
      <c r="AD21" s="147">
        <f t="shared" si="15"/>
        <v>0</v>
      </c>
      <c r="AE21" s="18">
        <f t="shared" si="27"/>
        <v>0</v>
      </c>
      <c r="AF21" s="112">
        <f t="shared" si="4"/>
        <v>0</v>
      </c>
      <c r="AG21" s="21">
        <f t="shared" si="28"/>
        <v>1562500</v>
      </c>
      <c r="AH21" s="112">
        <f t="shared" si="16"/>
        <v>1</v>
      </c>
      <c r="AI21" s="154">
        <f t="shared" si="22"/>
        <v>1562500</v>
      </c>
      <c r="AJ21" s="134">
        <f t="shared" si="17"/>
        <v>0</v>
      </c>
      <c r="AK21" s="134">
        <f t="shared" si="18"/>
        <v>0</v>
      </c>
      <c r="AL21" s="135"/>
      <c r="AM21" s="121"/>
      <c r="AN21" s="122">
        <v>1562500</v>
      </c>
      <c r="AO21" s="122"/>
      <c r="AP21" s="121"/>
      <c r="AQ21" s="121"/>
      <c r="AR21" s="121"/>
      <c r="AS21" s="221">
        <f t="shared" si="19"/>
        <v>1562500</v>
      </c>
      <c r="AT21" s="121"/>
      <c r="AU21" s="121"/>
      <c r="AV21" s="121"/>
      <c r="AW21" s="121"/>
      <c r="AX21" s="121"/>
      <c r="AY21" s="121"/>
      <c r="AZ21" s="122">
        <f t="shared" si="23"/>
        <v>0</v>
      </c>
    </row>
    <row r="22" spans="1:52" ht="21" customHeight="1" outlineLevel="4" x14ac:dyDescent="0.35">
      <c r="A22" s="30" t="s">
        <v>48</v>
      </c>
      <c r="B22" s="242">
        <v>0</v>
      </c>
      <c r="C22" s="251">
        <f t="shared" si="0"/>
        <v>0</v>
      </c>
      <c r="D22" s="242">
        <v>12031250</v>
      </c>
      <c r="E22" s="251">
        <f t="shared" si="1"/>
        <v>100</v>
      </c>
      <c r="F22" s="242">
        <f t="shared" si="29"/>
        <v>12031250</v>
      </c>
      <c r="G22" s="259">
        <f t="shared" si="2"/>
        <v>2.7658045977011496</v>
      </c>
      <c r="H22" s="23"/>
      <c r="I22" s="18">
        <f t="shared" si="30"/>
        <v>0</v>
      </c>
      <c r="J22" s="112">
        <f t="shared" si="25"/>
        <v>0</v>
      </c>
      <c r="K22" s="148">
        <f t="shared" si="31"/>
        <v>0</v>
      </c>
      <c r="L22" s="147">
        <f t="shared" si="6"/>
        <v>0</v>
      </c>
      <c r="M22" s="154">
        <f t="shared" si="32"/>
        <v>7909433</v>
      </c>
      <c r="N22" s="147">
        <f t="shared" si="7"/>
        <v>0.65740741818181814</v>
      </c>
      <c r="O22" s="18">
        <f t="shared" si="33"/>
        <v>0</v>
      </c>
      <c r="P22" s="112">
        <f t="shared" si="8"/>
        <v>0</v>
      </c>
      <c r="Q22" s="21">
        <f t="shared" si="34"/>
        <v>4121817</v>
      </c>
      <c r="R22" s="112">
        <f t="shared" si="9"/>
        <v>0.34259258181818181</v>
      </c>
      <c r="S22" s="148">
        <f t="shared" si="35"/>
        <v>0</v>
      </c>
      <c r="T22" s="147">
        <f t="shared" si="10"/>
        <v>0</v>
      </c>
      <c r="U22" s="154">
        <f t="shared" si="36"/>
        <v>0</v>
      </c>
      <c r="V22" s="147">
        <f t="shared" si="11"/>
        <v>0</v>
      </c>
      <c r="W22" s="18">
        <f t="shared" si="37"/>
        <v>0</v>
      </c>
      <c r="X22" s="112">
        <f t="shared" si="12"/>
        <v>0</v>
      </c>
      <c r="Y22" s="21">
        <f t="shared" si="38"/>
        <v>0</v>
      </c>
      <c r="Z22" s="112">
        <f t="shared" si="13"/>
        <v>0</v>
      </c>
      <c r="AA22" s="148">
        <f t="shared" si="39"/>
        <v>0</v>
      </c>
      <c r="AB22" s="147">
        <f t="shared" si="14"/>
        <v>0</v>
      </c>
      <c r="AC22" s="154">
        <f t="shared" si="40"/>
        <v>0</v>
      </c>
      <c r="AD22" s="147">
        <f t="shared" si="15"/>
        <v>0</v>
      </c>
      <c r="AE22" s="18">
        <f t="shared" si="27"/>
        <v>0</v>
      </c>
      <c r="AF22" s="112">
        <f t="shared" si="4"/>
        <v>0</v>
      </c>
      <c r="AG22" s="21">
        <f t="shared" si="28"/>
        <v>12031250</v>
      </c>
      <c r="AH22" s="112">
        <f t="shared" si="16"/>
        <v>1</v>
      </c>
      <c r="AI22" s="154">
        <f t="shared" si="22"/>
        <v>12031250</v>
      </c>
      <c r="AJ22" s="134">
        <f t="shared" si="17"/>
        <v>0</v>
      </c>
      <c r="AK22" s="134">
        <f t="shared" si="18"/>
        <v>0</v>
      </c>
      <c r="AL22" s="135"/>
      <c r="AM22" s="122"/>
      <c r="AN22" s="122">
        <v>7909433</v>
      </c>
      <c r="AO22" s="122">
        <v>4121817</v>
      </c>
      <c r="AP22" s="121"/>
      <c r="AQ22" s="121"/>
      <c r="AR22" s="121"/>
      <c r="AS22" s="221">
        <f t="shared" si="19"/>
        <v>12031250</v>
      </c>
      <c r="AT22" s="121"/>
      <c r="AU22" s="121"/>
      <c r="AV22" s="121"/>
      <c r="AW22" s="122"/>
      <c r="AX22" s="122"/>
      <c r="AY22" s="122"/>
      <c r="AZ22" s="122">
        <f t="shared" si="23"/>
        <v>0</v>
      </c>
    </row>
    <row r="23" spans="1:52" ht="21" customHeight="1" outlineLevel="4" x14ac:dyDescent="0.35">
      <c r="A23" s="30" t="s">
        <v>49</v>
      </c>
      <c r="B23" s="242">
        <v>0</v>
      </c>
      <c r="C23" s="251">
        <f t="shared" si="0"/>
        <v>0</v>
      </c>
      <c r="D23" s="242">
        <v>48750000</v>
      </c>
      <c r="E23" s="251">
        <f t="shared" si="1"/>
        <v>100</v>
      </c>
      <c r="F23" s="242">
        <f t="shared" si="29"/>
        <v>48750000</v>
      </c>
      <c r="G23" s="259">
        <f t="shared" si="2"/>
        <v>11.206896551724139</v>
      </c>
      <c r="H23" s="23"/>
      <c r="I23" s="18">
        <f t="shared" si="30"/>
        <v>2640625</v>
      </c>
      <c r="J23" s="112">
        <f t="shared" si="25"/>
        <v>5.4166666666666669E-2</v>
      </c>
      <c r="K23" s="148">
        <f t="shared" si="31"/>
        <v>0</v>
      </c>
      <c r="L23" s="147">
        <f t="shared" si="6"/>
        <v>0</v>
      </c>
      <c r="M23" s="154">
        <f t="shared" si="32"/>
        <v>24713542</v>
      </c>
      <c r="N23" s="147">
        <f t="shared" si="7"/>
        <v>0.50694445128205123</v>
      </c>
      <c r="O23" s="18">
        <f t="shared" si="33"/>
        <v>0</v>
      </c>
      <c r="P23" s="112">
        <f t="shared" si="8"/>
        <v>0</v>
      </c>
      <c r="Q23" s="21">
        <f t="shared" si="34"/>
        <v>21395833</v>
      </c>
      <c r="R23" s="112">
        <f t="shared" si="9"/>
        <v>0.43888888205128207</v>
      </c>
      <c r="S23" s="148">
        <f t="shared" si="35"/>
        <v>0</v>
      </c>
      <c r="T23" s="147">
        <f t="shared" si="10"/>
        <v>0</v>
      </c>
      <c r="U23" s="154">
        <f t="shared" si="36"/>
        <v>0</v>
      </c>
      <c r="V23" s="147">
        <f t="shared" si="11"/>
        <v>0</v>
      </c>
      <c r="W23" s="18">
        <f t="shared" si="37"/>
        <v>0</v>
      </c>
      <c r="X23" s="112">
        <f t="shared" si="12"/>
        <v>0</v>
      </c>
      <c r="Y23" s="21">
        <f t="shared" si="38"/>
        <v>0</v>
      </c>
      <c r="Z23" s="112">
        <f t="shared" si="13"/>
        <v>0</v>
      </c>
      <c r="AA23" s="148">
        <f t="shared" si="39"/>
        <v>0</v>
      </c>
      <c r="AB23" s="147">
        <f t="shared" si="14"/>
        <v>0</v>
      </c>
      <c r="AC23" s="154">
        <f t="shared" si="40"/>
        <v>0</v>
      </c>
      <c r="AD23" s="147">
        <f t="shared" si="15"/>
        <v>0</v>
      </c>
      <c r="AE23" s="18">
        <f t="shared" si="27"/>
        <v>0</v>
      </c>
      <c r="AF23" s="112">
        <f t="shared" si="4"/>
        <v>0</v>
      </c>
      <c r="AG23" s="21">
        <f t="shared" si="28"/>
        <v>48750000</v>
      </c>
      <c r="AH23" s="112">
        <f t="shared" si="16"/>
        <v>1</v>
      </c>
      <c r="AI23" s="154">
        <f t="shared" si="22"/>
        <v>48750000</v>
      </c>
      <c r="AJ23" s="134">
        <f t="shared" si="17"/>
        <v>0</v>
      </c>
      <c r="AK23" s="134">
        <f t="shared" si="18"/>
        <v>0</v>
      </c>
      <c r="AL23" s="135"/>
      <c r="AM23" s="122">
        <v>2640625</v>
      </c>
      <c r="AN23" s="122">
        <v>24713542</v>
      </c>
      <c r="AO23" s="122">
        <v>21395833</v>
      </c>
      <c r="AP23" s="122"/>
      <c r="AQ23" s="122"/>
      <c r="AR23" s="121"/>
      <c r="AS23" s="221">
        <f t="shared" si="19"/>
        <v>48750000</v>
      </c>
      <c r="AT23" s="121"/>
      <c r="AU23" s="121"/>
      <c r="AV23" s="122"/>
      <c r="AW23" s="122"/>
      <c r="AX23" s="122"/>
      <c r="AY23" s="122"/>
      <c r="AZ23" s="122">
        <f t="shared" si="23"/>
        <v>0</v>
      </c>
    </row>
    <row r="24" spans="1:52" ht="21" customHeight="1" outlineLevel="4" x14ac:dyDescent="0.35">
      <c r="A24" s="30" t="s">
        <v>50</v>
      </c>
      <c r="B24" s="242">
        <f>68213358-1200000-100000-50000+300000-102</f>
        <v>67163256</v>
      </c>
      <c r="C24" s="251">
        <f t="shared" si="0"/>
        <v>91.753145893585256</v>
      </c>
      <c r="D24" s="242">
        <f>6136611-300000+200000+82</f>
        <v>6036693</v>
      </c>
      <c r="E24" s="251">
        <f t="shared" si="1"/>
        <v>8.2468541064147463</v>
      </c>
      <c r="F24" s="242">
        <f t="shared" si="29"/>
        <v>73199949</v>
      </c>
      <c r="G24" s="259">
        <f t="shared" si="2"/>
        <v>16.827574482758621</v>
      </c>
      <c r="H24" s="23"/>
      <c r="I24" s="18">
        <f t="shared" si="30"/>
        <v>0</v>
      </c>
      <c r="J24" s="112">
        <f t="shared" si="25"/>
        <v>0</v>
      </c>
      <c r="K24" s="148">
        <f t="shared" si="31"/>
        <v>0</v>
      </c>
      <c r="L24" s="147">
        <f t="shared" si="6"/>
        <v>0</v>
      </c>
      <c r="M24" s="154">
        <f t="shared" si="32"/>
        <v>0</v>
      </c>
      <c r="N24" s="147">
        <f t="shared" si="7"/>
        <v>0</v>
      </c>
      <c r="O24" s="18">
        <f t="shared" si="33"/>
        <v>17753933</v>
      </c>
      <c r="P24" s="112">
        <f t="shared" si="8"/>
        <v>0.24254023728896315</v>
      </c>
      <c r="Q24" s="21">
        <f t="shared" si="34"/>
        <v>1595806</v>
      </c>
      <c r="R24" s="112">
        <f t="shared" si="9"/>
        <v>2.1800643604273549E-2</v>
      </c>
      <c r="S24" s="148">
        <f t="shared" si="35"/>
        <v>19055650</v>
      </c>
      <c r="T24" s="147">
        <f t="shared" si="10"/>
        <v>0.26032326880446321</v>
      </c>
      <c r="U24" s="154">
        <f t="shared" si="36"/>
        <v>1712713</v>
      </c>
      <c r="V24" s="147">
        <f t="shared" si="11"/>
        <v>2.3397734880935505E-2</v>
      </c>
      <c r="W24" s="18">
        <f t="shared" si="37"/>
        <v>19003586</v>
      </c>
      <c r="X24" s="112">
        <f t="shared" si="12"/>
        <v>0.25961201147831403</v>
      </c>
      <c r="Y24" s="21">
        <f>AQ24</f>
        <v>1708033</v>
      </c>
      <c r="Z24" s="112">
        <f t="shared" si="13"/>
        <v>2.3333800410161486E-2</v>
      </c>
      <c r="AA24" s="148">
        <f t="shared" si="39"/>
        <v>11350087</v>
      </c>
      <c r="AB24" s="147">
        <f t="shared" si="14"/>
        <v>0.15505594136411216</v>
      </c>
      <c r="AC24" s="154">
        <f t="shared" si="40"/>
        <v>1020141</v>
      </c>
      <c r="AD24" s="147">
        <f t="shared" si="15"/>
        <v>1.393636216877692E-2</v>
      </c>
      <c r="AE24" s="18">
        <f t="shared" si="27"/>
        <v>67163256</v>
      </c>
      <c r="AF24" s="112">
        <f t="shared" si="4"/>
        <v>0.91753145893585253</v>
      </c>
      <c r="AG24" s="21">
        <f>I24+M24+Q24+U24+Y24+AC24</f>
        <v>6036693</v>
      </c>
      <c r="AH24" s="112">
        <f t="shared" si="16"/>
        <v>8.2468541064147458E-2</v>
      </c>
      <c r="AI24" s="154">
        <f t="shared" si="22"/>
        <v>73199949</v>
      </c>
      <c r="AJ24" s="134">
        <f t="shared" si="17"/>
        <v>0</v>
      </c>
      <c r="AK24" s="134">
        <f t="shared" si="18"/>
        <v>0</v>
      </c>
      <c r="AL24" s="135"/>
      <c r="AM24" s="122"/>
      <c r="AN24" s="122"/>
      <c r="AO24" s="220">
        <f>1595724+82</f>
        <v>1595806</v>
      </c>
      <c r="AP24" s="122">
        <v>1712713</v>
      </c>
      <c r="AQ24" s="122">
        <v>1708033</v>
      </c>
      <c r="AR24" s="121">
        <v>1020141</v>
      </c>
      <c r="AS24" s="221">
        <f t="shared" si="19"/>
        <v>6036693</v>
      </c>
      <c r="AT24" s="121"/>
      <c r="AU24" s="121"/>
      <c r="AV24" s="122">
        <f>17754035-102</f>
        <v>17753933</v>
      </c>
      <c r="AW24" s="122">
        <v>19055650</v>
      </c>
      <c r="AX24" s="122">
        <v>19003586</v>
      </c>
      <c r="AY24" s="122">
        <v>11350087</v>
      </c>
      <c r="AZ24" s="122">
        <f t="shared" si="23"/>
        <v>67163256</v>
      </c>
    </row>
    <row r="25" spans="1:52" ht="21" customHeight="1" outlineLevel="3" x14ac:dyDescent="0.35">
      <c r="A25" s="31" t="s">
        <v>51</v>
      </c>
      <c r="B25" s="242">
        <v>4692000</v>
      </c>
      <c r="C25" s="251">
        <f t="shared" si="0"/>
        <v>68</v>
      </c>
      <c r="D25" s="242">
        <f>2208000</f>
        <v>2208000</v>
      </c>
      <c r="E25" s="251">
        <f t="shared" si="1"/>
        <v>32</v>
      </c>
      <c r="F25" s="242">
        <f t="shared" si="29"/>
        <v>6900000</v>
      </c>
      <c r="G25" s="259">
        <f t="shared" si="2"/>
        <v>1.5862068965517242</v>
      </c>
      <c r="H25" s="23"/>
      <c r="I25" s="18">
        <f t="shared" si="30"/>
        <v>0</v>
      </c>
      <c r="J25" s="112">
        <f t="shared" si="25"/>
        <v>0</v>
      </c>
      <c r="K25" s="148">
        <f t="shared" si="31"/>
        <v>0</v>
      </c>
      <c r="L25" s="147">
        <f t="shared" si="6"/>
        <v>0</v>
      </c>
      <c r="M25" s="154">
        <f t="shared" si="32"/>
        <v>0</v>
      </c>
      <c r="N25" s="147">
        <f t="shared" si="7"/>
        <v>0</v>
      </c>
      <c r="O25" s="18">
        <f t="shared" si="33"/>
        <v>1229377</v>
      </c>
      <c r="P25" s="112">
        <f t="shared" si="8"/>
        <v>0.17817057971014494</v>
      </c>
      <c r="Q25" s="21">
        <f t="shared" si="34"/>
        <v>578530</v>
      </c>
      <c r="R25" s="112">
        <f t="shared" si="9"/>
        <v>8.3844927536231878E-2</v>
      </c>
      <c r="S25" s="148">
        <f t="shared" si="35"/>
        <v>1331219</v>
      </c>
      <c r="T25" s="147">
        <f t="shared" si="10"/>
        <v>0.19293028985507246</v>
      </c>
      <c r="U25" s="154">
        <f t="shared" si="36"/>
        <v>626456</v>
      </c>
      <c r="V25" s="147">
        <f t="shared" si="11"/>
        <v>9.0790724637681161E-2</v>
      </c>
      <c r="W25" s="18">
        <f t="shared" si="37"/>
        <v>1327581</v>
      </c>
      <c r="X25" s="112">
        <f t="shared" si="12"/>
        <v>0.19240304347826087</v>
      </c>
      <c r="Y25" s="21">
        <f t="shared" si="38"/>
        <v>624744</v>
      </c>
      <c r="Z25" s="112">
        <f t="shared" si="13"/>
        <v>9.0542608695652171E-2</v>
      </c>
      <c r="AA25" s="148">
        <f t="shared" si="39"/>
        <v>803823</v>
      </c>
      <c r="AB25" s="147">
        <f t="shared" si="14"/>
        <v>0.11649608695652174</v>
      </c>
      <c r="AC25" s="154">
        <f t="shared" si="40"/>
        <v>378270</v>
      </c>
      <c r="AD25" s="147">
        <f t="shared" si="15"/>
        <v>5.4821739130434782E-2</v>
      </c>
      <c r="AE25" s="18">
        <f t="shared" si="27"/>
        <v>4692000</v>
      </c>
      <c r="AF25" s="112">
        <f t="shared" si="4"/>
        <v>0.68</v>
      </c>
      <c r="AG25" s="21">
        <f t="shared" si="28"/>
        <v>2208000</v>
      </c>
      <c r="AH25" s="112">
        <f t="shared" si="16"/>
        <v>0.32</v>
      </c>
      <c r="AI25" s="154">
        <f t="shared" si="22"/>
        <v>6900000</v>
      </c>
      <c r="AJ25" s="134">
        <f t="shared" si="17"/>
        <v>0</v>
      </c>
      <c r="AK25" s="134">
        <f t="shared" si="18"/>
        <v>0</v>
      </c>
      <c r="AL25" s="135"/>
      <c r="AM25" s="121"/>
      <c r="AN25" s="121"/>
      <c r="AO25" s="122">
        <v>578530</v>
      </c>
      <c r="AP25" s="122">
        <v>626456</v>
      </c>
      <c r="AQ25" s="122">
        <v>624744</v>
      </c>
      <c r="AR25" s="122">
        <v>378270</v>
      </c>
      <c r="AS25" s="221">
        <f t="shared" si="19"/>
        <v>2208000</v>
      </c>
      <c r="AT25" s="121"/>
      <c r="AU25" s="122"/>
      <c r="AV25" s="122">
        <v>1229377</v>
      </c>
      <c r="AW25" s="122">
        <v>1331219</v>
      </c>
      <c r="AX25" s="122">
        <v>1327581</v>
      </c>
      <c r="AY25" s="122">
        <v>803823</v>
      </c>
      <c r="AZ25" s="122">
        <f t="shared" si="23"/>
        <v>4692000</v>
      </c>
    </row>
    <row r="26" spans="1:52" ht="30.75" customHeight="1" outlineLevel="3" x14ac:dyDescent="0.35">
      <c r="A26" s="32" t="s">
        <v>52</v>
      </c>
      <c r="B26" s="242">
        <v>1372767</v>
      </c>
      <c r="C26" s="251">
        <f t="shared" si="0"/>
        <v>68.000269471414981</v>
      </c>
      <c r="D26" s="242">
        <v>646000</v>
      </c>
      <c r="E26" s="251">
        <f t="shared" si="1"/>
        <v>31.999730528585026</v>
      </c>
      <c r="F26" s="242">
        <f t="shared" si="29"/>
        <v>2018767</v>
      </c>
      <c r="G26" s="259">
        <f t="shared" si="2"/>
        <v>0.46408436781609191</v>
      </c>
      <c r="H26" s="23"/>
      <c r="I26" s="18">
        <f t="shared" si="30"/>
        <v>0</v>
      </c>
      <c r="J26" s="112">
        <f t="shared" si="25"/>
        <v>0</v>
      </c>
      <c r="K26" s="148">
        <f t="shared" si="31"/>
        <v>974011</v>
      </c>
      <c r="L26" s="147">
        <f t="shared" si="6"/>
        <v>0.48247816612813665</v>
      </c>
      <c r="M26" s="154">
        <f t="shared" si="32"/>
        <v>458352</v>
      </c>
      <c r="N26" s="147">
        <f t="shared" si="7"/>
        <v>0.22704551837829726</v>
      </c>
      <c r="O26" s="18">
        <f t="shared" si="33"/>
        <v>398756</v>
      </c>
      <c r="P26" s="112">
        <f t="shared" si="8"/>
        <v>0.19752452858601316</v>
      </c>
      <c r="Q26" s="21">
        <f t="shared" si="34"/>
        <v>187648</v>
      </c>
      <c r="R26" s="112">
        <f t="shared" si="9"/>
        <v>9.2951786907552972E-2</v>
      </c>
      <c r="S26" s="148">
        <f t="shared" si="35"/>
        <v>0</v>
      </c>
      <c r="T26" s="147">
        <f t="shared" si="10"/>
        <v>0</v>
      </c>
      <c r="U26" s="154">
        <f t="shared" si="36"/>
        <v>0</v>
      </c>
      <c r="V26" s="147">
        <f t="shared" si="11"/>
        <v>0</v>
      </c>
      <c r="W26" s="18">
        <f t="shared" si="37"/>
        <v>0</v>
      </c>
      <c r="X26" s="112">
        <f t="shared" si="12"/>
        <v>0</v>
      </c>
      <c r="Y26" s="21">
        <f t="shared" si="38"/>
        <v>0</v>
      </c>
      <c r="Z26" s="112">
        <f t="shared" si="13"/>
        <v>0</v>
      </c>
      <c r="AA26" s="148">
        <f t="shared" si="39"/>
        <v>0</v>
      </c>
      <c r="AB26" s="147">
        <f t="shared" si="14"/>
        <v>0</v>
      </c>
      <c r="AC26" s="154">
        <f t="shared" si="40"/>
        <v>0</v>
      </c>
      <c r="AD26" s="147">
        <f t="shared" si="15"/>
        <v>0</v>
      </c>
      <c r="AE26" s="18">
        <f t="shared" si="27"/>
        <v>1372767</v>
      </c>
      <c r="AF26" s="112">
        <f t="shared" si="4"/>
        <v>0.68000269471414976</v>
      </c>
      <c r="AG26" s="21">
        <f t="shared" si="28"/>
        <v>646000</v>
      </c>
      <c r="AH26" s="112">
        <f t="shared" si="16"/>
        <v>0.31999730528585024</v>
      </c>
      <c r="AI26" s="154">
        <f t="shared" si="22"/>
        <v>2018767</v>
      </c>
      <c r="AJ26" s="134">
        <f t="shared" si="17"/>
        <v>0</v>
      </c>
      <c r="AK26" s="134">
        <f t="shared" si="18"/>
        <v>0</v>
      </c>
      <c r="AL26" s="135"/>
      <c r="AM26" s="121"/>
      <c r="AN26" s="122">
        <v>458352</v>
      </c>
      <c r="AO26" s="122">
        <v>187648</v>
      </c>
      <c r="AP26" s="121"/>
      <c r="AQ26" s="121"/>
      <c r="AR26" s="121"/>
      <c r="AS26" s="221">
        <f t="shared" si="19"/>
        <v>646000</v>
      </c>
      <c r="AT26" s="121"/>
      <c r="AU26" s="122">
        <v>974011</v>
      </c>
      <c r="AV26" s="122">
        <v>398756</v>
      </c>
      <c r="AW26" s="122"/>
      <c r="AX26" s="121"/>
      <c r="AY26" s="121"/>
      <c r="AZ26" s="122">
        <f t="shared" si="23"/>
        <v>1372767</v>
      </c>
    </row>
    <row r="27" spans="1:52" s="69" customFormat="1" ht="21" customHeight="1" outlineLevel="2" x14ac:dyDescent="0.35">
      <c r="A27" s="11" t="s">
        <v>53</v>
      </c>
      <c r="B27" s="242">
        <f>B28</f>
        <v>78316455</v>
      </c>
      <c r="C27" s="251">
        <f t="shared" si="0"/>
        <v>64.444363638482159</v>
      </c>
      <c r="D27" s="242">
        <f>D28</f>
        <v>43209231</v>
      </c>
      <c r="E27" s="251">
        <f t="shared" si="1"/>
        <v>35.555636361517848</v>
      </c>
      <c r="F27" s="242">
        <f t="shared" si="29"/>
        <v>121525686</v>
      </c>
      <c r="G27" s="259">
        <f t="shared" si="2"/>
        <v>27.936939310344826</v>
      </c>
      <c r="H27" s="68"/>
      <c r="I27" s="18">
        <f>I28</f>
        <v>1436255</v>
      </c>
      <c r="J27" s="112">
        <f t="shared" si="25"/>
        <v>1.1818530281738134E-2</v>
      </c>
      <c r="K27" s="148">
        <f t="shared" ref="K27:AC27" si="41">K28</f>
        <v>31104228</v>
      </c>
      <c r="L27" s="147">
        <f t="shared" si="6"/>
        <v>0.25594776728929552</v>
      </c>
      <c r="M27" s="154">
        <f t="shared" si="41"/>
        <v>21300015</v>
      </c>
      <c r="N27" s="147">
        <f t="shared" si="7"/>
        <v>0.17527171169393768</v>
      </c>
      <c r="O27" s="18">
        <f t="shared" si="41"/>
        <v>36943822</v>
      </c>
      <c r="P27" s="112">
        <f t="shared" si="8"/>
        <v>0.30400011072556299</v>
      </c>
      <c r="Q27" s="21">
        <f t="shared" si="41"/>
        <v>15877338</v>
      </c>
      <c r="R27" s="112">
        <f t="shared" si="9"/>
        <v>0.13065005862217474</v>
      </c>
      <c r="S27" s="148">
        <f t="shared" si="41"/>
        <v>10268405</v>
      </c>
      <c r="T27" s="147">
        <f t="shared" si="10"/>
        <v>8.4495758369963037E-2</v>
      </c>
      <c r="U27" s="154">
        <f t="shared" si="41"/>
        <v>4595623</v>
      </c>
      <c r="V27" s="147">
        <f t="shared" si="11"/>
        <v>3.7816063017327879E-2</v>
      </c>
      <c r="W27" s="18">
        <f t="shared" si="41"/>
        <v>0</v>
      </c>
      <c r="X27" s="112">
        <f t="shared" si="12"/>
        <v>0</v>
      </c>
      <c r="Y27" s="21">
        <f t="shared" si="41"/>
        <v>0</v>
      </c>
      <c r="Z27" s="112">
        <f t="shared" si="13"/>
        <v>0</v>
      </c>
      <c r="AA27" s="148">
        <f t="shared" si="41"/>
        <v>0</v>
      </c>
      <c r="AB27" s="147">
        <f t="shared" si="14"/>
        <v>0</v>
      </c>
      <c r="AC27" s="154">
        <f t="shared" si="41"/>
        <v>0</v>
      </c>
      <c r="AD27" s="147">
        <f t="shared" si="15"/>
        <v>0</v>
      </c>
      <c r="AE27" s="18">
        <f t="shared" si="27"/>
        <v>78316455</v>
      </c>
      <c r="AF27" s="112">
        <f t="shared" si="4"/>
        <v>0.64444363638482161</v>
      </c>
      <c r="AG27" s="21">
        <f t="shared" si="28"/>
        <v>43209231</v>
      </c>
      <c r="AH27" s="112">
        <f t="shared" si="16"/>
        <v>0.35555636361517845</v>
      </c>
      <c r="AI27" s="154">
        <f t="shared" si="22"/>
        <v>121525686</v>
      </c>
      <c r="AJ27" s="134">
        <f t="shared" si="17"/>
        <v>0</v>
      </c>
      <c r="AK27" s="134">
        <f t="shared" si="18"/>
        <v>0</v>
      </c>
      <c r="AL27" s="135"/>
      <c r="AM27" s="122">
        <v>1436254</v>
      </c>
      <c r="AN27" s="122">
        <v>21300016</v>
      </c>
      <c r="AO27" s="122">
        <v>15877339</v>
      </c>
      <c r="AP27" s="122">
        <v>4595622</v>
      </c>
      <c r="AQ27" s="121"/>
      <c r="AR27" s="121"/>
      <c r="AS27" s="221">
        <f t="shared" si="19"/>
        <v>43209231</v>
      </c>
      <c r="AT27" s="121"/>
      <c r="AU27" s="122">
        <v>31104228</v>
      </c>
      <c r="AV27" s="122">
        <v>36943823</v>
      </c>
      <c r="AW27" s="122">
        <v>10268404</v>
      </c>
      <c r="AX27" s="121"/>
      <c r="AY27" s="121"/>
      <c r="AZ27" s="122">
        <f t="shared" si="23"/>
        <v>78316455</v>
      </c>
    </row>
    <row r="28" spans="1:52" ht="21.75" customHeight="1" outlineLevel="2" x14ac:dyDescent="0.35">
      <c r="A28" s="31" t="s">
        <v>54</v>
      </c>
      <c r="B28" s="242">
        <f>SUM(B29:B33)</f>
        <v>78316455</v>
      </c>
      <c r="C28" s="251">
        <f t="shared" si="0"/>
        <v>64.444363638482159</v>
      </c>
      <c r="D28" s="242">
        <f>SUM(D29:D33)</f>
        <v>43209231</v>
      </c>
      <c r="E28" s="251">
        <f t="shared" si="1"/>
        <v>35.555636361517848</v>
      </c>
      <c r="F28" s="242">
        <f>SUM(F29:F33)</f>
        <v>121525686</v>
      </c>
      <c r="G28" s="259">
        <f t="shared" si="2"/>
        <v>27.936939310344826</v>
      </c>
      <c r="H28" s="23"/>
      <c r="I28" s="18">
        <f>SUM(I29:I33)</f>
        <v>1436255</v>
      </c>
      <c r="J28" s="112">
        <f t="shared" si="25"/>
        <v>1.1818530281738134E-2</v>
      </c>
      <c r="K28" s="148">
        <f t="shared" ref="K28:AC28" si="42">SUM(K29:K33)</f>
        <v>31104228</v>
      </c>
      <c r="L28" s="147">
        <f t="shared" si="6"/>
        <v>0.25594776728929552</v>
      </c>
      <c r="M28" s="154">
        <f t="shared" si="42"/>
        <v>21300015</v>
      </c>
      <c r="N28" s="147">
        <f t="shared" si="7"/>
        <v>0.17527171169393768</v>
      </c>
      <c r="O28" s="18">
        <f t="shared" si="42"/>
        <v>36943822</v>
      </c>
      <c r="P28" s="112">
        <f t="shared" si="8"/>
        <v>0.30400011072556299</v>
      </c>
      <c r="Q28" s="21">
        <f t="shared" si="42"/>
        <v>15877338</v>
      </c>
      <c r="R28" s="112">
        <f t="shared" si="9"/>
        <v>0.13065005862217474</v>
      </c>
      <c r="S28" s="148">
        <f t="shared" si="42"/>
        <v>10268405</v>
      </c>
      <c r="T28" s="147">
        <f t="shared" si="10"/>
        <v>8.4495758369963037E-2</v>
      </c>
      <c r="U28" s="154">
        <f t="shared" si="42"/>
        <v>4595623</v>
      </c>
      <c r="V28" s="147">
        <f t="shared" si="11"/>
        <v>3.7816063017327879E-2</v>
      </c>
      <c r="W28" s="18">
        <f t="shared" si="42"/>
        <v>0</v>
      </c>
      <c r="X28" s="112">
        <f t="shared" si="12"/>
        <v>0</v>
      </c>
      <c r="Y28" s="21">
        <f t="shared" si="42"/>
        <v>0</v>
      </c>
      <c r="Z28" s="112">
        <f t="shared" si="13"/>
        <v>0</v>
      </c>
      <c r="AA28" s="148">
        <f t="shared" si="42"/>
        <v>0</v>
      </c>
      <c r="AB28" s="147">
        <f t="shared" si="14"/>
        <v>0</v>
      </c>
      <c r="AC28" s="154">
        <f t="shared" si="42"/>
        <v>0</v>
      </c>
      <c r="AD28" s="147">
        <f t="shared" si="15"/>
        <v>0</v>
      </c>
      <c r="AE28" s="18">
        <f t="shared" si="27"/>
        <v>78316455</v>
      </c>
      <c r="AF28" s="112">
        <f t="shared" si="4"/>
        <v>0.64444363638482161</v>
      </c>
      <c r="AG28" s="21">
        <f t="shared" si="28"/>
        <v>43209231</v>
      </c>
      <c r="AH28" s="112">
        <f t="shared" si="16"/>
        <v>0.35555636361517845</v>
      </c>
      <c r="AI28" s="154">
        <f t="shared" si="22"/>
        <v>121525686</v>
      </c>
      <c r="AJ28" s="134">
        <f t="shared" si="17"/>
        <v>0</v>
      </c>
      <c r="AK28" s="134">
        <f t="shared" si="18"/>
        <v>0</v>
      </c>
      <c r="AL28" s="135"/>
      <c r="AM28" s="122">
        <v>1436254</v>
      </c>
      <c r="AN28" s="122">
        <v>21300016</v>
      </c>
      <c r="AO28" s="122">
        <v>15877339</v>
      </c>
      <c r="AP28" s="122">
        <v>4595622</v>
      </c>
      <c r="AQ28" s="121"/>
      <c r="AR28" s="121"/>
      <c r="AS28" s="221">
        <f t="shared" si="19"/>
        <v>43209231</v>
      </c>
      <c r="AT28" s="121"/>
      <c r="AU28" s="122">
        <v>31104228</v>
      </c>
      <c r="AV28" s="122">
        <v>36943823</v>
      </c>
      <c r="AW28" s="122">
        <v>10268404</v>
      </c>
      <c r="AX28" s="121"/>
      <c r="AY28" s="121"/>
      <c r="AZ28" s="122">
        <f t="shared" si="23"/>
        <v>78316455</v>
      </c>
    </row>
    <row r="29" spans="1:52" ht="21" customHeight="1" outlineLevel="3" x14ac:dyDescent="0.35">
      <c r="A29" s="30" t="s">
        <v>55</v>
      </c>
      <c r="B29" s="242">
        <v>3660734</v>
      </c>
      <c r="C29" s="251">
        <f t="shared" si="0"/>
        <v>65.651272617125912</v>
      </c>
      <c r="D29" s="242">
        <v>1915295</v>
      </c>
      <c r="E29" s="251">
        <f t="shared" si="1"/>
        <v>34.348727382874081</v>
      </c>
      <c r="F29" s="242">
        <f t="shared" ref="F29:F34" si="43">B29+D29</f>
        <v>5576029</v>
      </c>
      <c r="G29" s="259">
        <f t="shared" si="2"/>
        <v>1.2818457471264368</v>
      </c>
      <c r="H29" s="23"/>
      <c r="I29" s="18">
        <f>AM29</f>
        <v>95765</v>
      </c>
      <c r="J29" s="112">
        <f t="shared" si="25"/>
        <v>1.7174408526211035E-2</v>
      </c>
      <c r="K29" s="148">
        <f>AU29</f>
        <v>3660734</v>
      </c>
      <c r="L29" s="147">
        <f t="shared" si="6"/>
        <v>0.65651272617125911</v>
      </c>
      <c r="M29" s="154">
        <f>AN29</f>
        <v>1819530</v>
      </c>
      <c r="N29" s="147">
        <f t="shared" si="7"/>
        <v>0.32631286530252979</v>
      </c>
      <c r="O29" s="18">
        <f>AV29</f>
        <v>0</v>
      </c>
      <c r="P29" s="112">
        <f t="shared" si="8"/>
        <v>0</v>
      </c>
      <c r="Q29" s="21">
        <f>AO29</f>
        <v>0</v>
      </c>
      <c r="R29" s="112">
        <f t="shared" si="9"/>
        <v>0</v>
      </c>
      <c r="S29" s="148">
        <f>AW29</f>
        <v>0</v>
      </c>
      <c r="T29" s="147">
        <f t="shared" si="10"/>
        <v>0</v>
      </c>
      <c r="U29" s="154">
        <f>AP29</f>
        <v>0</v>
      </c>
      <c r="V29" s="147">
        <f t="shared" si="11"/>
        <v>0</v>
      </c>
      <c r="W29" s="18">
        <f>AX29</f>
        <v>0</v>
      </c>
      <c r="X29" s="112">
        <f t="shared" si="12"/>
        <v>0</v>
      </c>
      <c r="Y29" s="21">
        <f>AQ29</f>
        <v>0</v>
      </c>
      <c r="Z29" s="112">
        <f t="shared" si="13"/>
        <v>0</v>
      </c>
      <c r="AA29" s="148">
        <f>AY29</f>
        <v>0</v>
      </c>
      <c r="AB29" s="147">
        <f t="shared" si="14"/>
        <v>0</v>
      </c>
      <c r="AC29" s="154">
        <f>AR29</f>
        <v>0</v>
      </c>
      <c r="AD29" s="147">
        <f t="shared" si="15"/>
        <v>0</v>
      </c>
      <c r="AE29" s="18">
        <f t="shared" si="27"/>
        <v>3660734</v>
      </c>
      <c r="AF29" s="112">
        <f t="shared" si="4"/>
        <v>0.65651272617125911</v>
      </c>
      <c r="AG29" s="21">
        <f t="shared" si="28"/>
        <v>1915295</v>
      </c>
      <c r="AH29" s="112">
        <f t="shared" si="16"/>
        <v>0.34348727382874084</v>
      </c>
      <c r="AI29" s="154">
        <f t="shared" si="22"/>
        <v>5576029</v>
      </c>
      <c r="AJ29" s="134">
        <f t="shared" si="17"/>
        <v>0</v>
      </c>
      <c r="AK29" s="134">
        <f t="shared" si="18"/>
        <v>0</v>
      </c>
      <c r="AL29" s="135"/>
      <c r="AM29" s="122">
        <v>95765</v>
      </c>
      <c r="AN29" s="122">
        <v>1819530</v>
      </c>
      <c r="AO29" s="122"/>
      <c r="AP29" s="121"/>
      <c r="AQ29" s="121"/>
      <c r="AR29" s="121"/>
      <c r="AS29" s="221">
        <f t="shared" si="19"/>
        <v>1915295</v>
      </c>
      <c r="AT29" s="121"/>
      <c r="AU29" s="122">
        <v>3660734</v>
      </c>
      <c r="AV29" s="122"/>
      <c r="AW29" s="122"/>
      <c r="AX29" s="121"/>
      <c r="AY29" s="121"/>
      <c r="AZ29" s="122">
        <f t="shared" si="23"/>
        <v>3660734</v>
      </c>
    </row>
    <row r="30" spans="1:52" ht="21" customHeight="1" outlineLevel="3" x14ac:dyDescent="0.35">
      <c r="A30" s="30" t="s">
        <v>56</v>
      </c>
      <c r="B30" s="242">
        <v>15848438</v>
      </c>
      <c r="C30" s="251">
        <f t="shared" si="0"/>
        <v>69.051593769825686</v>
      </c>
      <c r="D30" s="242">
        <v>7103151</v>
      </c>
      <c r="E30" s="251">
        <f t="shared" si="1"/>
        <v>30.948406230174303</v>
      </c>
      <c r="F30" s="242">
        <f t="shared" si="43"/>
        <v>22951589</v>
      </c>
      <c r="G30" s="259">
        <f t="shared" si="2"/>
        <v>5.2762273563218391</v>
      </c>
      <c r="H30" s="23"/>
      <c r="I30" s="18">
        <f>AM30</f>
        <v>177579</v>
      </c>
      <c r="J30" s="112">
        <f t="shared" si="25"/>
        <v>7.7371113607863926E-3</v>
      </c>
      <c r="K30" s="148">
        <f>AU30</f>
        <v>8716641</v>
      </c>
      <c r="L30" s="147">
        <f t="shared" si="6"/>
        <v>0.37978377009103814</v>
      </c>
      <c r="M30" s="154">
        <f>AN30</f>
        <v>4321084</v>
      </c>
      <c r="N30" s="147">
        <f t="shared" si="7"/>
        <v>0.18826949192929518</v>
      </c>
      <c r="O30" s="18">
        <f>AV30</f>
        <v>7131797</v>
      </c>
      <c r="P30" s="112">
        <f t="shared" si="8"/>
        <v>0.31073216760721883</v>
      </c>
      <c r="Q30" s="21">
        <f>AO30</f>
        <v>2604488</v>
      </c>
      <c r="R30" s="112">
        <f t="shared" si="9"/>
        <v>0.11347745901166145</v>
      </c>
      <c r="S30" s="148">
        <f>AW30</f>
        <v>0</v>
      </c>
      <c r="T30" s="147">
        <f t="shared" si="10"/>
        <v>0</v>
      </c>
      <c r="U30" s="154">
        <f>AP30</f>
        <v>0</v>
      </c>
      <c r="V30" s="147">
        <f t="shared" si="11"/>
        <v>0</v>
      </c>
      <c r="W30" s="18">
        <f>AX30</f>
        <v>0</v>
      </c>
      <c r="X30" s="112">
        <f t="shared" si="12"/>
        <v>0</v>
      </c>
      <c r="Y30" s="21">
        <f>AQ30</f>
        <v>0</v>
      </c>
      <c r="Z30" s="112">
        <f t="shared" si="13"/>
        <v>0</v>
      </c>
      <c r="AA30" s="148">
        <f>AY30</f>
        <v>0</v>
      </c>
      <c r="AB30" s="147">
        <f t="shared" si="14"/>
        <v>0</v>
      </c>
      <c r="AC30" s="154">
        <f>AR30</f>
        <v>0</v>
      </c>
      <c r="AD30" s="147">
        <f t="shared" si="15"/>
        <v>0</v>
      </c>
      <c r="AE30" s="18">
        <f t="shared" si="27"/>
        <v>15848438</v>
      </c>
      <c r="AF30" s="112">
        <f t="shared" si="4"/>
        <v>0.69051593769825692</v>
      </c>
      <c r="AG30" s="21">
        <f t="shared" si="28"/>
        <v>7103151</v>
      </c>
      <c r="AH30" s="112">
        <f t="shared" si="16"/>
        <v>0.30948406230174302</v>
      </c>
      <c r="AI30" s="154">
        <f t="shared" si="22"/>
        <v>22951589</v>
      </c>
      <c r="AJ30" s="134">
        <f t="shared" si="17"/>
        <v>0</v>
      </c>
      <c r="AK30" s="134">
        <f t="shared" si="18"/>
        <v>0</v>
      </c>
      <c r="AL30" s="135"/>
      <c r="AM30" s="122">
        <v>177579</v>
      </c>
      <c r="AN30" s="122">
        <v>4321084</v>
      </c>
      <c r="AO30" s="122">
        <v>2604488</v>
      </c>
      <c r="AP30" s="122"/>
      <c r="AQ30" s="121"/>
      <c r="AR30" s="121"/>
      <c r="AS30" s="221">
        <f t="shared" si="19"/>
        <v>7103151</v>
      </c>
      <c r="AT30" s="121"/>
      <c r="AU30" s="122">
        <v>8716641</v>
      </c>
      <c r="AV30" s="122">
        <v>7131797</v>
      </c>
      <c r="AW30" s="122"/>
      <c r="AX30" s="121"/>
      <c r="AY30" s="121"/>
      <c r="AZ30" s="122">
        <f t="shared" si="23"/>
        <v>15848438</v>
      </c>
    </row>
    <row r="31" spans="1:52" ht="21" customHeight="1" outlineLevel="3" x14ac:dyDescent="0.35">
      <c r="A31" s="30" t="s">
        <v>57</v>
      </c>
      <c r="B31" s="242">
        <v>30159725</v>
      </c>
      <c r="C31" s="251">
        <f t="shared" si="0"/>
        <v>68.708428999568127</v>
      </c>
      <c r="D31" s="242">
        <v>13735508</v>
      </c>
      <c r="E31" s="251">
        <f t="shared" si="1"/>
        <v>31.291571000431865</v>
      </c>
      <c r="F31" s="242">
        <f t="shared" si="43"/>
        <v>43895233</v>
      </c>
      <c r="G31" s="259">
        <f t="shared" si="2"/>
        <v>10.09085816091954</v>
      </c>
      <c r="H31" s="23"/>
      <c r="I31" s="18">
        <f>AM31</f>
        <v>0</v>
      </c>
      <c r="J31" s="112">
        <f t="shared" si="25"/>
        <v>0</v>
      </c>
      <c r="K31" s="148">
        <f>AU31</f>
        <v>8461478</v>
      </c>
      <c r="L31" s="147">
        <f t="shared" si="6"/>
        <v>0.192765305517344</v>
      </c>
      <c r="M31" s="154">
        <f>AN31</f>
        <v>3853573</v>
      </c>
      <c r="N31" s="147">
        <f t="shared" si="7"/>
        <v>8.7790239090426977E-2</v>
      </c>
      <c r="O31" s="18">
        <f>AV31</f>
        <v>15289305</v>
      </c>
      <c r="P31" s="112">
        <f t="shared" si="8"/>
        <v>0.34831356288734133</v>
      </c>
      <c r="Q31" s="21">
        <f>AO31</f>
        <v>6963140</v>
      </c>
      <c r="R31" s="112">
        <f t="shared" si="9"/>
        <v>0.15863089278965667</v>
      </c>
      <c r="S31" s="148">
        <f>AW31</f>
        <v>6408942</v>
      </c>
      <c r="T31" s="147">
        <f t="shared" si="10"/>
        <v>0.146005421590996</v>
      </c>
      <c r="U31" s="154">
        <f>AP31</f>
        <v>2918795</v>
      </c>
      <c r="V31" s="147">
        <f t="shared" si="11"/>
        <v>6.6494578124235038E-2</v>
      </c>
      <c r="W31" s="18">
        <f>AX31</f>
        <v>0</v>
      </c>
      <c r="X31" s="112">
        <f t="shared" si="12"/>
        <v>0</v>
      </c>
      <c r="Y31" s="21">
        <f>AQ31</f>
        <v>0</v>
      </c>
      <c r="Z31" s="112">
        <f t="shared" si="13"/>
        <v>0</v>
      </c>
      <c r="AA31" s="148">
        <f>AY31</f>
        <v>0</v>
      </c>
      <c r="AB31" s="147">
        <f t="shared" si="14"/>
        <v>0</v>
      </c>
      <c r="AC31" s="154">
        <f>AR31</f>
        <v>0</v>
      </c>
      <c r="AD31" s="147">
        <f t="shared" si="15"/>
        <v>0</v>
      </c>
      <c r="AE31" s="18">
        <f t="shared" si="27"/>
        <v>30159725</v>
      </c>
      <c r="AF31" s="112">
        <f t="shared" si="4"/>
        <v>0.68708428999568127</v>
      </c>
      <c r="AG31" s="21">
        <f t="shared" si="28"/>
        <v>13735508</v>
      </c>
      <c r="AH31" s="112">
        <f t="shared" si="16"/>
        <v>0.31291571000431867</v>
      </c>
      <c r="AI31" s="154">
        <f t="shared" si="22"/>
        <v>43895233</v>
      </c>
      <c r="AJ31" s="134">
        <f t="shared" si="17"/>
        <v>0</v>
      </c>
      <c r="AK31" s="134">
        <f t="shared" si="18"/>
        <v>0</v>
      </c>
      <c r="AL31" s="135"/>
      <c r="AM31" s="121"/>
      <c r="AN31" s="122">
        <v>3853573</v>
      </c>
      <c r="AO31" s="122">
        <v>6963140</v>
      </c>
      <c r="AP31" s="122">
        <v>2918795</v>
      </c>
      <c r="AQ31" s="121"/>
      <c r="AR31" s="121"/>
      <c r="AS31" s="221">
        <f t="shared" si="19"/>
        <v>13735508</v>
      </c>
      <c r="AT31" s="121"/>
      <c r="AU31" s="122">
        <v>8461478</v>
      </c>
      <c r="AV31" s="122">
        <v>15289305</v>
      </c>
      <c r="AW31" s="122">
        <v>6408942</v>
      </c>
      <c r="AX31" s="121"/>
      <c r="AY31" s="121"/>
      <c r="AZ31" s="122">
        <f t="shared" si="23"/>
        <v>30159725</v>
      </c>
    </row>
    <row r="32" spans="1:52" ht="21" customHeight="1" outlineLevel="3" x14ac:dyDescent="0.35">
      <c r="A32" s="30" t="s">
        <v>58</v>
      </c>
      <c r="B32" s="242">
        <v>0</v>
      </c>
      <c r="C32" s="251">
        <f t="shared" si="0"/>
        <v>0</v>
      </c>
      <c r="D32" s="242">
        <v>8008724</v>
      </c>
      <c r="E32" s="251">
        <f t="shared" si="1"/>
        <v>100</v>
      </c>
      <c r="F32" s="242">
        <f t="shared" si="43"/>
        <v>8008724</v>
      </c>
      <c r="G32" s="259">
        <f t="shared" si="2"/>
        <v>1.8410859770114942</v>
      </c>
      <c r="H32" s="23"/>
      <c r="I32" s="18">
        <f>AM32</f>
        <v>1162911</v>
      </c>
      <c r="J32" s="112">
        <f t="shared" si="25"/>
        <v>0.14520552837131109</v>
      </c>
      <c r="K32" s="148">
        <f>AU32</f>
        <v>0</v>
      </c>
      <c r="L32" s="147">
        <f t="shared" si="6"/>
        <v>0</v>
      </c>
      <c r="M32" s="154">
        <f>AN32</f>
        <v>6845813</v>
      </c>
      <c r="N32" s="147">
        <f t="shared" si="7"/>
        <v>0.85479447162868893</v>
      </c>
      <c r="O32" s="18">
        <f>AV32</f>
        <v>0</v>
      </c>
      <c r="P32" s="112">
        <f t="shared" si="8"/>
        <v>0</v>
      </c>
      <c r="Q32" s="21">
        <f>AO32</f>
        <v>0</v>
      </c>
      <c r="R32" s="112">
        <f t="shared" si="9"/>
        <v>0</v>
      </c>
      <c r="S32" s="148">
        <f>AW32</f>
        <v>0</v>
      </c>
      <c r="T32" s="147">
        <f t="shared" si="10"/>
        <v>0</v>
      </c>
      <c r="U32" s="154">
        <f>AP32</f>
        <v>0</v>
      </c>
      <c r="V32" s="147">
        <f t="shared" si="11"/>
        <v>0</v>
      </c>
      <c r="W32" s="18">
        <f>AX32</f>
        <v>0</v>
      </c>
      <c r="X32" s="112">
        <f t="shared" si="12"/>
        <v>0</v>
      </c>
      <c r="Y32" s="21">
        <f>AQ32</f>
        <v>0</v>
      </c>
      <c r="Z32" s="112">
        <f t="shared" si="13"/>
        <v>0</v>
      </c>
      <c r="AA32" s="148">
        <f>AY32</f>
        <v>0</v>
      </c>
      <c r="AB32" s="147">
        <f t="shared" si="14"/>
        <v>0</v>
      </c>
      <c r="AC32" s="154">
        <f>AR32</f>
        <v>0</v>
      </c>
      <c r="AD32" s="147">
        <f t="shared" si="15"/>
        <v>0</v>
      </c>
      <c r="AE32" s="18">
        <f t="shared" si="27"/>
        <v>0</v>
      </c>
      <c r="AF32" s="112">
        <f t="shared" si="4"/>
        <v>0</v>
      </c>
      <c r="AG32" s="21">
        <f t="shared" si="28"/>
        <v>8008724</v>
      </c>
      <c r="AH32" s="112">
        <f t="shared" si="16"/>
        <v>1</v>
      </c>
      <c r="AI32" s="154">
        <f t="shared" si="22"/>
        <v>8008724</v>
      </c>
      <c r="AJ32" s="134">
        <f t="shared" si="17"/>
        <v>0</v>
      </c>
      <c r="AK32" s="134">
        <f t="shared" si="18"/>
        <v>0</v>
      </c>
      <c r="AL32" s="135"/>
      <c r="AM32" s="122">
        <v>1162911</v>
      </c>
      <c r="AN32" s="122">
        <v>6845813</v>
      </c>
      <c r="AO32" s="121"/>
      <c r="AP32" s="121"/>
      <c r="AQ32" s="121"/>
      <c r="AR32" s="121"/>
      <c r="AS32" s="221">
        <f t="shared" si="19"/>
        <v>8008724</v>
      </c>
      <c r="AT32" s="121"/>
      <c r="AU32" s="122"/>
      <c r="AV32" s="122"/>
      <c r="AW32" s="122"/>
      <c r="AX32" s="121"/>
      <c r="AY32" s="121"/>
      <c r="AZ32" s="122">
        <f t="shared" si="23"/>
        <v>0</v>
      </c>
    </row>
    <row r="33" spans="1:52" ht="21" customHeight="1" outlineLevel="3" x14ac:dyDescent="0.35">
      <c r="A33" s="30" t="s">
        <v>59</v>
      </c>
      <c r="B33" s="242">
        <v>28647558</v>
      </c>
      <c r="C33" s="251">
        <f t="shared" si="0"/>
        <v>69.712076263190113</v>
      </c>
      <c r="D33" s="242">
        <v>12446553</v>
      </c>
      <c r="E33" s="251">
        <f t="shared" si="1"/>
        <v>30.28792373680988</v>
      </c>
      <c r="F33" s="242">
        <f t="shared" si="43"/>
        <v>41094111</v>
      </c>
      <c r="G33" s="259">
        <f t="shared" si="2"/>
        <v>9.4469220689655167</v>
      </c>
      <c r="H33" s="23"/>
      <c r="I33" s="18">
        <f>AM33</f>
        <v>0</v>
      </c>
      <c r="J33" s="112">
        <f t="shared" si="25"/>
        <v>0</v>
      </c>
      <c r="K33" s="148">
        <f>AU33</f>
        <v>10265375</v>
      </c>
      <c r="L33" s="147">
        <f t="shared" si="6"/>
        <v>0.24980160782648395</v>
      </c>
      <c r="M33" s="154">
        <f>AN33</f>
        <v>4460015</v>
      </c>
      <c r="N33" s="147">
        <f t="shared" si="7"/>
        <v>0.10853173098208646</v>
      </c>
      <c r="O33" s="18">
        <f>AV33</f>
        <v>14522720</v>
      </c>
      <c r="P33" s="112">
        <f t="shared" si="8"/>
        <v>0.35340148859772147</v>
      </c>
      <c r="Q33" s="21">
        <f>AO33</f>
        <v>6309710</v>
      </c>
      <c r="R33" s="112">
        <f t="shared" si="9"/>
        <v>0.15354292492177285</v>
      </c>
      <c r="S33" s="148">
        <f>AW33</f>
        <v>3859463</v>
      </c>
      <c r="T33" s="147">
        <f t="shared" si="10"/>
        <v>9.3917666207695788E-2</v>
      </c>
      <c r="U33" s="154">
        <f>AP33</f>
        <v>1676828</v>
      </c>
      <c r="V33" s="147">
        <f t="shared" si="11"/>
        <v>4.0804581464239487E-2</v>
      </c>
      <c r="W33" s="18">
        <f>AX33</f>
        <v>0</v>
      </c>
      <c r="X33" s="112">
        <f t="shared" si="12"/>
        <v>0</v>
      </c>
      <c r="Y33" s="21">
        <f>AQ33</f>
        <v>0</v>
      </c>
      <c r="Z33" s="112">
        <f t="shared" si="13"/>
        <v>0</v>
      </c>
      <c r="AA33" s="148">
        <f>AY33</f>
        <v>0</v>
      </c>
      <c r="AB33" s="147">
        <f t="shared" si="14"/>
        <v>0</v>
      </c>
      <c r="AC33" s="154">
        <f>AR33</f>
        <v>0</v>
      </c>
      <c r="AD33" s="147">
        <f t="shared" si="15"/>
        <v>0</v>
      </c>
      <c r="AE33" s="18">
        <f t="shared" si="27"/>
        <v>28647558</v>
      </c>
      <c r="AF33" s="112">
        <f t="shared" si="4"/>
        <v>0.69712076263190115</v>
      </c>
      <c r="AG33" s="21">
        <f t="shared" si="28"/>
        <v>12446553</v>
      </c>
      <c r="AH33" s="112">
        <f t="shared" si="16"/>
        <v>0.3028792373680988</v>
      </c>
      <c r="AI33" s="154">
        <f t="shared" si="22"/>
        <v>41094111</v>
      </c>
      <c r="AJ33" s="134">
        <f t="shared" si="17"/>
        <v>0</v>
      </c>
      <c r="AK33" s="134">
        <f t="shared" si="18"/>
        <v>0</v>
      </c>
      <c r="AL33" s="135"/>
      <c r="AM33" s="121"/>
      <c r="AN33" s="122">
        <v>4460015</v>
      </c>
      <c r="AO33" s="122">
        <v>6309710</v>
      </c>
      <c r="AP33" s="122">
        <v>1676828</v>
      </c>
      <c r="AQ33" s="121"/>
      <c r="AR33" s="121"/>
      <c r="AS33" s="221">
        <f t="shared" si="19"/>
        <v>12446553</v>
      </c>
      <c r="AT33" s="121"/>
      <c r="AU33" s="122">
        <v>10265375</v>
      </c>
      <c r="AV33" s="122">
        <v>14522720</v>
      </c>
      <c r="AW33" s="122">
        <v>3859463</v>
      </c>
      <c r="AX33" s="121"/>
      <c r="AY33" s="121"/>
      <c r="AZ33" s="122">
        <f t="shared" si="23"/>
        <v>28647558</v>
      </c>
    </row>
    <row r="34" spans="1:52" s="69" customFormat="1" ht="21" customHeight="1" outlineLevel="2" x14ac:dyDescent="0.35">
      <c r="A34" s="11" t="s">
        <v>60</v>
      </c>
      <c r="B34" s="242">
        <f>B35</f>
        <v>23588522</v>
      </c>
      <c r="C34" s="251">
        <f t="shared" si="0"/>
        <v>57.915063109891008</v>
      </c>
      <c r="D34" s="242">
        <f>D35</f>
        <v>17140989</v>
      </c>
      <c r="E34" s="251">
        <f t="shared" si="1"/>
        <v>42.084936890108992</v>
      </c>
      <c r="F34" s="242">
        <f t="shared" si="43"/>
        <v>40729511</v>
      </c>
      <c r="G34" s="259">
        <f t="shared" si="2"/>
        <v>9.3631059770114948</v>
      </c>
      <c r="H34" s="68"/>
      <c r="I34" s="18">
        <f>I35</f>
        <v>0</v>
      </c>
      <c r="J34" s="112">
        <f t="shared" si="25"/>
        <v>0</v>
      </c>
      <c r="K34" s="148">
        <f t="shared" ref="K34:AC34" si="44">K35</f>
        <v>7998946</v>
      </c>
      <c r="L34" s="147">
        <f t="shared" si="6"/>
        <v>0.19639189873897578</v>
      </c>
      <c r="M34" s="154">
        <f t="shared" si="44"/>
        <v>7831428</v>
      </c>
      <c r="N34" s="147">
        <f t="shared" si="7"/>
        <v>0.19227895959762442</v>
      </c>
      <c r="O34" s="18">
        <f t="shared" si="44"/>
        <v>11159889</v>
      </c>
      <c r="P34" s="112">
        <f t="shared" si="8"/>
        <v>0.27400007331293519</v>
      </c>
      <c r="Q34" s="21">
        <f t="shared" si="44"/>
        <v>8270499</v>
      </c>
      <c r="R34" s="112">
        <f t="shared" si="9"/>
        <v>0.20305912830625439</v>
      </c>
      <c r="S34" s="148">
        <f t="shared" si="44"/>
        <v>4429687</v>
      </c>
      <c r="T34" s="147">
        <f t="shared" si="10"/>
        <v>0.10875865904699912</v>
      </c>
      <c r="U34" s="154">
        <f t="shared" si="44"/>
        <v>1039062</v>
      </c>
      <c r="V34" s="147">
        <f t="shared" si="11"/>
        <v>2.5511280997211089E-2</v>
      </c>
      <c r="W34" s="18">
        <f t="shared" si="44"/>
        <v>0</v>
      </c>
      <c r="X34" s="112">
        <f t="shared" si="12"/>
        <v>0</v>
      </c>
      <c r="Y34" s="21">
        <f t="shared" si="44"/>
        <v>0</v>
      </c>
      <c r="Z34" s="112">
        <f t="shared" si="13"/>
        <v>0</v>
      </c>
      <c r="AA34" s="148">
        <f t="shared" si="44"/>
        <v>0</v>
      </c>
      <c r="AB34" s="147">
        <f t="shared" si="14"/>
        <v>0</v>
      </c>
      <c r="AC34" s="154">
        <f t="shared" si="44"/>
        <v>0</v>
      </c>
      <c r="AD34" s="147">
        <f t="shared" si="15"/>
        <v>0</v>
      </c>
      <c r="AE34" s="18">
        <f t="shared" si="27"/>
        <v>23588522</v>
      </c>
      <c r="AF34" s="112">
        <f t="shared" si="4"/>
        <v>0.57915063109891007</v>
      </c>
      <c r="AG34" s="21">
        <f t="shared" si="28"/>
        <v>17140989</v>
      </c>
      <c r="AH34" s="112">
        <f t="shared" si="16"/>
        <v>0.42084936890108993</v>
      </c>
      <c r="AI34" s="154">
        <f t="shared" si="22"/>
        <v>40729511</v>
      </c>
      <c r="AJ34" s="134">
        <f t="shared" si="17"/>
        <v>0</v>
      </c>
      <c r="AK34" s="134">
        <f t="shared" si="18"/>
        <v>0</v>
      </c>
      <c r="AL34" s="135"/>
      <c r="AM34" s="122"/>
      <c r="AN34" s="122">
        <v>7831427</v>
      </c>
      <c r="AO34" s="122">
        <v>8270498</v>
      </c>
      <c r="AP34" s="122">
        <v>1039064</v>
      </c>
      <c r="AQ34" s="121"/>
      <c r="AR34" s="121"/>
      <c r="AS34" s="221">
        <f t="shared" si="19"/>
        <v>17140989</v>
      </c>
      <c r="AT34" s="121"/>
      <c r="AU34" s="122">
        <v>7998945</v>
      </c>
      <c r="AV34" s="122">
        <v>11159889</v>
      </c>
      <c r="AW34" s="122">
        <v>4429688</v>
      </c>
      <c r="AX34" s="121"/>
      <c r="AY34" s="121"/>
      <c r="AZ34" s="122">
        <f t="shared" si="23"/>
        <v>23588522</v>
      </c>
    </row>
    <row r="35" spans="1:52" ht="21" customHeight="1" outlineLevel="2" x14ac:dyDescent="0.35">
      <c r="A35" s="17" t="s">
        <v>61</v>
      </c>
      <c r="B35" s="242">
        <f>SUM(B36:B39)</f>
        <v>23588522</v>
      </c>
      <c r="C35" s="251">
        <f t="shared" si="0"/>
        <v>57.915063109891008</v>
      </c>
      <c r="D35" s="242">
        <f>SUM(D36:D39)</f>
        <v>17140989</v>
      </c>
      <c r="E35" s="251">
        <f t="shared" si="1"/>
        <v>42.084936890108992</v>
      </c>
      <c r="F35" s="242">
        <f>SUM(F36:F39)</f>
        <v>40729511</v>
      </c>
      <c r="G35" s="259">
        <f t="shared" si="2"/>
        <v>9.3631059770114948</v>
      </c>
      <c r="H35" s="23"/>
      <c r="I35" s="18">
        <f>SUM(I36:I39)</f>
        <v>0</v>
      </c>
      <c r="J35" s="112">
        <f t="shared" si="25"/>
        <v>0</v>
      </c>
      <c r="K35" s="148">
        <f t="shared" ref="K35:AC35" si="45">SUM(K36:K39)</f>
        <v>7998946</v>
      </c>
      <c r="L35" s="147">
        <f t="shared" si="6"/>
        <v>0.19639189873897578</v>
      </c>
      <c r="M35" s="154">
        <f t="shared" si="45"/>
        <v>7831428</v>
      </c>
      <c r="N35" s="147">
        <f t="shared" si="7"/>
        <v>0.19227895959762442</v>
      </c>
      <c r="O35" s="18">
        <f t="shared" si="45"/>
        <v>11159889</v>
      </c>
      <c r="P35" s="112">
        <f t="shared" si="8"/>
        <v>0.27400007331293519</v>
      </c>
      <c r="Q35" s="21">
        <f t="shared" si="45"/>
        <v>8270499</v>
      </c>
      <c r="R35" s="112">
        <f t="shared" si="9"/>
        <v>0.20305912830625439</v>
      </c>
      <c r="S35" s="148">
        <f t="shared" si="45"/>
        <v>4429687</v>
      </c>
      <c r="T35" s="147">
        <f t="shared" si="10"/>
        <v>0.10875865904699912</v>
      </c>
      <c r="U35" s="154">
        <f t="shared" si="45"/>
        <v>1039062</v>
      </c>
      <c r="V35" s="147">
        <f t="shared" si="11"/>
        <v>2.5511280997211089E-2</v>
      </c>
      <c r="W35" s="18">
        <f t="shared" si="45"/>
        <v>0</v>
      </c>
      <c r="X35" s="112">
        <f t="shared" si="12"/>
        <v>0</v>
      </c>
      <c r="Y35" s="21">
        <f t="shared" si="45"/>
        <v>0</v>
      </c>
      <c r="Z35" s="112">
        <f t="shared" si="13"/>
        <v>0</v>
      </c>
      <c r="AA35" s="148">
        <f t="shared" si="45"/>
        <v>0</v>
      </c>
      <c r="AB35" s="147">
        <f t="shared" si="14"/>
        <v>0</v>
      </c>
      <c r="AC35" s="154">
        <f t="shared" si="45"/>
        <v>0</v>
      </c>
      <c r="AD35" s="147">
        <f t="shared" si="15"/>
        <v>0</v>
      </c>
      <c r="AE35" s="18">
        <f t="shared" si="27"/>
        <v>23588522</v>
      </c>
      <c r="AF35" s="112">
        <f t="shared" si="4"/>
        <v>0.57915063109891007</v>
      </c>
      <c r="AG35" s="21">
        <f t="shared" si="28"/>
        <v>17140989</v>
      </c>
      <c r="AH35" s="112">
        <f t="shared" si="16"/>
        <v>0.42084936890108993</v>
      </c>
      <c r="AI35" s="154">
        <f t="shared" si="22"/>
        <v>40729511</v>
      </c>
      <c r="AJ35" s="134">
        <f t="shared" si="17"/>
        <v>0</v>
      </c>
      <c r="AK35" s="134">
        <f t="shared" si="18"/>
        <v>0</v>
      </c>
      <c r="AL35" s="135"/>
      <c r="AM35" s="122"/>
      <c r="AN35" s="122">
        <v>7831427</v>
      </c>
      <c r="AO35" s="122">
        <v>8270498</v>
      </c>
      <c r="AP35" s="122">
        <v>1039064</v>
      </c>
      <c r="AQ35" s="121"/>
      <c r="AR35" s="121"/>
      <c r="AS35" s="221">
        <f t="shared" si="19"/>
        <v>17140989</v>
      </c>
      <c r="AT35" s="121"/>
      <c r="AU35" s="122">
        <v>7998945</v>
      </c>
      <c r="AV35" s="122">
        <v>11159889</v>
      </c>
      <c r="AW35" s="122">
        <v>4429688</v>
      </c>
      <c r="AX35" s="121"/>
      <c r="AY35" s="121"/>
      <c r="AZ35" s="122">
        <f t="shared" si="23"/>
        <v>23588522</v>
      </c>
    </row>
    <row r="36" spans="1:52" ht="21" customHeight="1" outlineLevel="2" x14ac:dyDescent="0.35">
      <c r="A36" s="22" t="s">
        <v>62</v>
      </c>
      <c r="B36" s="242">
        <v>0</v>
      </c>
      <c r="C36" s="251">
        <f t="shared" si="0"/>
        <v>0</v>
      </c>
      <c r="D36" s="242">
        <v>6658899</v>
      </c>
      <c r="E36" s="251">
        <f t="shared" si="1"/>
        <v>100</v>
      </c>
      <c r="F36" s="242">
        <f t="shared" ref="F36:F58" si="46">B36+D36</f>
        <v>6658899</v>
      </c>
      <c r="G36" s="259">
        <f t="shared" si="2"/>
        <v>1.5307813793103446</v>
      </c>
      <c r="H36" s="23"/>
      <c r="I36" s="18">
        <f>AM36</f>
        <v>0</v>
      </c>
      <c r="J36" s="112">
        <f t="shared" si="25"/>
        <v>0</v>
      </c>
      <c r="K36" s="148">
        <f>AU36</f>
        <v>0</v>
      </c>
      <c r="L36" s="147">
        <f t="shared" si="6"/>
        <v>0</v>
      </c>
      <c r="M36" s="154">
        <f>AN36</f>
        <v>3872027</v>
      </c>
      <c r="N36" s="147">
        <f t="shared" si="7"/>
        <v>0.58148156324341305</v>
      </c>
      <c r="O36" s="18">
        <f>AV36</f>
        <v>0</v>
      </c>
      <c r="P36" s="112">
        <f t="shared" si="8"/>
        <v>0</v>
      </c>
      <c r="Q36" s="21">
        <f>AO36</f>
        <v>2786872</v>
      </c>
      <c r="R36" s="112">
        <f t="shared" si="9"/>
        <v>0.41851843675658695</v>
      </c>
      <c r="S36" s="148">
        <f>AW36</f>
        <v>0</v>
      </c>
      <c r="T36" s="147">
        <f t="shared" si="10"/>
        <v>0</v>
      </c>
      <c r="U36" s="154">
        <f>AP36</f>
        <v>0</v>
      </c>
      <c r="V36" s="147">
        <f t="shared" si="11"/>
        <v>0</v>
      </c>
      <c r="W36" s="18">
        <f>AX36</f>
        <v>0</v>
      </c>
      <c r="X36" s="112">
        <f t="shared" si="12"/>
        <v>0</v>
      </c>
      <c r="Y36" s="21">
        <f>AQ36</f>
        <v>0</v>
      </c>
      <c r="Z36" s="112">
        <f t="shared" si="13"/>
        <v>0</v>
      </c>
      <c r="AA36" s="148">
        <f>AY36</f>
        <v>0</v>
      </c>
      <c r="AB36" s="147">
        <f t="shared" si="14"/>
        <v>0</v>
      </c>
      <c r="AC36" s="154">
        <f>AR36</f>
        <v>0</v>
      </c>
      <c r="AD36" s="147">
        <f t="shared" si="15"/>
        <v>0</v>
      </c>
      <c r="AE36" s="18">
        <f t="shared" si="27"/>
        <v>0</v>
      </c>
      <c r="AF36" s="112">
        <f t="shared" si="4"/>
        <v>0</v>
      </c>
      <c r="AG36" s="21">
        <f t="shared" si="28"/>
        <v>6658899</v>
      </c>
      <c r="AH36" s="112">
        <f t="shared" si="16"/>
        <v>1</v>
      </c>
      <c r="AI36" s="154">
        <f t="shared" si="22"/>
        <v>6658899</v>
      </c>
      <c r="AJ36" s="134">
        <f t="shared" si="17"/>
        <v>0</v>
      </c>
      <c r="AK36" s="134">
        <f t="shared" si="18"/>
        <v>0</v>
      </c>
      <c r="AL36" s="135"/>
      <c r="AM36" s="122"/>
      <c r="AN36" s="122">
        <v>3872027</v>
      </c>
      <c r="AO36" s="122">
        <v>2786872</v>
      </c>
      <c r="AP36" s="122"/>
      <c r="AQ36" s="121"/>
      <c r="AR36" s="121"/>
      <c r="AS36" s="221">
        <f t="shared" si="19"/>
        <v>6658899</v>
      </c>
      <c r="AT36" s="121"/>
      <c r="AU36" s="122"/>
      <c r="AV36" s="122"/>
      <c r="AW36" s="122"/>
      <c r="AX36" s="121"/>
      <c r="AY36" s="121"/>
      <c r="AZ36" s="122">
        <f t="shared" si="23"/>
        <v>0</v>
      </c>
    </row>
    <row r="37" spans="1:52" ht="21" customHeight="1" outlineLevel="2" x14ac:dyDescent="0.35">
      <c r="A37" s="22" t="s">
        <v>63</v>
      </c>
      <c r="B37" s="242">
        <v>5460297</v>
      </c>
      <c r="C37" s="251">
        <f t="shared" si="0"/>
        <v>45.981448421052633</v>
      </c>
      <c r="D37" s="242">
        <v>6414703</v>
      </c>
      <c r="E37" s="251">
        <f t="shared" si="1"/>
        <v>54.018551578947374</v>
      </c>
      <c r="F37" s="242">
        <f t="shared" si="46"/>
        <v>11875000</v>
      </c>
      <c r="G37" s="259">
        <f t="shared" si="2"/>
        <v>2.7298850574712645</v>
      </c>
      <c r="H37" s="23"/>
      <c r="I37" s="18">
        <f>AM37</f>
        <v>0</v>
      </c>
      <c r="J37" s="112">
        <f t="shared" si="25"/>
        <v>0</v>
      </c>
      <c r="K37" s="148">
        <f>AU37</f>
        <v>2386352</v>
      </c>
      <c r="L37" s="147">
        <f t="shared" si="6"/>
        <v>0.20095595789473683</v>
      </c>
      <c r="M37" s="154">
        <f>AN37</f>
        <v>2803463</v>
      </c>
      <c r="N37" s="147">
        <f t="shared" si="7"/>
        <v>0.23608109473684211</v>
      </c>
      <c r="O37" s="18">
        <f>AV37</f>
        <v>3073945</v>
      </c>
      <c r="P37" s="112">
        <f t="shared" si="8"/>
        <v>0.25885852631578948</v>
      </c>
      <c r="Q37" s="21">
        <f>AO37</f>
        <v>3611240</v>
      </c>
      <c r="R37" s="112">
        <f t="shared" si="9"/>
        <v>0.30410442105263158</v>
      </c>
      <c r="S37" s="148">
        <f>AW37</f>
        <v>0</v>
      </c>
      <c r="T37" s="147">
        <f t="shared" si="10"/>
        <v>0</v>
      </c>
      <c r="U37" s="154">
        <f>AP37</f>
        <v>0</v>
      </c>
      <c r="V37" s="147">
        <f t="shared" si="11"/>
        <v>0</v>
      </c>
      <c r="W37" s="18">
        <f>AX37</f>
        <v>0</v>
      </c>
      <c r="X37" s="112">
        <f t="shared" si="12"/>
        <v>0</v>
      </c>
      <c r="Y37" s="21">
        <f>AQ37</f>
        <v>0</v>
      </c>
      <c r="Z37" s="112">
        <f t="shared" si="13"/>
        <v>0</v>
      </c>
      <c r="AA37" s="148">
        <f>AY37</f>
        <v>0</v>
      </c>
      <c r="AB37" s="147">
        <f t="shared" si="14"/>
        <v>0</v>
      </c>
      <c r="AC37" s="154">
        <f>AR37</f>
        <v>0</v>
      </c>
      <c r="AD37" s="147">
        <f t="shared" si="15"/>
        <v>0</v>
      </c>
      <c r="AE37" s="18">
        <f t="shared" si="27"/>
        <v>5460297</v>
      </c>
      <c r="AF37" s="112">
        <f t="shared" si="4"/>
        <v>0.45981448421052634</v>
      </c>
      <c r="AG37" s="21">
        <f t="shared" si="28"/>
        <v>6414703</v>
      </c>
      <c r="AH37" s="112">
        <f t="shared" si="16"/>
        <v>0.54018551578947371</v>
      </c>
      <c r="AI37" s="154">
        <f t="shared" si="22"/>
        <v>11875000</v>
      </c>
      <c r="AJ37" s="134">
        <f t="shared" si="17"/>
        <v>0</v>
      </c>
      <c r="AK37" s="134">
        <f t="shared" si="18"/>
        <v>0</v>
      </c>
      <c r="AL37" s="135"/>
      <c r="AM37" s="121"/>
      <c r="AN37" s="122">
        <v>2803463</v>
      </c>
      <c r="AO37" s="122">
        <v>3611240</v>
      </c>
      <c r="AP37" s="122"/>
      <c r="AQ37" s="121"/>
      <c r="AR37" s="121"/>
      <c r="AS37" s="221">
        <f t="shared" si="19"/>
        <v>6414703</v>
      </c>
      <c r="AT37" s="121"/>
      <c r="AU37" s="122">
        <v>2386352</v>
      </c>
      <c r="AV37" s="122">
        <v>3073945</v>
      </c>
      <c r="AW37" s="122"/>
      <c r="AX37" s="122"/>
      <c r="AY37" s="122"/>
      <c r="AZ37" s="122">
        <f t="shared" si="23"/>
        <v>5460297</v>
      </c>
    </row>
    <row r="38" spans="1:52" ht="21" customHeight="1" outlineLevel="2" x14ac:dyDescent="0.35">
      <c r="A38" s="22" t="s">
        <v>64</v>
      </c>
      <c r="B38" s="242">
        <v>15187500.000000002</v>
      </c>
      <c r="C38" s="251">
        <f t="shared" si="0"/>
        <v>81</v>
      </c>
      <c r="D38" s="242">
        <v>3562500</v>
      </c>
      <c r="E38" s="251">
        <f t="shared" si="1"/>
        <v>19</v>
      </c>
      <c r="F38" s="242">
        <f t="shared" si="46"/>
        <v>18750000</v>
      </c>
      <c r="G38" s="259">
        <f t="shared" si="2"/>
        <v>4.3103448275862073</v>
      </c>
      <c r="H38" s="23"/>
      <c r="I38" s="18">
        <f>AM38</f>
        <v>0</v>
      </c>
      <c r="J38" s="112">
        <f t="shared" si="25"/>
        <v>0</v>
      </c>
      <c r="K38" s="148">
        <f>AU38</f>
        <v>3058594</v>
      </c>
      <c r="L38" s="147">
        <f t="shared" si="6"/>
        <v>0.16312501333333335</v>
      </c>
      <c r="M38" s="154">
        <f>AN38</f>
        <v>717448</v>
      </c>
      <c r="N38" s="147">
        <f t="shared" si="7"/>
        <v>3.8263893333333333E-2</v>
      </c>
      <c r="O38" s="18">
        <f>AV38</f>
        <v>7699219</v>
      </c>
      <c r="P38" s="112">
        <f t="shared" si="8"/>
        <v>0.41062501333333334</v>
      </c>
      <c r="Q38" s="21">
        <f>AO38</f>
        <v>1805990</v>
      </c>
      <c r="R38" s="112">
        <f t="shared" si="9"/>
        <v>9.6319466666666673E-2</v>
      </c>
      <c r="S38" s="148">
        <f>AW38</f>
        <v>4429687</v>
      </c>
      <c r="T38" s="147">
        <f t="shared" si="10"/>
        <v>0.23624997333333334</v>
      </c>
      <c r="U38" s="154">
        <f>AP38</f>
        <v>1039062</v>
      </c>
      <c r="V38" s="147">
        <f t="shared" si="11"/>
        <v>5.5416640000000003E-2</v>
      </c>
      <c r="W38" s="18">
        <f>AX38</f>
        <v>0</v>
      </c>
      <c r="X38" s="112">
        <f t="shared" si="12"/>
        <v>0</v>
      </c>
      <c r="Y38" s="21">
        <f>AQ38</f>
        <v>0</v>
      </c>
      <c r="Z38" s="112">
        <f t="shared" si="13"/>
        <v>0</v>
      </c>
      <c r="AA38" s="148">
        <f>AY38</f>
        <v>0</v>
      </c>
      <c r="AB38" s="147">
        <f t="shared" si="14"/>
        <v>0</v>
      </c>
      <c r="AC38" s="154">
        <f>AR38</f>
        <v>0</v>
      </c>
      <c r="AD38" s="147">
        <f t="shared" si="15"/>
        <v>0</v>
      </c>
      <c r="AE38" s="18">
        <f t="shared" si="27"/>
        <v>15187500</v>
      </c>
      <c r="AF38" s="112">
        <f t="shared" si="4"/>
        <v>0.81</v>
      </c>
      <c r="AG38" s="21">
        <f t="shared" si="28"/>
        <v>3562500</v>
      </c>
      <c r="AH38" s="112">
        <f t="shared" si="16"/>
        <v>0.19</v>
      </c>
      <c r="AI38" s="154">
        <f t="shared" si="22"/>
        <v>18750000</v>
      </c>
      <c r="AJ38" s="134">
        <f t="shared" si="17"/>
        <v>0</v>
      </c>
      <c r="AK38" s="134">
        <f t="shared" si="18"/>
        <v>0</v>
      </c>
      <c r="AL38" s="135"/>
      <c r="AM38" s="121"/>
      <c r="AN38" s="122">
        <v>717448</v>
      </c>
      <c r="AO38" s="122">
        <v>1805990</v>
      </c>
      <c r="AP38" s="122">
        <v>1039062</v>
      </c>
      <c r="AQ38" s="121"/>
      <c r="AR38" s="121"/>
      <c r="AS38" s="221">
        <f t="shared" si="19"/>
        <v>3562500</v>
      </c>
      <c r="AT38" s="121"/>
      <c r="AU38" s="122">
        <v>3058594</v>
      </c>
      <c r="AV38" s="122">
        <v>7699219</v>
      </c>
      <c r="AW38" s="122">
        <v>4429687</v>
      </c>
      <c r="AX38" s="121"/>
      <c r="AY38" s="121"/>
      <c r="AZ38" s="122">
        <f t="shared" si="23"/>
        <v>15187500</v>
      </c>
    </row>
    <row r="39" spans="1:52" ht="21" customHeight="1" outlineLevel="2" x14ac:dyDescent="0.35">
      <c r="A39" s="22" t="s">
        <v>65</v>
      </c>
      <c r="B39" s="242">
        <v>2940725</v>
      </c>
      <c r="C39" s="251">
        <f t="shared" si="0"/>
        <v>85.346957231400395</v>
      </c>
      <c r="D39" s="242">
        <v>504887</v>
      </c>
      <c r="E39" s="251">
        <f t="shared" si="1"/>
        <v>14.653042768599597</v>
      </c>
      <c r="F39" s="242">
        <f t="shared" si="46"/>
        <v>3445612</v>
      </c>
      <c r="G39" s="259">
        <f t="shared" si="2"/>
        <v>0.79209471264367826</v>
      </c>
      <c r="H39" s="23"/>
      <c r="I39" s="18">
        <f>AM39</f>
        <v>0</v>
      </c>
      <c r="J39" s="112">
        <f t="shared" si="25"/>
        <v>0</v>
      </c>
      <c r="K39" s="148">
        <f>AU39</f>
        <v>2554000</v>
      </c>
      <c r="L39" s="147">
        <f t="shared" si="6"/>
        <v>0.74123261702130128</v>
      </c>
      <c r="M39" s="154">
        <f>AN39</f>
        <v>438490</v>
      </c>
      <c r="N39" s="147">
        <f t="shared" si="7"/>
        <v>0.12726041121287016</v>
      </c>
      <c r="O39" s="18">
        <f>AV39</f>
        <v>386725</v>
      </c>
      <c r="P39" s="112">
        <f t="shared" si="8"/>
        <v>0.11223695529270272</v>
      </c>
      <c r="Q39" s="21">
        <f>AO39</f>
        <v>66397</v>
      </c>
      <c r="R39" s="112">
        <f t="shared" si="9"/>
        <v>1.9270016473125821E-2</v>
      </c>
      <c r="S39" s="148">
        <f>AW39</f>
        <v>0</v>
      </c>
      <c r="T39" s="147">
        <f t="shared" si="10"/>
        <v>0</v>
      </c>
      <c r="U39" s="154">
        <f>AP39</f>
        <v>0</v>
      </c>
      <c r="V39" s="147">
        <f t="shared" si="11"/>
        <v>0</v>
      </c>
      <c r="W39" s="18">
        <f>AX39</f>
        <v>0</v>
      </c>
      <c r="X39" s="112">
        <f t="shared" si="12"/>
        <v>0</v>
      </c>
      <c r="Y39" s="21">
        <f>AQ39</f>
        <v>0</v>
      </c>
      <c r="Z39" s="112">
        <f t="shared" si="13"/>
        <v>0</v>
      </c>
      <c r="AA39" s="148">
        <f>AY39</f>
        <v>0</v>
      </c>
      <c r="AB39" s="147">
        <f t="shared" si="14"/>
        <v>0</v>
      </c>
      <c r="AC39" s="154">
        <f>AR39</f>
        <v>0</v>
      </c>
      <c r="AD39" s="147">
        <f t="shared" si="15"/>
        <v>0</v>
      </c>
      <c r="AE39" s="18">
        <f t="shared" si="27"/>
        <v>2940725</v>
      </c>
      <c r="AF39" s="112">
        <f t="shared" si="4"/>
        <v>0.853469572314004</v>
      </c>
      <c r="AG39" s="21">
        <f t="shared" si="28"/>
        <v>504887</v>
      </c>
      <c r="AH39" s="112">
        <f t="shared" si="16"/>
        <v>0.14653042768599597</v>
      </c>
      <c r="AI39" s="154">
        <f t="shared" si="22"/>
        <v>3445612</v>
      </c>
      <c r="AJ39" s="134">
        <f t="shared" si="17"/>
        <v>0</v>
      </c>
      <c r="AK39" s="134">
        <f t="shared" si="18"/>
        <v>0</v>
      </c>
      <c r="AL39" s="135"/>
      <c r="AM39" s="121"/>
      <c r="AN39" s="122">
        <v>438490</v>
      </c>
      <c r="AO39" s="122">
        <v>66397</v>
      </c>
      <c r="AP39" s="121"/>
      <c r="AQ39" s="121"/>
      <c r="AR39" s="121"/>
      <c r="AS39" s="221">
        <f t="shared" si="19"/>
        <v>504887</v>
      </c>
      <c r="AT39" s="121"/>
      <c r="AU39" s="122">
        <v>2554000</v>
      </c>
      <c r="AV39" s="122">
        <v>386725</v>
      </c>
      <c r="AW39" s="122"/>
      <c r="AX39" s="122"/>
      <c r="AY39" s="122"/>
      <c r="AZ39" s="122">
        <f t="shared" si="23"/>
        <v>2940725</v>
      </c>
    </row>
    <row r="40" spans="1:52" s="69" customFormat="1" ht="32.25" customHeight="1" outlineLevel="1" x14ac:dyDescent="0.35">
      <c r="A40" s="11" t="s">
        <v>94</v>
      </c>
      <c r="B40" s="240">
        <f>B41+B42</f>
        <v>3450000</v>
      </c>
      <c r="C40" s="254">
        <f t="shared" si="0"/>
        <v>68.316831683168317</v>
      </c>
      <c r="D40" s="240">
        <f>D41+D42</f>
        <v>1600000</v>
      </c>
      <c r="E40" s="254">
        <f t="shared" si="1"/>
        <v>31.683168316831683</v>
      </c>
      <c r="F40" s="240">
        <f t="shared" si="46"/>
        <v>5050000</v>
      </c>
      <c r="G40" s="258">
        <f t="shared" si="2"/>
        <v>1.1609195402298851</v>
      </c>
      <c r="H40" s="70"/>
      <c r="I40" s="12">
        <f>I41+I42</f>
        <v>0</v>
      </c>
      <c r="J40" s="112">
        <f t="shared" si="25"/>
        <v>0</v>
      </c>
      <c r="K40" s="146">
        <f t="shared" ref="K40:AC40" si="47">K41+K42</f>
        <v>0</v>
      </c>
      <c r="L40" s="147">
        <f t="shared" si="6"/>
        <v>0</v>
      </c>
      <c r="M40" s="155">
        <f t="shared" si="47"/>
        <v>0</v>
      </c>
      <c r="N40" s="147">
        <f t="shared" si="7"/>
        <v>0</v>
      </c>
      <c r="O40" s="12">
        <f t="shared" si="47"/>
        <v>0</v>
      </c>
      <c r="P40" s="112">
        <f t="shared" si="8"/>
        <v>0</v>
      </c>
      <c r="Q40" s="13">
        <f t="shared" si="47"/>
        <v>0</v>
      </c>
      <c r="R40" s="112">
        <f t="shared" si="9"/>
        <v>0</v>
      </c>
      <c r="S40" s="146">
        <f t="shared" si="47"/>
        <v>3450000</v>
      </c>
      <c r="T40" s="147">
        <f t="shared" si="10"/>
        <v>0.68316831683168322</v>
      </c>
      <c r="U40" s="155">
        <f t="shared" si="47"/>
        <v>1600000</v>
      </c>
      <c r="V40" s="147">
        <f t="shared" si="11"/>
        <v>0.31683168316831684</v>
      </c>
      <c r="W40" s="12">
        <f t="shared" si="47"/>
        <v>0</v>
      </c>
      <c r="X40" s="112">
        <f t="shared" si="12"/>
        <v>0</v>
      </c>
      <c r="Y40" s="13">
        <f t="shared" si="47"/>
        <v>0</v>
      </c>
      <c r="Z40" s="112">
        <f t="shared" si="13"/>
        <v>0</v>
      </c>
      <c r="AA40" s="146">
        <f t="shared" si="47"/>
        <v>0</v>
      </c>
      <c r="AB40" s="147">
        <f t="shared" si="14"/>
        <v>0</v>
      </c>
      <c r="AC40" s="155">
        <f t="shared" si="47"/>
        <v>0</v>
      </c>
      <c r="AD40" s="147">
        <f t="shared" si="15"/>
        <v>0</v>
      </c>
      <c r="AE40" s="12">
        <f t="shared" si="27"/>
        <v>3450000</v>
      </c>
      <c r="AF40" s="112">
        <f t="shared" si="4"/>
        <v>0.68316831683168322</v>
      </c>
      <c r="AG40" s="13">
        <f t="shared" si="28"/>
        <v>1600000</v>
      </c>
      <c r="AH40" s="112">
        <f t="shared" si="16"/>
        <v>0.31683168316831684</v>
      </c>
      <c r="AI40" s="155">
        <f t="shared" si="22"/>
        <v>5050000</v>
      </c>
      <c r="AJ40" s="134">
        <f t="shared" si="17"/>
        <v>0</v>
      </c>
      <c r="AK40" s="134">
        <f t="shared" si="18"/>
        <v>0</v>
      </c>
      <c r="AL40" s="134"/>
      <c r="AM40" s="121"/>
      <c r="AN40" s="121"/>
      <c r="AO40" s="121"/>
      <c r="AP40" s="122">
        <v>1600000</v>
      </c>
      <c r="AQ40" s="121"/>
      <c r="AR40" s="121"/>
      <c r="AS40" s="221">
        <f t="shared" si="19"/>
        <v>1600000</v>
      </c>
      <c r="AT40" s="121"/>
      <c r="AU40" s="122"/>
      <c r="AV40" s="122"/>
      <c r="AW40" s="122">
        <v>3450000</v>
      </c>
      <c r="AX40" s="122"/>
      <c r="AY40" s="122"/>
      <c r="AZ40" s="122">
        <f t="shared" si="23"/>
        <v>3450000</v>
      </c>
    </row>
    <row r="41" spans="1:52" ht="21" customHeight="1" outlineLevel="2" x14ac:dyDescent="0.35">
      <c r="A41" s="17" t="s">
        <v>95</v>
      </c>
      <c r="B41" s="242">
        <v>2870000</v>
      </c>
      <c r="C41" s="251">
        <f t="shared" si="0"/>
        <v>68.009478672985779</v>
      </c>
      <c r="D41" s="242">
        <v>1350000</v>
      </c>
      <c r="E41" s="251">
        <f t="shared" si="1"/>
        <v>31.990521327014214</v>
      </c>
      <c r="F41" s="242">
        <f t="shared" si="46"/>
        <v>4220000</v>
      </c>
      <c r="G41" s="259">
        <f t="shared" si="2"/>
        <v>0.97011494252873565</v>
      </c>
      <c r="H41" s="23"/>
      <c r="I41" s="18">
        <f>AM41</f>
        <v>0</v>
      </c>
      <c r="J41" s="112">
        <f t="shared" si="25"/>
        <v>0</v>
      </c>
      <c r="K41" s="148">
        <f>AU41</f>
        <v>0</v>
      </c>
      <c r="L41" s="147">
        <f t="shared" si="6"/>
        <v>0</v>
      </c>
      <c r="M41" s="154">
        <f>AN41</f>
        <v>0</v>
      </c>
      <c r="N41" s="147">
        <f t="shared" si="7"/>
        <v>0</v>
      </c>
      <c r="O41" s="18">
        <f>AV41</f>
        <v>0</v>
      </c>
      <c r="P41" s="112">
        <f t="shared" si="8"/>
        <v>0</v>
      </c>
      <c r="Q41" s="21">
        <f>AO41</f>
        <v>0</v>
      </c>
      <c r="R41" s="112">
        <f t="shared" si="9"/>
        <v>0</v>
      </c>
      <c r="S41" s="148">
        <f>AW41</f>
        <v>2870000</v>
      </c>
      <c r="T41" s="147">
        <f t="shared" si="10"/>
        <v>0.68009478672985779</v>
      </c>
      <c r="U41" s="154">
        <f>AP41</f>
        <v>1350000</v>
      </c>
      <c r="V41" s="147">
        <f t="shared" si="11"/>
        <v>0.31990521327014215</v>
      </c>
      <c r="W41" s="18">
        <f>AX41</f>
        <v>0</v>
      </c>
      <c r="X41" s="112">
        <f t="shared" si="12"/>
        <v>0</v>
      </c>
      <c r="Y41" s="21">
        <f>AQ41</f>
        <v>0</v>
      </c>
      <c r="Z41" s="112">
        <f t="shared" si="13"/>
        <v>0</v>
      </c>
      <c r="AA41" s="148">
        <f>AY41</f>
        <v>0</v>
      </c>
      <c r="AB41" s="147">
        <f t="shared" si="14"/>
        <v>0</v>
      </c>
      <c r="AC41" s="154">
        <f>AR41</f>
        <v>0</v>
      </c>
      <c r="AD41" s="147">
        <f t="shared" si="15"/>
        <v>0</v>
      </c>
      <c r="AE41" s="18">
        <f t="shared" si="27"/>
        <v>2870000</v>
      </c>
      <c r="AF41" s="112">
        <f t="shared" si="4"/>
        <v>0.68009478672985779</v>
      </c>
      <c r="AG41" s="21">
        <f t="shared" si="28"/>
        <v>1350000</v>
      </c>
      <c r="AH41" s="112">
        <f t="shared" si="16"/>
        <v>0.31990521327014215</v>
      </c>
      <c r="AI41" s="154">
        <f t="shared" si="22"/>
        <v>4220000</v>
      </c>
      <c r="AJ41" s="134">
        <f t="shared" si="17"/>
        <v>0</v>
      </c>
      <c r="AK41" s="134">
        <f t="shared" si="18"/>
        <v>0</v>
      </c>
      <c r="AL41" s="135"/>
      <c r="AM41" s="122"/>
      <c r="AN41" s="122"/>
      <c r="AO41" s="122"/>
      <c r="AP41" s="122">
        <v>1350000</v>
      </c>
      <c r="AQ41" s="122"/>
      <c r="AR41" s="122"/>
      <c r="AS41" s="221">
        <f t="shared" si="19"/>
        <v>1350000</v>
      </c>
      <c r="AT41" s="121"/>
      <c r="AU41" s="122"/>
      <c r="AV41" s="122"/>
      <c r="AW41" s="122">
        <v>2870000</v>
      </c>
      <c r="AX41" s="122"/>
      <c r="AY41" s="122"/>
      <c r="AZ41" s="122">
        <f t="shared" si="23"/>
        <v>2870000</v>
      </c>
    </row>
    <row r="42" spans="1:52" ht="21" customHeight="1" outlineLevel="2" x14ac:dyDescent="0.35">
      <c r="A42" s="17" t="s">
        <v>96</v>
      </c>
      <c r="B42" s="242">
        <v>580000</v>
      </c>
      <c r="C42" s="251">
        <f t="shared" si="0"/>
        <v>69.879518072289159</v>
      </c>
      <c r="D42" s="242">
        <v>250000</v>
      </c>
      <c r="E42" s="251">
        <f t="shared" si="1"/>
        <v>30.120481927710845</v>
      </c>
      <c r="F42" s="242">
        <f t="shared" si="46"/>
        <v>830000</v>
      </c>
      <c r="G42" s="259">
        <f t="shared" si="2"/>
        <v>0.19080459770114941</v>
      </c>
      <c r="H42" s="23"/>
      <c r="I42" s="18">
        <f>AM42</f>
        <v>0</v>
      </c>
      <c r="J42" s="112">
        <f t="shared" si="25"/>
        <v>0</v>
      </c>
      <c r="K42" s="148">
        <f>AU42</f>
        <v>0</v>
      </c>
      <c r="L42" s="147">
        <f t="shared" si="6"/>
        <v>0</v>
      </c>
      <c r="M42" s="154">
        <f>AN42</f>
        <v>0</v>
      </c>
      <c r="N42" s="147">
        <f t="shared" si="7"/>
        <v>0</v>
      </c>
      <c r="O42" s="18">
        <f>AV42</f>
        <v>0</v>
      </c>
      <c r="P42" s="112">
        <f t="shared" si="8"/>
        <v>0</v>
      </c>
      <c r="Q42" s="21">
        <f>AO42</f>
        <v>0</v>
      </c>
      <c r="R42" s="112">
        <f t="shared" si="9"/>
        <v>0</v>
      </c>
      <c r="S42" s="148">
        <f>AW42</f>
        <v>580000</v>
      </c>
      <c r="T42" s="147">
        <f t="shared" si="10"/>
        <v>0.6987951807228916</v>
      </c>
      <c r="U42" s="154">
        <f>AP42</f>
        <v>250000</v>
      </c>
      <c r="V42" s="147">
        <f t="shared" si="11"/>
        <v>0.30120481927710846</v>
      </c>
      <c r="W42" s="18">
        <f>AX42</f>
        <v>0</v>
      </c>
      <c r="X42" s="112">
        <f t="shared" si="12"/>
        <v>0</v>
      </c>
      <c r="Y42" s="21">
        <f>AQ42</f>
        <v>0</v>
      </c>
      <c r="Z42" s="112">
        <f t="shared" si="13"/>
        <v>0</v>
      </c>
      <c r="AA42" s="148">
        <f>AY42</f>
        <v>0</v>
      </c>
      <c r="AB42" s="147">
        <f t="shared" si="14"/>
        <v>0</v>
      </c>
      <c r="AC42" s="154">
        <f>AR42</f>
        <v>0</v>
      </c>
      <c r="AD42" s="147">
        <f t="shared" si="15"/>
        <v>0</v>
      </c>
      <c r="AE42" s="18">
        <f t="shared" si="27"/>
        <v>580000</v>
      </c>
      <c r="AF42" s="112">
        <f t="shared" si="4"/>
        <v>0.6987951807228916</v>
      </c>
      <c r="AG42" s="21">
        <f t="shared" si="28"/>
        <v>250000</v>
      </c>
      <c r="AH42" s="112">
        <f t="shared" si="16"/>
        <v>0.30120481927710846</v>
      </c>
      <c r="AI42" s="154">
        <f t="shared" si="22"/>
        <v>830000</v>
      </c>
      <c r="AJ42" s="134">
        <f t="shared" si="17"/>
        <v>0</v>
      </c>
      <c r="AK42" s="134">
        <f t="shared" si="18"/>
        <v>0</v>
      </c>
      <c r="AL42" s="135"/>
      <c r="AM42" s="121"/>
      <c r="AN42" s="122"/>
      <c r="AO42" s="122"/>
      <c r="AP42" s="122">
        <v>250000</v>
      </c>
      <c r="AQ42" s="122"/>
      <c r="AR42" s="122"/>
      <c r="AS42" s="221">
        <f t="shared" si="19"/>
        <v>250000</v>
      </c>
      <c r="AT42" s="121"/>
      <c r="AU42" s="122"/>
      <c r="AV42" s="122"/>
      <c r="AW42" s="122">
        <v>580000</v>
      </c>
      <c r="AX42" s="122"/>
      <c r="AY42" s="122"/>
      <c r="AZ42" s="122">
        <f t="shared" si="23"/>
        <v>580000</v>
      </c>
    </row>
    <row r="43" spans="1:52" s="69" customFormat="1" ht="21" customHeight="1" outlineLevel="1" x14ac:dyDescent="0.35">
      <c r="A43" s="11" t="s">
        <v>97</v>
      </c>
      <c r="B43" s="240">
        <v>14125000</v>
      </c>
      <c r="C43" s="254">
        <f t="shared" si="0"/>
        <v>81.126873815404053</v>
      </c>
      <c r="D43" s="240">
        <f>3285715+285</f>
        <v>3286000</v>
      </c>
      <c r="E43" s="254">
        <f t="shared" si="1"/>
        <v>18.873126184595947</v>
      </c>
      <c r="F43" s="240">
        <f t="shared" si="46"/>
        <v>17411000</v>
      </c>
      <c r="G43" s="258">
        <f t="shared" si="2"/>
        <v>4.0025287356321844</v>
      </c>
      <c r="H43" s="70"/>
      <c r="I43" s="12">
        <f>AM43</f>
        <v>354131</v>
      </c>
      <c r="J43" s="113">
        <f t="shared" si="25"/>
        <v>2.0339498018494055E-2</v>
      </c>
      <c r="K43" s="156">
        <f>AU43</f>
        <v>2792840</v>
      </c>
      <c r="L43" s="151">
        <f t="shared" si="6"/>
        <v>0.16040663948078801</v>
      </c>
      <c r="M43" s="157">
        <f>AN43</f>
        <v>636226</v>
      </c>
      <c r="N43" s="151">
        <f t="shared" si="7"/>
        <v>3.6541611624834873E-2</v>
      </c>
      <c r="O43" s="114">
        <f>AV43</f>
        <v>3089050</v>
      </c>
      <c r="P43" s="113">
        <f t="shared" si="8"/>
        <v>0.17741944747573374</v>
      </c>
      <c r="Q43" s="115">
        <f>AO43</f>
        <v>636226</v>
      </c>
      <c r="R43" s="113">
        <f t="shared" si="9"/>
        <v>3.6541611624834873E-2</v>
      </c>
      <c r="S43" s="156">
        <f>AW43</f>
        <v>3097514</v>
      </c>
      <c r="T43" s="151">
        <f t="shared" si="10"/>
        <v>0.17790557693412209</v>
      </c>
      <c r="U43" s="157">
        <f>AP43</f>
        <v>637969</v>
      </c>
      <c r="V43" s="151">
        <f t="shared" si="11"/>
        <v>3.6641720751249211E-2</v>
      </c>
      <c r="W43" s="114">
        <f>AX43</f>
        <v>3089050</v>
      </c>
      <c r="X43" s="113">
        <f t="shared" si="12"/>
        <v>0.17741944747573374</v>
      </c>
      <c r="Y43" s="115">
        <f>AQ43</f>
        <v>636226</v>
      </c>
      <c r="Z43" s="113">
        <f t="shared" si="13"/>
        <v>3.6541611624834873E-2</v>
      </c>
      <c r="AA43" s="156">
        <f>AY43</f>
        <v>2056546</v>
      </c>
      <c r="AB43" s="151">
        <f t="shared" si="14"/>
        <v>0.11811762678766297</v>
      </c>
      <c r="AC43" s="157">
        <f>AR43</f>
        <v>385222</v>
      </c>
      <c r="AD43" s="151">
        <f t="shared" si="15"/>
        <v>2.2125208201711561E-2</v>
      </c>
      <c r="AE43" s="114">
        <f t="shared" si="27"/>
        <v>14125000</v>
      </c>
      <c r="AF43" s="113">
        <f t="shared" si="4"/>
        <v>0.81126873815404055</v>
      </c>
      <c r="AG43" s="115">
        <f t="shared" si="28"/>
        <v>3286000</v>
      </c>
      <c r="AH43" s="113">
        <f t="shared" si="16"/>
        <v>0.18873126184595945</v>
      </c>
      <c r="AI43" s="155">
        <f t="shared" si="22"/>
        <v>17411000</v>
      </c>
      <c r="AJ43" s="134">
        <f t="shared" si="17"/>
        <v>0</v>
      </c>
      <c r="AK43" s="134">
        <f t="shared" si="18"/>
        <v>0</v>
      </c>
      <c r="AL43" s="134"/>
      <c r="AM43" s="220">
        <f>353846+285</f>
        <v>354131</v>
      </c>
      <c r="AN43" s="122">
        <v>636226</v>
      </c>
      <c r="AO43" s="122">
        <v>636226</v>
      </c>
      <c r="AP43" s="122">
        <v>637969</v>
      </c>
      <c r="AQ43" s="122">
        <v>636226</v>
      </c>
      <c r="AR43" s="122">
        <v>385222</v>
      </c>
      <c r="AS43" s="221">
        <f t="shared" si="19"/>
        <v>3286000</v>
      </c>
      <c r="AT43" s="121"/>
      <c r="AU43" s="122">
        <v>2792840</v>
      </c>
      <c r="AV43" s="122">
        <v>3089050</v>
      </c>
      <c r="AW43" s="122">
        <v>3097514</v>
      </c>
      <c r="AX43" s="122">
        <v>3089050</v>
      </c>
      <c r="AY43" s="122">
        <v>2056546</v>
      </c>
      <c r="AZ43" s="122">
        <f t="shared" si="23"/>
        <v>14125000</v>
      </c>
    </row>
    <row r="44" spans="1:52" ht="21" customHeight="1" x14ac:dyDescent="0.35">
      <c r="A44" s="33" t="s">
        <v>66</v>
      </c>
      <c r="B44" s="245">
        <f>B45+B52</f>
        <v>8232000</v>
      </c>
      <c r="C44" s="255">
        <f t="shared" si="0"/>
        <v>67.903984162336045</v>
      </c>
      <c r="D44" s="246">
        <f>D45+D52</f>
        <v>3891000</v>
      </c>
      <c r="E44" s="255">
        <f t="shared" si="1"/>
        <v>32.096015837663941</v>
      </c>
      <c r="F44" s="246">
        <f>F45+F52</f>
        <v>12123000</v>
      </c>
      <c r="G44" s="261">
        <f t="shared" si="2"/>
        <v>2.786896551724138</v>
      </c>
      <c r="H44" s="14"/>
      <c r="I44" s="15">
        <f>I45+I52</f>
        <v>0</v>
      </c>
      <c r="J44" s="112">
        <f t="shared" si="25"/>
        <v>0</v>
      </c>
      <c r="K44" s="146">
        <f>K45+K52</f>
        <v>1622206</v>
      </c>
      <c r="L44" s="147">
        <f t="shared" si="6"/>
        <v>0.13381225769199043</v>
      </c>
      <c r="M44" s="146">
        <f>M45+M52</f>
        <v>714736</v>
      </c>
      <c r="N44" s="147">
        <f t="shared" si="7"/>
        <v>5.8957023838983748E-2</v>
      </c>
      <c r="O44" s="12">
        <f>O45+O52</f>
        <v>3509794</v>
      </c>
      <c r="P44" s="112">
        <f t="shared" si="8"/>
        <v>0.28951530149302979</v>
      </c>
      <c r="Q44" s="12">
        <f>Q45+Q52</f>
        <v>1606264</v>
      </c>
      <c r="R44" s="112">
        <f t="shared" si="9"/>
        <v>0.132497236657593</v>
      </c>
      <c r="S44" s="146">
        <f>S45+S52</f>
        <v>0</v>
      </c>
      <c r="T44" s="147">
        <f t="shared" si="10"/>
        <v>0</v>
      </c>
      <c r="U44" s="146">
        <f>U45+U52</f>
        <v>0</v>
      </c>
      <c r="V44" s="147">
        <f t="shared" si="11"/>
        <v>0</v>
      </c>
      <c r="W44" s="12">
        <f>W45+W52</f>
        <v>1961346</v>
      </c>
      <c r="X44" s="112">
        <f t="shared" si="12"/>
        <v>0.16178718139074486</v>
      </c>
      <c r="Y44" s="12">
        <f>Y45+Y52</f>
        <v>993327</v>
      </c>
      <c r="Z44" s="112">
        <f t="shared" si="13"/>
        <v>8.1937391734719131E-2</v>
      </c>
      <c r="AA44" s="146">
        <f>AA45+AA52</f>
        <v>1138654</v>
      </c>
      <c r="AB44" s="147">
        <f t="shared" si="14"/>
        <v>9.392510104759548E-2</v>
      </c>
      <c r="AC44" s="146">
        <f>AC45+AC52</f>
        <v>576673</v>
      </c>
      <c r="AD44" s="147">
        <f t="shared" si="15"/>
        <v>4.756850614534356E-2</v>
      </c>
      <c r="AE44" s="12">
        <f>AE45+AE52</f>
        <v>8232000</v>
      </c>
      <c r="AF44" s="112">
        <f t="shared" si="4"/>
        <v>0.67903984162336051</v>
      </c>
      <c r="AG44" s="12">
        <f>AG45+AG52</f>
        <v>3891000</v>
      </c>
      <c r="AH44" s="112">
        <f t="shared" si="16"/>
        <v>0.32096015837663944</v>
      </c>
      <c r="AI44" s="153">
        <f t="shared" si="22"/>
        <v>12123000</v>
      </c>
      <c r="AJ44" s="134">
        <f t="shared" si="17"/>
        <v>0</v>
      </c>
      <c r="AK44" s="134">
        <f t="shared" si="18"/>
        <v>0</v>
      </c>
      <c r="AL44" s="134"/>
      <c r="AM44" s="121"/>
      <c r="AN44" s="122"/>
      <c r="AO44" s="122"/>
      <c r="AP44" s="122"/>
      <c r="AQ44" s="122"/>
      <c r="AR44" s="122"/>
      <c r="AS44" s="221"/>
      <c r="AT44" s="121"/>
      <c r="AU44" s="122"/>
      <c r="AV44" s="122"/>
      <c r="AW44" s="122"/>
      <c r="AX44" s="122"/>
      <c r="AY44" s="122"/>
      <c r="AZ44" s="122"/>
    </row>
    <row r="45" spans="1:52" s="69" customFormat="1" ht="21" customHeight="1" x14ac:dyDescent="0.35">
      <c r="A45" s="11" t="s">
        <v>67</v>
      </c>
      <c r="B45" s="240">
        <f>B46+B47+B48</f>
        <v>6432000</v>
      </c>
      <c r="C45" s="254">
        <f t="shared" si="0"/>
        <v>68.586052463211772</v>
      </c>
      <c r="D45" s="240">
        <f>D46+D47+D48</f>
        <v>2946000</v>
      </c>
      <c r="E45" s="254">
        <f t="shared" si="1"/>
        <v>31.413947536788228</v>
      </c>
      <c r="F45" s="240">
        <f>F46+F47+F48</f>
        <v>9378000</v>
      </c>
      <c r="G45" s="258">
        <f t="shared" si="2"/>
        <v>2.1558620689655172</v>
      </c>
      <c r="H45" s="70"/>
      <c r="I45" s="12">
        <f>I46+I47+I48+I9+I10+I11+I12</f>
        <v>0</v>
      </c>
      <c r="J45" s="112">
        <f t="shared" si="25"/>
        <v>0</v>
      </c>
      <c r="K45" s="146">
        <f>K46+K47+K48</f>
        <v>1282206</v>
      </c>
      <c r="L45" s="147">
        <f t="shared" si="6"/>
        <v>0.13672488803582852</v>
      </c>
      <c r="M45" s="146">
        <f>M46+M47+M48</f>
        <v>536236</v>
      </c>
      <c r="N45" s="147">
        <f t="shared" si="7"/>
        <v>5.7180208999786736E-2</v>
      </c>
      <c r="O45" s="12">
        <f>O46+O47+O48</f>
        <v>2049794</v>
      </c>
      <c r="P45" s="112">
        <f t="shared" si="8"/>
        <v>0.21857474941352101</v>
      </c>
      <c r="Q45" s="12">
        <f>Q46+Q47+Q48</f>
        <v>839764</v>
      </c>
      <c r="R45" s="112">
        <f t="shared" si="9"/>
        <v>8.9546171891661336E-2</v>
      </c>
      <c r="S45" s="146">
        <f>S46+S47+S48</f>
        <v>0</v>
      </c>
      <c r="T45" s="147">
        <f t="shared" si="10"/>
        <v>0</v>
      </c>
      <c r="U45" s="146">
        <f>U46+U47+U48</f>
        <v>0</v>
      </c>
      <c r="V45" s="147">
        <f t="shared" si="11"/>
        <v>0</v>
      </c>
      <c r="W45" s="12">
        <f>W46+W47+W48</f>
        <v>1961346</v>
      </c>
      <c r="X45" s="112">
        <f t="shared" si="12"/>
        <v>0.20914331413947537</v>
      </c>
      <c r="Y45" s="12">
        <f>Y46+Y47+Y48</f>
        <v>993327</v>
      </c>
      <c r="Z45" s="112">
        <f t="shared" si="13"/>
        <v>0.10592098528470889</v>
      </c>
      <c r="AA45" s="146">
        <f>AA46+AA47+AA48</f>
        <v>1138654</v>
      </c>
      <c r="AB45" s="147">
        <f t="shared" si="14"/>
        <v>0.12141757304329281</v>
      </c>
      <c r="AC45" s="146">
        <f>AC46+AC47+AC48</f>
        <v>576673</v>
      </c>
      <c r="AD45" s="147">
        <f t="shared" si="15"/>
        <v>6.1492109191725312E-2</v>
      </c>
      <c r="AE45" s="12">
        <f>AE46+AE47+AE48</f>
        <v>6432000</v>
      </c>
      <c r="AF45" s="112">
        <f t="shared" si="4"/>
        <v>0.68586052463211777</v>
      </c>
      <c r="AG45" s="12">
        <f>AG46+AG47+AG48</f>
        <v>2946000</v>
      </c>
      <c r="AH45" s="112">
        <f t="shared" si="16"/>
        <v>0.31413947536788228</v>
      </c>
      <c r="AI45" s="155">
        <f t="shared" si="22"/>
        <v>9378000</v>
      </c>
      <c r="AJ45" s="134">
        <f t="shared" si="17"/>
        <v>0</v>
      </c>
      <c r="AK45" s="134">
        <f t="shared" si="18"/>
        <v>0</v>
      </c>
      <c r="AL45" s="134"/>
      <c r="AM45" s="121"/>
      <c r="AN45" s="122"/>
      <c r="AO45" s="122"/>
      <c r="AP45" s="122"/>
      <c r="AQ45" s="122"/>
      <c r="AR45" s="122"/>
      <c r="AS45" s="221"/>
      <c r="AT45" s="121"/>
      <c r="AU45" s="122"/>
      <c r="AV45" s="122"/>
      <c r="AW45" s="122"/>
      <c r="AX45" s="122"/>
      <c r="AY45" s="122"/>
      <c r="AZ45" s="122"/>
    </row>
    <row r="46" spans="1:52" ht="21" customHeight="1" outlineLevel="1" x14ac:dyDescent="0.35">
      <c r="A46" s="17" t="s">
        <v>68</v>
      </c>
      <c r="B46" s="242">
        <f>3200000-100000</f>
        <v>3100000</v>
      </c>
      <c r="C46" s="251">
        <f>B46/F46*100</f>
        <v>66.381156316916488</v>
      </c>
      <c r="D46" s="242">
        <f>1500000+300000+120000-300000-50000</f>
        <v>1570000</v>
      </c>
      <c r="E46" s="251">
        <f t="shared" si="1"/>
        <v>33.618843683083512</v>
      </c>
      <c r="F46" s="242">
        <f>B46+D46</f>
        <v>4670000</v>
      </c>
      <c r="G46" s="259">
        <f t="shared" si="2"/>
        <v>1.0735632183908046</v>
      </c>
      <c r="H46" s="23"/>
      <c r="I46" s="18">
        <f>AM46</f>
        <v>0</v>
      </c>
      <c r="J46" s="112">
        <f t="shared" si="25"/>
        <v>0</v>
      </c>
      <c r="K46" s="148">
        <f>AU46</f>
        <v>0</v>
      </c>
      <c r="L46" s="147">
        <f>K46/$F46</f>
        <v>0</v>
      </c>
      <c r="M46" s="154">
        <f>AN46</f>
        <v>0</v>
      </c>
      <c r="N46" s="147">
        <f>M46/$F46</f>
        <v>0</v>
      </c>
      <c r="O46" s="18">
        <f>AV46</f>
        <v>0</v>
      </c>
      <c r="P46" s="112">
        <f>O46/$F46</f>
        <v>0</v>
      </c>
      <c r="Q46" s="21">
        <f>AO46</f>
        <v>0</v>
      </c>
      <c r="R46" s="112">
        <f>Q46/$F46</f>
        <v>0</v>
      </c>
      <c r="S46" s="148">
        <f>AW46</f>
        <v>0</v>
      </c>
      <c r="T46" s="147">
        <f>S46/$F46</f>
        <v>0</v>
      </c>
      <c r="U46" s="154">
        <f>AP46</f>
        <v>0</v>
      </c>
      <c r="V46" s="147">
        <f>U46/$F46</f>
        <v>0</v>
      </c>
      <c r="W46" s="18">
        <f>AX46</f>
        <v>1961346</v>
      </c>
      <c r="X46" s="112">
        <f>W46/$F46</f>
        <v>0.41998843683083514</v>
      </c>
      <c r="Y46" s="21">
        <f>AQ46</f>
        <v>993327</v>
      </c>
      <c r="Z46" s="112">
        <f>Y46/$F46</f>
        <v>0.21270385438972161</v>
      </c>
      <c r="AA46" s="148">
        <f>AY46</f>
        <v>1138654</v>
      </c>
      <c r="AB46" s="147">
        <f>AA46/$F46</f>
        <v>0.24382312633832975</v>
      </c>
      <c r="AC46" s="154">
        <f>AR46</f>
        <v>576673</v>
      </c>
      <c r="AD46" s="147">
        <f>AC46/$F46</f>
        <v>0.12348458244111349</v>
      </c>
      <c r="AE46" s="18">
        <f>K46+O46+S46+W46+AA46</f>
        <v>3100000</v>
      </c>
      <c r="AF46" s="112">
        <f>AE46/$F46</f>
        <v>0.6638115631691649</v>
      </c>
      <c r="AG46" s="21">
        <f>I46+M46+Q46+U46+Y46+AC46</f>
        <v>1570000</v>
      </c>
      <c r="AH46" s="112">
        <f>AG46/$F46</f>
        <v>0.3361884368308351</v>
      </c>
      <c r="AI46" s="154">
        <f>AE46+AG46</f>
        <v>4670000</v>
      </c>
      <c r="AJ46" s="134">
        <f t="shared" si="17"/>
        <v>0</v>
      </c>
      <c r="AK46" s="134">
        <f t="shared" si="18"/>
        <v>0</v>
      </c>
      <c r="AL46" s="135"/>
      <c r="AM46" s="121"/>
      <c r="AN46" s="122"/>
      <c r="AO46" s="122"/>
      <c r="AP46" s="122"/>
      <c r="AQ46" s="122">
        <v>993327</v>
      </c>
      <c r="AR46" s="122">
        <v>576673</v>
      </c>
      <c r="AS46" s="221">
        <f t="shared" si="19"/>
        <v>1570000</v>
      </c>
      <c r="AT46" s="121"/>
      <c r="AU46" s="121"/>
      <c r="AV46" s="122"/>
      <c r="AW46" s="122"/>
      <c r="AX46" s="122">
        <v>1961346</v>
      </c>
      <c r="AY46" s="122">
        <v>1138654</v>
      </c>
      <c r="AZ46" s="122">
        <f t="shared" si="23"/>
        <v>3100000</v>
      </c>
    </row>
    <row r="47" spans="1:52" ht="21" customHeight="1" outlineLevel="1" x14ac:dyDescent="0.35">
      <c r="A47" s="17" t="s">
        <v>69</v>
      </c>
      <c r="B47" s="242">
        <f>2746000</f>
        <v>2746000</v>
      </c>
      <c r="C47" s="251">
        <f t="shared" si="0"/>
        <v>69.164497405071984</v>
      </c>
      <c r="D47" s="242">
        <f>1522245-98000-200000</f>
        <v>1224245</v>
      </c>
      <c r="E47" s="251">
        <f t="shared" si="1"/>
        <v>30.835502594928023</v>
      </c>
      <c r="F47" s="242">
        <f t="shared" si="46"/>
        <v>3970245</v>
      </c>
      <c r="G47" s="259">
        <f t="shared" si="2"/>
        <v>0.91269999999999996</v>
      </c>
      <c r="H47" s="23"/>
      <c r="I47" s="18">
        <f>AM47</f>
        <v>0</v>
      </c>
      <c r="J47" s="112">
        <f t="shared" si="25"/>
        <v>0</v>
      </c>
      <c r="K47" s="148">
        <f>AU47</f>
        <v>1045006</v>
      </c>
      <c r="L47" s="147">
        <f t="shared" si="6"/>
        <v>0.26320944929091278</v>
      </c>
      <c r="M47" s="154">
        <f>AN47</f>
        <v>465893</v>
      </c>
      <c r="N47" s="147">
        <f t="shared" si="7"/>
        <v>0.11734615873831464</v>
      </c>
      <c r="O47" s="18">
        <f>AV47</f>
        <v>1700994</v>
      </c>
      <c r="P47" s="112">
        <f t="shared" si="8"/>
        <v>0.42843552475980701</v>
      </c>
      <c r="Q47" s="21">
        <f>AO47</f>
        <v>758352</v>
      </c>
      <c r="R47" s="112">
        <f t="shared" si="9"/>
        <v>0.19100886721096558</v>
      </c>
      <c r="S47" s="148">
        <f>AW47</f>
        <v>0</v>
      </c>
      <c r="T47" s="147">
        <f t="shared" si="10"/>
        <v>0</v>
      </c>
      <c r="U47" s="154">
        <f>AP47</f>
        <v>0</v>
      </c>
      <c r="V47" s="147">
        <f t="shared" si="11"/>
        <v>0</v>
      </c>
      <c r="W47" s="18">
        <f>AX47</f>
        <v>0</v>
      </c>
      <c r="X47" s="112">
        <f t="shared" si="12"/>
        <v>0</v>
      </c>
      <c r="Y47" s="21">
        <f>AQ47</f>
        <v>0</v>
      </c>
      <c r="Z47" s="112">
        <f t="shared" si="13"/>
        <v>0</v>
      </c>
      <c r="AA47" s="148">
        <f>AY47</f>
        <v>0</v>
      </c>
      <c r="AB47" s="147">
        <f t="shared" si="14"/>
        <v>0</v>
      </c>
      <c r="AC47" s="154">
        <f>AR47</f>
        <v>0</v>
      </c>
      <c r="AD47" s="147">
        <f t="shared" si="15"/>
        <v>0</v>
      </c>
      <c r="AE47" s="18">
        <f t="shared" si="27"/>
        <v>2746000</v>
      </c>
      <c r="AF47" s="112">
        <f t="shared" si="4"/>
        <v>0.69164497405071979</v>
      </c>
      <c r="AG47" s="21">
        <f t="shared" si="28"/>
        <v>1224245</v>
      </c>
      <c r="AH47" s="112">
        <f t="shared" si="16"/>
        <v>0.30835502594928021</v>
      </c>
      <c r="AI47" s="154">
        <f t="shared" si="22"/>
        <v>3970245</v>
      </c>
      <c r="AJ47" s="134">
        <f t="shared" si="17"/>
        <v>0</v>
      </c>
      <c r="AK47" s="134">
        <f t="shared" si="18"/>
        <v>0</v>
      </c>
      <c r="AL47" s="135"/>
      <c r="AM47" s="121"/>
      <c r="AN47" s="122">
        <v>465893</v>
      </c>
      <c r="AO47" s="122">
        <v>758352</v>
      </c>
      <c r="AP47" s="121"/>
      <c r="AQ47" s="121"/>
      <c r="AR47" s="121"/>
      <c r="AS47" s="221">
        <f t="shared" si="19"/>
        <v>1224245</v>
      </c>
      <c r="AT47" s="121"/>
      <c r="AU47" s="122">
        <v>1045006</v>
      </c>
      <c r="AV47" s="122">
        <v>1700994</v>
      </c>
      <c r="AW47" s="122"/>
      <c r="AX47" s="122"/>
      <c r="AY47" s="121"/>
      <c r="AZ47" s="122">
        <f t="shared" si="23"/>
        <v>2746000</v>
      </c>
    </row>
    <row r="48" spans="1:52" ht="21" customHeight="1" outlineLevel="1" x14ac:dyDescent="0.35">
      <c r="A48" s="17" t="s">
        <v>70</v>
      </c>
      <c r="B48" s="242">
        <f>SUM(B49:B51)</f>
        <v>586000</v>
      </c>
      <c r="C48" s="251">
        <f>B48/F48*100</f>
        <v>79.430163130036391</v>
      </c>
      <c r="D48" s="242">
        <f>SUM(D49:D51)</f>
        <v>151755</v>
      </c>
      <c r="E48" s="251">
        <f t="shared" si="1"/>
        <v>20.569836869963606</v>
      </c>
      <c r="F48" s="242">
        <f>SUM(F49:F51)</f>
        <v>737755</v>
      </c>
      <c r="G48" s="259">
        <f t="shared" si="2"/>
        <v>0.16959885057471266</v>
      </c>
      <c r="H48" s="23"/>
      <c r="I48" s="12">
        <f>I50+I51+I49</f>
        <v>0</v>
      </c>
      <c r="J48" s="112">
        <f t="shared" si="25"/>
        <v>0</v>
      </c>
      <c r="K48" s="148">
        <f>SUM(K49:K51)</f>
        <v>237200</v>
      </c>
      <c r="L48" s="147">
        <f t="shared" si="6"/>
        <v>0.32151595041714393</v>
      </c>
      <c r="M48" s="148">
        <f>SUM(M49:M51)</f>
        <v>70343</v>
      </c>
      <c r="N48" s="147">
        <f t="shared" si="7"/>
        <v>9.534737141734044E-2</v>
      </c>
      <c r="O48" s="18">
        <f>SUM(O49:O51)</f>
        <v>348800</v>
      </c>
      <c r="P48" s="112">
        <f t="shared" si="8"/>
        <v>0.47278568088322004</v>
      </c>
      <c r="Q48" s="18">
        <f>Q50+Q51+Q49</f>
        <v>81412</v>
      </c>
      <c r="R48" s="112">
        <f t="shared" si="9"/>
        <v>0.11035099728229561</v>
      </c>
      <c r="S48" s="146">
        <f>S50+S51+S49</f>
        <v>0</v>
      </c>
      <c r="T48" s="147">
        <f t="shared" si="10"/>
        <v>0</v>
      </c>
      <c r="U48" s="146">
        <f>U50+U51+U49</f>
        <v>0</v>
      </c>
      <c r="V48" s="147">
        <f t="shared" si="11"/>
        <v>0</v>
      </c>
      <c r="W48" s="12">
        <f>W50+W51+W49</f>
        <v>0</v>
      </c>
      <c r="X48" s="112">
        <f t="shared" si="12"/>
        <v>0</v>
      </c>
      <c r="Y48" s="12">
        <f>Y50+Y51+Y49</f>
        <v>0</v>
      </c>
      <c r="Z48" s="112">
        <f t="shared" si="13"/>
        <v>0</v>
      </c>
      <c r="AA48" s="146">
        <f>AA50+AA51+AA49</f>
        <v>0</v>
      </c>
      <c r="AB48" s="147">
        <f t="shared" si="14"/>
        <v>0</v>
      </c>
      <c r="AC48" s="146">
        <f>AC50+AC51+AC49</f>
        <v>0</v>
      </c>
      <c r="AD48" s="147">
        <f t="shared" si="15"/>
        <v>0</v>
      </c>
      <c r="AE48" s="12">
        <f>SUM(AE49:AE51)</f>
        <v>586000</v>
      </c>
      <c r="AF48" s="112">
        <f t="shared" si="4"/>
        <v>0.79430163130036391</v>
      </c>
      <c r="AG48" s="13">
        <f t="shared" si="28"/>
        <v>151755</v>
      </c>
      <c r="AH48" s="112">
        <f t="shared" si="16"/>
        <v>0.20569836869963606</v>
      </c>
      <c r="AI48" s="154">
        <f t="shared" si="22"/>
        <v>737755</v>
      </c>
      <c r="AJ48" s="134">
        <f t="shared" si="17"/>
        <v>0</v>
      </c>
      <c r="AK48" s="134">
        <f t="shared" si="18"/>
        <v>0</v>
      </c>
      <c r="AL48" s="134"/>
      <c r="AM48" s="121"/>
      <c r="AN48" s="122">
        <v>70343</v>
      </c>
      <c r="AO48" s="122">
        <v>81372</v>
      </c>
      <c r="AP48" s="122"/>
      <c r="AQ48" s="121"/>
      <c r="AR48" s="121"/>
      <c r="AS48" s="221">
        <f t="shared" si="19"/>
        <v>151715</v>
      </c>
      <c r="AT48" s="121"/>
      <c r="AU48" s="122">
        <v>237200</v>
      </c>
      <c r="AV48" s="122">
        <v>348800</v>
      </c>
      <c r="AW48" s="122"/>
      <c r="AX48" s="121"/>
      <c r="AY48" s="121"/>
      <c r="AZ48" s="122">
        <f t="shared" si="23"/>
        <v>586000</v>
      </c>
    </row>
    <row r="49" spans="1:52" ht="21" customHeight="1" outlineLevel="2" x14ac:dyDescent="0.35">
      <c r="A49" s="34" t="s">
        <v>71</v>
      </c>
      <c r="B49" s="242">
        <v>150000</v>
      </c>
      <c r="C49" s="251">
        <f>B49/F49*100</f>
        <v>75</v>
      </c>
      <c r="D49" s="242">
        <v>50000</v>
      </c>
      <c r="E49" s="251">
        <f t="shared" si="1"/>
        <v>25</v>
      </c>
      <c r="F49" s="242">
        <f>B49+D49</f>
        <v>200000</v>
      </c>
      <c r="G49" s="259">
        <f t="shared" si="2"/>
        <v>4.5977011494252873E-2</v>
      </c>
      <c r="H49" s="23"/>
      <c r="I49" s="35">
        <v>0</v>
      </c>
      <c r="J49" s="112">
        <f t="shared" si="25"/>
        <v>0</v>
      </c>
      <c r="K49" s="158">
        <v>150000</v>
      </c>
      <c r="L49" s="147">
        <f t="shared" si="6"/>
        <v>0.75</v>
      </c>
      <c r="M49" s="159">
        <v>50000</v>
      </c>
      <c r="N49" s="147">
        <f t="shared" si="7"/>
        <v>0.25</v>
      </c>
      <c r="O49" s="37">
        <v>0</v>
      </c>
      <c r="P49" s="112">
        <f t="shared" si="8"/>
        <v>0</v>
      </c>
      <c r="Q49" s="38">
        <v>0</v>
      </c>
      <c r="R49" s="112">
        <f t="shared" si="9"/>
        <v>0</v>
      </c>
      <c r="S49" s="168">
        <v>0</v>
      </c>
      <c r="T49" s="147">
        <f>S49/$F49</f>
        <v>0</v>
      </c>
      <c r="U49" s="168">
        <v>0</v>
      </c>
      <c r="V49" s="147">
        <f>U49/$F49</f>
        <v>0</v>
      </c>
      <c r="W49" s="37">
        <v>0</v>
      </c>
      <c r="X49" s="112">
        <f>W49/$F49</f>
        <v>0</v>
      </c>
      <c r="Y49" s="37">
        <v>0</v>
      </c>
      <c r="Z49" s="112">
        <f>Y49/$F49</f>
        <v>0</v>
      </c>
      <c r="AA49" s="168">
        <f>AA51+AA9+AA50</f>
        <v>0</v>
      </c>
      <c r="AB49" s="147">
        <f>AA49/$F49</f>
        <v>0</v>
      </c>
      <c r="AC49" s="168">
        <f>AC51+AC9+AC50</f>
        <v>0</v>
      </c>
      <c r="AD49" s="147">
        <f>AC49/$F49</f>
        <v>0</v>
      </c>
      <c r="AE49" s="35">
        <f>K49+O49+S49+W49+AA49</f>
        <v>150000</v>
      </c>
      <c r="AF49" s="112">
        <f>AE49/$F49</f>
        <v>0.75</v>
      </c>
      <c r="AG49" s="36">
        <f>I49+M49+Q49+U49+Y49+AC49</f>
        <v>50000</v>
      </c>
      <c r="AH49" s="112">
        <f>AG49/$F49</f>
        <v>0.25</v>
      </c>
      <c r="AI49" s="159">
        <f>AE49+AG49</f>
        <v>200000</v>
      </c>
      <c r="AJ49" s="134">
        <f t="shared" si="17"/>
        <v>0</v>
      </c>
      <c r="AK49" s="134">
        <f t="shared" si="18"/>
        <v>0</v>
      </c>
      <c r="AL49" s="136"/>
      <c r="AM49" s="121"/>
      <c r="AN49" s="122">
        <v>50000</v>
      </c>
      <c r="AO49" s="122"/>
      <c r="AP49" s="122"/>
      <c r="AQ49" s="121"/>
      <c r="AR49" s="121"/>
      <c r="AS49" s="221">
        <f t="shared" si="19"/>
        <v>50000</v>
      </c>
      <c r="AT49" s="121"/>
      <c r="AU49" s="122">
        <v>150000</v>
      </c>
      <c r="AV49" s="122"/>
      <c r="AW49" s="122"/>
      <c r="AX49" s="121"/>
      <c r="AY49" s="121"/>
      <c r="AZ49" s="122">
        <f t="shared" si="23"/>
        <v>150000</v>
      </c>
    </row>
    <row r="50" spans="1:52" ht="21" customHeight="1" outlineLevel="2" x14ac:dyDescent="0.35">
      <c r="A50" s="34" t="s">
        <v>72</v>
      </c>
      <c r="B50" s="242">
        <v>87200</v>
      </c>
      <c r="C50" s="251">
        <f>B50/F50*100</f>
        <v>81.083845531554815</v>
      </c>
      <c r="D50" s="242">
        <v>20343</v>
      </c>
      <c r="E50" s="251">
        <f t="shared" si="1"/>
        <v>18.916154468445178</v>
      </c>
      <c r="F50" s="242">
        <f t="shared" si="46"/>
        <v>107543</v>
      </c>
      <c r="G50" s="259">
        <f t="shared" si="2"/>
        <v>2.4722528735632184E-2</v>
      </c>
      <c r="H50" s="23"/>
      <c r="I50" s="35">
        <f>AM50</f>
        <v>0</v>
      </c>
      <c r="J50" s="112">
        <f t="shared" si="25"/>
        <v>0</v>
      </c>
      <c r="K50" s="158">
        <f>AU50</f>
        <v>87200</v>
      </c>
      <c r="L50" s="147">
        <f t="shared" si="6"/>
        <v>0.81083845531554821</v>
      </c>
      <c r="M50" s="159">
        <f>AN50</f>
        <v>20343</v>
      </c>
      <c r="N50" s="147">
        <f t="shared" si="7"/>
        <v>0.18916154468445179</v>
      </c>
      <c r="O50" s="35">
        <f>AV50</f>
        <v>0</v>
      </c>
      <c r="P50" s="112">
        <f t="shared" si="8"/>
        <v>0</v>
      </c>
      <c r="Q50" s="36">
        <f>AO50</f>
        <v>0</v>
      </c>
      <c r="R50" s="112">
        <f t="shared" si="9"/>
        <v>0</v>
      </c>
      <c r="S50" s="158">
        <f>AW50</f>
        <v>0</v>
      </c>
      <c r="T50" s="147">
        <f t="shared" si="10"/>
        <v>0</v>
      </c>
      <c r="U50" s="159">
        <f>AP50</f>
        <v>0</v>
      </c>
      <c r="V50" s="147">
        <f t="shared" si="11"/>
        <v>0</v>
      </c>
      <c r="W50" s="35">
        <f>AX50</f>
        <v>0</v>
      </c>
      <c r="X50" s="112">
        <f t="shared" si="12"/>
        <v>0</v>
      </c>
      <c r="Y50" s="36">
        <f>AQ50</f>
        <v>0</v>
      </c>
      <c r="Z50" s="112">
        <f t="shared" si="13"/>
        <v>0</v>
      </c>
      <c r="AA50" s="158">
        <f>AY50</f>
        <v>0</v>
      </c>
      <c r="AB50" s="147">
        <f t="shared" si="14"/>
        <v>0</v>
      </c>
      <c r="AC50" s="159">
        <f>AR50</f>
        <v>0</v>
      </c>
      <c r="AD50" s="147">
        <f t="shared" si="15"/>
        <v>0</v>
      </c>
      <c r="AE50" s="35">
        <f t="shared" si="27"/>
        <v>87200</v>
      </c>
      <c r="AF50" s="112">
        <f t="shared" si="4"/>
        <v>0.81083845531554821</v>
      </c>
      <c r="AG50" s="36">
        <f t="shared" si="28"/>
        <v>20343</v>
      </c>
      <c r="AH50" s="112">
        <f t="shared" si="16"/>
        <v>0.18916154468445179</v>
      </c>
      <c r="AI50" s="159">
        <f t="shared" si="22"/>
        <v>107543</v>
      </c>
      <c r="AJ50" s="134">
        <f t="shared" si="17"/>
        <v>0</v>
      </c>
      <c r="AK50" s="134">
        <f t="shared" si="18"/>
        <v>0</v>
      </c>
      <c r="AL50" s="137"/>
      <c r="AM50" s="121"/>
      <c r="AN50" s="122">
        <v>20343</v>
      </c>
      <c r="AO50" s="122"/>
      <c r="AP50" s="122"/>
      <c r="AQ50" s="122"/>
      <c r="AR50" s="121"/>
      <c r="AS50" s="221">
        <f t="shared" si="19"/>
        <v>20343</v>
      </c>
      <c r="AT50" s="121"/>
      <c r="AU50" s="122">
        <v>87200</v>
      </c>
      <c r="AV50" s="122"/>
      <c r="AW50" s="122"/>
      <c r="AX50" s="122"/>
      <c r="AY50" s="121"/>
      <c r="AZ50" s="122">
        <f t="shared" si="23"/>
        <v>87200</v>
      </c>
    </row>
    <row r="51" spans="1:52" ht="21" customHeight="1" outlineLevel="2" x14ac:dyDescent="0.35">
      <c r="A51" s="34" t="s">
        <v>73</v>
      </c>
      <c r="B51" s="242">
        <v>348800</v>
      </c>
      <c r="C51" s="251">
        <f>B51/F51*100</f>
        <v>81.076306565135326</v>
      </c>
      <c r="D51" s="242">
        <f>81372+40</f>
        <v>81412</v>
      </c>
      <c r="E51" s="251">
        <f t="shared" si="1"/>
        <v>18.923693434864671</v>
      </c>
      <c r="F51" s="242">
        <f t="shared" si="46"/>
        <v>430212</v>
      </c>
      <c r="G51" s="259">
        <f t="shared" si="2"/>
        <v>9.8899310344827587E-2</v>
      </c>
      <c r="H51" s="23"/>
      <c r="I51" s="35">
        <f>AM51</f>
        <v>0</v>
      </c>
      <c r="J51" s="112">
        <f t="shared" si="25"/>
        <v>0</v>
      </c>
      <c r="K51" s="158">
        <f>AU51</f>
        <v>0</v>
      </c>
      <c r="L51" s="147">
        <f t="shared" si="6"/>
        <v>0</v>
      </c>
      <c r="M51" s="159">
        <f>AN51</f>
        <v>0</v>
      </c>
      <c r="N51" s="147">
        <f t="shared" si="7"/>
        <v>0</v>
      </c>
      <c r="O51" s="35">
        <f>AV51</f>
        <v>348800</v>
      </c>
      <c r="P51" s="112">
        <f t="shared" si="8"/>
        <v>0.81076306565135325</v>
      </c>
      <c r="Q51" s="36">
        <f>AO51</f>
        <v>81412</v>
      </c>
      <c r="R51" s="112">
        <f t="shared" si="9"/>
        <v>0.18923693434864672</v>
      </c>
      <c r="S51" s="158">
        <f>AW51</f>
        <v>0</v>
      </c>
      <c r="T51" s="147">
        <f t="shared" si="10"/>
        <v>0</v>
      </c>
      <c r="U51" s="159">
        <f>AP51</f>
        <v>0</v>
      </c>
      <c r="V51" s="147">
        <f t="shared" si="11"/>
        <v>0</v>
      </c>
      <c r="W51" s="35">
        <f>AX51</f>
        <v>0</v>
      </c>
      <c r="X51" s="112">
        <f t="shared" si="12"/>
        <v>0</v>
      </c>
      <c r="Y51" s="36">
        <f>AQ51</f>
        <v>0</v>
      </c>
      <c r="Z51" s="112">
        <f t="shared" si="13"/>
        <v>0</v>
      </c>
      <c r="AA51" s="158">
        <f>AY51</f>
        <v>0</v>
      </c>
      <c r="AB51" s="147">
        <f t="shared" si="14"/>
        <v>0</v>
      </c>
      <c r="AC51" s="159">
        <f>AR51</f>
        <v>0</v>
      </c>
      <c r="AD51" s="147">
        <f t="shared" si="15"/>
        <v>0</v>
      </c>
      <c r="AE51" s="35">
        <f t="shared" si="27"/>
        <v>348800</v>
      </c>
      <c r="AF51" s="112">
        <f t="shared" si="4"/>
        <v>0.81076306565135325</v>
      </c>
      <c r="AG51" s="36">
        <f t="shared" si="28"/>
        <v>81412</v>
      </c>
      <c r="AH51" s="112">
        <f t="shared" si="16"/>
        <v>0.18923693434864672</v>
      </c>
      <c r="AI51" s="159">
        <f t="shared" si="22"/>
        <v>430212</v>
      </c>
      <c r="AJ51" s="134">
        <f t="shared" si="17"/>
        <v>0</v>
      </c>
      <c r="AK51" s="134">
        <f t="shared" si="18"/>
        <v>0</v>
      </c>
      <c r="AL51" s="137"/>
      <c r="AM51" s="121"/>
      <c r="AN51" s="122"/>
      <c r="AO51" s="220">
        <f>81372+40</f>
        <v>81412</v>
      </c>
      <c r="AP51" s="122"/>
      <c r="AQ51" s="121"/>
      <c r="AR51" s="121"/>
      <c r="AS51" s="221">
        <f t="shared" si="19"/>
        <v>81412</v>
      </c>
      <c r="AT51" s="121"/>
      <c r="AU51" s="122"/>
      <c r="AV51" s="122">
        <v>348800</v>
      </c>
      <c r="AW51" s="122"/>
      <c r="AX51" s="122"/>
      <c r="AY51" s="122"/>
      <c r="AZ51" s="122">
        <f t="shared" si="23"/>
        <v>348800</v>
      </c>
    </row>
    <row r="52" spans="1:52" s="69" customFormat="1" ht="21" customHeight="1" x14ac:dyDescent="0.35">
      <c r="A52" s="11" t="s">
        <v>74</v>
      </c>
      <c r="B52" s="240">
        <f>SUM(B53:B54)</f>
        <v>1800000</v>
      </c>
      <c r="C52" s="254">
        <f t="shared" si="0"/>
        <v>65.573770491803273</v>
      </c>
      <c r="D52" s="241">
        <f>SUM(D53:D54)</f>
        <v>945000</v>
      </c>
      <c r="E52" s="254">
        <f t="shared" si="1"/>
        <v>34.42622950819672</v>
      </c>
      <c r="F52" s="241">
        <f>SUM(F53:F54)</f>
        <v>2745000</v>
      </c>
      <c r="G52" s="258">
        <f t="shared" si="2"/>
        <v>0.63103448275862073</v>
      </c>
      <c r="H52" s="70"/>
      <c r="I52" s="12">
        <f>I53+I54</f>
        <v>0</v>
      </c>
      <c r="J52" s="112">
        <f t="shared" si="25"/>
        <v>0</v>
      </c>
      <c r="K52" s="146">
        <f t="shared" ref="K52:AC52" si="48">K53+K54</f>
        <v>340000</v>
      </c>
      <c r="L52" s="147">
        <f t="shared" si="6"/>
        <v>0.12386156648451731</v>
      </c>
      <c r="M52" s="155">
        <f t="shared" si="48"/>
        <v>178500</v>
      </c>
      <c r="N52" s="147">
        <f t="shared" si="7"/>
        <v>6.502732240437159E-2</v>
      </c>
      <c r="O52" s="12">
        <f t="shared" si="48"/>
        <v>1460000</v>
      </c>
      <c r="P52" s="112">
        <f t="shared" si="8"/>
        <v>0.53187613843351544</v>
      </c>
      <c r="Q52" s="13">
        <f t="shared" si="48"/>
        <v>766500</v>
      </c>
      <c r="R52" s="112">
        <f t="shared" si="9"/>
        <v>0.27923497267759562</v>
      </c>
      <c r="S52" s="146">
        <f t="shared" si="48"/>
        <v>0</v>
      </c>
      <c r="T52" s="147">
        <f t="shared" si="10"/>
        <v>0</v>
      </c>
      <c r="U52" s="155">
        <f t="shared" si="48"/>
        <v>0</v>
      </c>
      <c r="V52" s="147">
        <f t="shared" si="11"/>
        <v>0</v>
      </c>
      <c r="W52" s="12">
        <f t="shared" si="48"/>
        <v>0</v>
      </c>
      <c r="X52" s="112">
        <f t="shared" si="12"/>
        <v>0</v>
      </c>
      <c r="Y52" s="13">
        <f t="shared" si="48"/>
        <v>0</v>
      </c>
      <c r="Z52" s="112">
        <f t="shared" si="13"/>
        <v>0</v>
      </c>
      <c r="AA52" s="146">
        <f t="shared" si="48"/>
        <v>0</v>
      </c>
      <c r="AB52" s="147">
        <f t="shared" si="14"/>
        <v>0</v>
      </c>
      <c r="AC52" s="155">
        <f t="shared" si="48"/>
        <v>0</v>
      </c>
      <c r="AD52" s="147">
        <f t="shared" si="15"/>
        <v>0</v>
      </c>
      <c r="AE52" s="12">
        <f t="shared" si="27"/>
        <v>1800000</v>
      </c>
      <c r="AF52" s="112">
        <f t="shared" si="4"/>
        <v>0.65573770491803274</v>
      </c>
      <c r="AG52" s="13">
        <f t="shared" si="28"/>
        <v>945000</v>
      </c>
      <c r="AH52" s="112">
        <f t="shared" si="16"/>
        <v>0.34426229508196721</v>
      </c>
      <c r="AI52" s="155">
        <f t="shared" si="22"/>
        <v>2745000</v>
      </c>
      <c r="AJ52" s="134">
        <f t="shared" si="17"/>
        <v>0</v>
      </c>
      <c r="AK52" s="134">
        <f t="shared" si="18"/>
        <v>0</v>
      </c>
      <c r="AL52" s="134"/>
      <c r="AM52" s="121"/>
      <c r="AN52" s="122">
        <v>178500</v>
      </c>
      <c r="AO52" s="122">
        <v>766500</v>
      </c>
      <c r="AP52" s="122"/>
      <c r="AQ52" s="121"/>
      <c r="AR52" s="121"/>
      <c r="AS52" s="221">
        <f t="shared" si="19"/>
        <v>945000</v>
      </c>
      <c r="AT52" s="121"/>
      <c r="AU52" s="122">
        <v>340000</v>
      </c>
      <c r="AV52" s="122">
        <v>1460000</v>
      </c>
      <c r="AW52" s="122"/>
      <c r="AX52" s="121"/>
      <c r="AY52" s="121"/>
      <c r="AZ52" s="122">
        <f t="shared" si="23"/>
        <v>1800000</v>
      </c>
    </row>
    <row r="53" spans="1:52" ht="21" customHeight="1" outlineLevel="1" x14ac:dyDescent="0.35">
      <c r="A53" s="39" t="s">
        <v>75</v>
      </c>
      <c r="B53" s="242">
        <v>1300000</v>
      </c>
      <c r="C53" s="251">
        <f t="shared" si="0"/>
        <v>65</v>
      </c>
      <c r="D53" s="242">
        <f>500000+200000</f>
        <v>700000</v>
      </c>
      <c r="E53" s="251">
        <f t="shared" si="1"/>
        <v>35</v>
      </c>
      <c r="F53" s="242">
        <f t="shared" si="46"/>
        <v>2000000</v>
      </c>
      <c r="G53" s="259">
        <f t="shared" si="2"/>
        <v>0.45977011494252873</v>
      </c>
      <c r="H53" s="23"/>
      <c r="I53" s="18">
        <f>AM53</f>
        <v>0</v>
      </c>
      <c r="J53" s="112">
        <f t="shared" si="25"/>
        <v>0</v>
      </c>
      <c r="K53" s="148">
        <f>AU53</f>
        <v>245556</v>
      </c>
      <c r="L53" s="147">
        <f t="shared" si="6"/>
        <v>0.122778</v>
      </c>
      <c r="M53" s="154">
        <f>AN53</f>
        <v>132222</v>
      </c>
      <c r="N53" s="147">
        <f t="shared" si="7"/>
        <v>6.6111000000000003E-2</v>
      </c>
      <c r="O53" s="18">
        <f>AV53</f>
        <v>1054444</v>
      </c>
      <c r="P53" s="112">
        <f t="shared" si="8"/>
        <v>0.52722199999999997</v>
      </c>
      <c r="Q53" s="21">
        <f>AO53</f>
        <v>567778</v>
      </c>
      <c r="R53" s="112">
        <f t="shared" si="9"/>
        <v>0.283889</v>
      </c>
      <c r="S53" s="148">
        <f>AW53</f>
        <v>0</v>
      </c>
      <c r="T53" s="147">
        <f t="shared" si="10"/>
        <v>0</v>
      </c>
      <c r="U53" s="154">
        <f>AP53</f>
        <v>0</v>
      </c>
      <c r="V53" s="147">
        <f t="shared" si="11"/>
        <v>0</v>
      </c>
      <c r="W53" s="18">
        <f>AX53</f>
        <v>0</v>
      </c>
      <c r="X53" s="112">
        <f t="shared" si="12"/>
        <v>0</v>
      </c>
      <c r="Y53" s="21">
        <f>AQ53</f>
        <v>0</v>
      </c>
      <c r="Z53" s="112">
        <f t="shared" si="13"/>
        <v>0</v>
      </c>
      <c r="AA53" s="148">
        <f>AY53</f>
        <v>0</v>
      </c>
      <c r="AB53" s="147">
        <f t="shared" si="14"/>
        <v>0</v>
      </c>
      <c r="AC53" s="154">
        <f>AR53</f>
        <v>0</v>
      </c>
      <c r="AD53" s="147">
        <f t="shared" si="15"/>
        <v>0</v>
      </c>
      <c r="AE53" s="18">
        <f t="shared" si="27"/>
        <v>1300000</v>
      </c>
      <c r="AF53" s="112">
        <f t="shared" si="4"/>
        <v>0.65</v>
      </c>
      <c r="AG53" s="21">
        <f t="shared" si="28"/>
        <v>700000</v>
      </c>
      <c r="AH53" s="112">
        <f t="shared" si="16"/>
        <v>0.35</v>
      </c>
      <c r="AI53" s="154">
        <f t="shared" si="22"/>
        <v>2000000</v>
      </c>
      <c r="AJ53" s="134">
        <f t="shared" si="17"/>
        <v>0</v>
      </c>
      <c r="AK53" s="134">
        <f t="shared" si="18"/>
        <v>0</v>
      </c>
      <c r="AL53" s="135"/>
      <c r="AM53" s="122"/>
      <c r="AN53" s="122">
        <v>132222</v>
      </c>
      <c r="AO53" s="122">
        <f>567775+3</f>
        <v>567778</v>
      </c>
      <c r="AP53" s="122"/>
      <c r="AQ53" s="121"/>
      <c r="AR53" s="121"/>
      <c r="AS53" s="221">
        <f t="shared" si="19"/>
        <v>700000</v>
      </c>
      <c r="AT53" s="121"/>
      <c r="AU53" s="122">
        <v>245556</v>
      </c>
      <c r="AV53" s="122">
        <v>1054444</v>
      </c>
      <c r="AW53" s="122"/>
      <c r="AX53" s="122"/>
      <c r="AY53" s="122"/>
      <c r="AZ53" s="122">
        <f t="shared" si="23"/>
        <v>1300000</v>
      </c>
    </row>
    <row r="54" spans="1:52" ht="33" customHeight="1" outlineLevel="1" x14ac:dyDescent="0.35">
      <c r="A54" s="39" t="s">
        <v>76</v>
      </c>
      <c r="B54" s="242">
        <v>500000</v>
      </c>
      <c r="C54" s="251">
        <f t="shared" si="0"/>
        <v>67.114093959731548</v>
      </c>
      <c r="D54" s="242">
        <f>147000+98000</f>
        <v>245000</v>
      </c>
      <c r="E54" s="251">
        <f t="shared" si="1"/>
        <v>32.885906040268459</v>
      </c>
      <c r="F54" s="242">
        <f t="shared" si="46"/>
        <v>745000</v>
      </c>
      <c r="G54" s="259">
        <f t="shared" si="2"/>
        <v>0.17126436781609194</v>
      </c>
      <c r="H54" s="23"/>
      <c r="I54" s="18">
        <f>AM54</f>
        <v>0</v>
      </c>
      <c r="J54" s="113">
        <f t="shared" si="25"/>
        <v>0</v>
      </c>
      <c r="K54" s="150">
        <f>AU54</f>
        <v>94444</v>
      </c>
      <c r="L54" s="151">
        <f t="shared" si="6"/>
        <v>0.12677046979865772</v>
      </c>
      <c r="M54" s="160">
        <f>AN54</f>
        <v>46278</v>
      </c>
      <c r="N54" s="151">
        <f t="shared" si="7"/>
        <v>6.2118120805369124E-2</v>
      </c>
      <c r="O54" s="26">
        <f>AV54</f>
        <v>405556</v>
      </c>
      <c r="P54" s="113">
        <f t="shared" si="8"/>
        <v>0.54437046979865766</v>
      </c>
      <c r="Q54" s="29">
        <f>AO54</f>
        <v>198722</v>
      </c>
      <c r="R54" s="113">
        <f t="shared" si="9"/>
        <v>0.26674093959731543</v>
      </c>
      <c r="S54" s="150">
        <f>AW54</f>
        <v>0</v>
      </c>
      <c r="T54" s="151">
        <f t="shared" si="10"/>
        <v>0</v>
      </c>
      <c r="U54" s="160">
        <f>AP54</f>
        <v>0</v>
      </c>
      <c r="V54" s="151">
        <f t="shared" si="11"/>
        <v>0</v>
      </c>
      <c r="W54" s="26">
        <f>AX54</f>
        <v>0</v>
      </c>
      <c r="X54" s="113">
        <f t="shared" si="12"/>
        <v>0</v>
      </c>
      <c r="Y54" s="29">
        <f>AQ54</f>
        <v>0</v>
      </c>
      <c r="Z54" s="113">
        <f t="shared" si="13"/>
        <v>0</v>
      </c>
      <c r="AA54" s="150">
        <f>AY54</f>
        <v>0</v>
      </c>
      <c r="AB54" s="151">
        <f t="shared" si="14"/>
        <v>0</v>
      </c>
      <c r="AC54" s="160">
        <f>AR54</f>
        <v>0</v>
      </c>
      <c r="AD54" s="151">
        <f t="shared" si="15"/>
        <v>0</v>
      </c>
      <c r="AE54" s="26">
        <f t="shared" si="27"/>
        <v>500000</v>
      </c>
      <c r="AF54" s="113">
        <f t="shared" si="4"/>
        <v>0.67114093959731547</v>
      </c>
      <c r="AG54" s="29">
        <f t="shared" si="28"/>
        <v>245000</v>
      </c>
      <c r="AH54" s="113">
        <f t="shared" si="16"/>
        <v>0.32885906040268459</v>
      </c>
      <c r="AI54" s="154">
        <f t="shared" si="22"/>
        <v>745000</v>
      </c>
      <c r="AJ54" s="134">
        <f t="shared" si="17"/>
        <v>0</v>
      </c>
      <c r="AK54" s="134">
        <f t="shared" si="18"/>
        <v>0</v>
      </c>
      <c r="AL54" s="135"/>
      <c r="AM54" s="122"/>
      <c r="AN54" s="122">
        <v>46278</v>
      </c>
      <c r="AO54" s="122">
        <v>198722</v>
      </c>
      <c r="AP54" s="122"/>
      <c r="AQ54" s="121"/>
      <c r="AR54" s="121"/>
      <c r="AS54" s="221">
        <f t="shared" si="19"/>
        <v>245000</v>
      </c>
      <c r="AT54" s="121"/>
      <c r="AU54" s="122">
        <v>94444</v>
      </c>
      <c r="AV54" s="122">
        <v>405556</v>
      </c>
      <c r="AW54" s="122"/>
      <c r="AX54" s="122"/>
      <c r="AY54" s="122"/>
      <c r="AZ54" s="122">
        <f t="shared" si="23"/>
        <v>500000</v>
      </c>
    </row>
    <row r="55" spans="1:52" ht="21" customHeight="1" x14ac:dyDescent="0.35">
      <c r="A55" s="33" t="s">
        <v>77</v>
      </c>
      <c r="B55" s="247">
        <f>B56</f>
        <v>0</v>
      </c>
      <c r="C55" s="248">
        <f t="shared" si="0"/>
        <v>0</v>
      </c>
      <c r="D55" s="245">
        <f>D56</f>
        <v>9780000</v>
      </c>
      <c r="E55" s="255">
        <f t="shared" si="1"/>
        <v>100</v>
      </c>
      <c r="F55" s="245">
        <f>F56</f>
        <v>9780000</v>
      </c>
      <c r="G55" s="261">
        <f t="shared" si="2"/>
        <v>2.2482758620689656</v>
      </c>
      <c r="H55" s="14"/>
      <c r="I55" s="40">
        <f>I56</f>
        <v>1178870</v>
      </c>
      <c r="J55" s="112">
        <f t="shared" si="25"/>
        <v>0.12053885480572597</v>
      </c>
      <c r="K55" s="161">
        <f t="shared" ref="K55:AC55" si="49">K56</f>
        <v>0</v>
      </c>
      <c r="L55" s="147">
        <f t="shared" si="6"/>
        <v>0</v>
      </c>
      <c r="M55" s="162">
        <f t="shared" si="49"/>
        <v>2987072</v>
      </c>
      <c r="N55" s="147">
        <f t="shared" si="7"/>
        <v>0.30542658486707569</v>
      </c>
      <c r="O55" s="41">
        <f t="shared" si="49"/>
        <v>0</v>
      </c>
      <c r="P55" s="112">
        <f t="shared" si="8"/>
        <v>0</v>
      </c>
      <c r="Q55" s="42">
        <f t="shared" si="49"/>
        <v>2987072</v>
      </c>
      <c r="R55" s="112">
        <f t="shared" si="9"/>
        <v>0.30542658486707569</v>
      </c>
      <c r="S55" s="161">
        <f t="shared" si="49"/>
        <v>0</v>
      </c>
      <c r="T55" s="147">
        <f t="shared" si="10"/>
        <v>0</v>
      </c>
      <c r="U55" s="162">
        <f t="shared" si="49"/>
        <v>2626986</v>
      </c>
      <c r="V55" s="147">
        <f t="shared" si="11"/>
        <v>0.26860797546012272</v>
      </c>
      <c r="W55" s="41">
        <f t="shared" si="49"/>
        <v>0</v>
      </c>
      <c r="X55" s="112">
        <f t="shared" si="12"/>
        <v>0</v>
      </c>
      <c r="Y55" s="42">
        <f t="shared" si="49"/>
        <v>0</v>
      </c>
      <c r="Z55" s="112">
        <f t="shared" si="13"/>
        <v>0</v>
      </c>
      <c r="AA55" s="161">
        <f t="shared" si="49"/>
        <v>0</v>
      </c>
      <c r="AB55" s="147">
        <f t="shared" si="14"/>
        <v>0</v>
      </c>
      <c r="AC55" s="162">
        <f t="shared" si="49"/>
        <v>0</v>
      </c>
      <c r="AD55" s="147">
        <f t="shared" si="15"/>
        <v>0</v>
      </c>
      <c r="AE55" s="41">
        <f t="shared" si="27"/>
        <v>0</v>
      </c>
      <c r="AF55" s="112">
        <f t="shared" si="4"/>
        <v>0</v>
      </c>
      <c r="AG55" s="42">
        <f t="shared" si="28"/>
        <v>9780000</v>
      </c>
      <c r="AH55" s="112">
        <f t="shared" si="16"/>
        <v>1</v>
      </c>
      <c r="AI55" s="170">
        <f t="shared" si="22"/>
        <v>9780000</v>
      </c>
      <c r="AJ55" s="134">
        <f t="shared" si="17"/>
        <v>0</v>
      </c>
      <c r="AK55" s="134">
        <f t="shared" si="18"/>
        <v>0</v>
      </c>
      <c r="AL55" s="138"/>
      <c r="AM55" s="122"/>
      <c r="AN55" s="122"/>
      <c r="AO55" s="122"/>
      <c r="AP55" s="122"/>
      <c r="AQ55" s="122"/>
      <c r="AR55" s="122"/>
      <c r="AS55" s="221"/>
      <c r="AT55" s="122"/>
      <c r="AU55" s="122"/>
      <c r="AV55" s="122"/>
      <c r="AW55" s="122"/>
      <c r="AX55" s="122"/>
      <c r="AY55" s="122"/>
      <c r="AZ55" s="122">
        <f t="shared" si="23"/>
        <v>0</v>
      </c>
    </row>
    <row r="56" spans="1:52" s="71" customFormat="1" ht="29.25" customHeight="1" outlineLevel="1" x14ac:dyDescent="0.35">
      <c r="A56" s="11" t="s">
        <v>78</v>
      </c>
      <c r="B56" s="249">
        <v>0</v>
      </c>
      <c r="C56" s="250">
        <f t="shared" si="0"/>
        <v>0</v>
      </c>
      <c r="D56" s="244">
        <f>8779591+1000000+409</f>
        <v>9780000</v>
      </c>
      <c r="E56" s="252">
        <f t="shared" si="1"/>
        <v>100</v>
      </c>
      <c r="F56" s="244">
        <f t="shared" si="46"/>
        <v>9780000</v>
      </c>
      <c r="G56" s="262">
        <f t="shared" si="2"/>
        <v>2.2482758620689656</v>
      </c>
      <c r="H56" s="70"/>
      <c r="I56" s="110">
        <f>AM56</f>
        <v>1178870</v>
      </c>
      <c r="J56" s="113">
        <f t="shared" si="25"/>
        <v>0.12053885480572597</v>
      </c>
      <c r="K56" s="163">
        <f>AU56</f>
        <v>0</v>
      </c>
      <c r="L56" s="151">
        <f t="shared" si="6"/>
        <v>0</v>
      </c>
      <c r="M56" s="164">
        <f>AN56</f>
        <v>2987072</v>
      </c>
      <c r="N56" s="151">
        <f t="shared" si="7"/>
        <v>0.30542658486707569</v>
      </c>
      <c r="O56" s="110">
        <f>AV56</f>
        <v>0</v>
      </c>
      <c r="P56" s="113">
        <f t="shared" si="8"/>
        <v>0</v>
      </c>
      <c r="Q56" s="116">
        <f>AO56</f>
        <v>2987072</v>
      </c>
      <c r="R56" s="113">
        <f t="shared" si="9"/>
        <v>0.30542658486707569</v>
      </c>
      <c r="S56" s="163">
        <f>AW56</f>
        <v>0</v>
      </c>
      <c r="T56" s="151">
        <f t="shared" si="10"/>
        <v>0</v>
      </c>
      <c r="U56" s="164">
        <f>AP56</f>
        <v>2626986</v>
      </c>
      <c r="V56" s="151">
        <f t="shared" si="11"/>
        <v>0.26860797546012272</v>
      </c>
      <c r="W56" s="110">
        <f>AX56</f>
        <v>0</v>
      </c>
      <c r="X56" s="113">
        <f t="shared" si="12"/>
        <v>0</v>
      </c>
      <c r="Y56" s="116">
        <f>AQ56</f>
        <v>0</v>
      </c>
      <c r="Z56" s="113">
        <f t="shared" si="13"/>
        <v>0</v>
      </c>
      <c r="AA56" s="163">
        <f>AY56</f>
        <v>0</v>
      </c>
      <c r="AB56" s="151">
        <f t="shared" si="14"/>
        <v>0</v>
      </c>
      <c r="AC56" s="164">
        <f>AR56</f>
        <v>0</v>
      </c>
      <c r="AD56" s="151">
        <f t="shared" si="15"/>
        <v>0</v>
      </c>
      <c r="AE56" s="110">
        <f t="shared" si="27"/>
        <v>0</v>
      </c>
      <c r="AF56" s="113">
        <f t="shared" si="4"/>
        <v>0</v>
      </c>
      <c r="AG56" s="116">
        <f t="shared" si="28"/>
        <v>9780000</v>
      </c>
      <c r="AH56" s="113">
        <f t="shared" si="16"/>
        <v>1</v>
      </c>
      <c r="AI56" s="164">
        <f t="shared" si="22"/>
        <v>9780000</v>
      </c>
      <c r="AJ56" s="134">
        <f t="shared" si="17"/>
        <v>0</v>
      </c>
      <c r="AK56" s="134">
        <f t="shared" si="18"/>
        <v>0</v>
      </c>
      <c r="AL56" s="138"/>
      <c r="AM56" s="125">
        <f>1178461+409</f>
        <v>1178870</v>
      </c>
      <c r="AN56" s="125">
        <v>2987072</v>
      </c>
      <c r="AO56" s="125">
        <v>2987072</v>
      </c>
      <c r="AP56" s="125">
        <v>2626986</v>
      </c>
      <c r="AQ56" s="125"/>
      <c r="AR56" s="125"/>
      <c r="AS56" s="221">
        <f t="shared" si="19"/>
        <v>9780000</v>
      </c>
      <c r="AT56" s="126"/>
      <c r="AU56" s="125"/>
      <c r="AV56" s="125"/>
      <c r="AW56" s="125"/>
      <c r="AX56" s="125"/>
      <c r="AY56" s="125"/>
      <c r="AZ56" s="122">
        <f t="shared" si="23"/>
        <v>0</v>
      </c>
    </row>
    <row r="57" spans="1:52" s="71" customFormat="1" ht="21" customHeight="1" x14ac:dyDescent="0.35">
      <c r="A57" s="11" t="s">
        <v>79</v>
      </c>
      <c r="B57" s="240">
        <f>SUM(B58:B60)</f>
        <v>6540000</v>
      </c>
      <c r="C57" s="254">
        <f t="shared" si="0"/>
        <v>71.718390174361218</v>
      </c>
      <c r="D57" s="240">
        <f>SUM(D58:D60)</f>
        <v>2579000</v>
      </c>
      <c r="E57" s="254">
        <f t="shared" si="1"/>
        <v>28.281609825638775</v>
      </c>
      <c r="F57" s="240">
        <f>SUM(F58:F60)</f>
        <v>9119000</v>
      </c>
      <c r="G57" s="258">
        <f t="shared" si="2"/>
        <v>2.0963218390804599</v>
      </c>
      <c r="H57" s="70"/>
      <c r="I57" s="12">
        <f>I58+I59+I60</f>
        <v>113854</v>
      </c>
      <c r="J57" s="112">
        <f t="shared" si="25"/>
        <v>1.2485360236868078E-2</v>
      </c>
      <c r="K57" s="146">
        <f t="shared" ref="K57:AC57" si="50">K58+K59+K60</f>
        <v>1220930</v>
      </c>
      <c r="L57" s="147">
        <f t="shared" si="6"/>
        <v>0.13388858427459152</v>
      </c>
      <c r="M57" s="155">
        <f t="shared" si="50"/>
        <v>504643</v>
      </c>
      <c r="N57" s="147">
        <f t="shared" si="7"/>
        <v>5.5339730233578244E-2</v>
      </c>
      <c r="O57" s="12">
        <f t="shared" si="50"/>
        <v>1369154</v>
      </c>
      <c r="P57" s="112">
        <f t="shared" si="8"/>
        <v>0.15014299813576051</v>
      </c>
      <c r="Q57" s="13">
        <f t="shared" si="50"/>
        <v>504643</v>
      </c>
      <c r="R57" s="112">
        <f t="shared" si="9"/>
        <v>5.5339730233578244E-2</v>
      </c>
      <c r="S57" s="146">
        <f t="shared" si="50"/>
        <v>1372906</v>
      </c>
      <c r="T57" s="147">
        <f t="shared" si="10"/>
        <v>0.1505544467595131</v>
      </c>
      <c r="U57" s="155">
        <f t="shared" si="50"/>
        <v>506025</v>
      </c>
      <c r="V57" s="147">
        <f t="shared" si="11"/>
        <v>5.5491281938809082E-2</v>
      </c>
      <c r="W57" s="12">
        <f t="shared" si="50"/>
        <v>1369154</v>
      </c>
      <c r="X57" s="112">
        <f t="shared" si="12"/>
        <v>0.15014299813576051</v>
      </c>
      <c r="Y57" s="13">
        <f t="shared" si="50"/>
        <v>504643</v>
      </c>
      <c r="Z57" s="112">
        <f t="shared" si="13"/>
        <v>5.5339730233578244E-2</v>
      </c>
      <c r="AA57" s="146">
        <f t="shared" si="50"/>
        <v>1207856</v>
      </c>
      <c r="AB57" s="147">
        <f t="shared" si="14"/>
        <v>0.13245487443798662</v>
      </c>
      <c r="AC57" s="155">
        <f t="shared" si="50"/>
        <v>445192</v>
      </c>
      <c r="AD57" s="147">
        <f t="shared" si="15"/>
        <v>4.8820265379975872E-2</v>
      </c>
      <c r="AE57" s="12">
        <f t="shared" si="27"/>
        <v>6540000</v>
      </c>
      <c r="AF57" s="112">
        <f t="shared" si="4"/>
        <v>0.71718390174361224</v>
      </c>
      <c r="AG57" s="13">
        <f t="shared" si="28"/>
        <v>2579000</v>
      </c>
      <c r="AH57" s="112">
        <f t="shared" si="16"/>
        <v>0.28281609825638776</v>
      </c>
      <c r="AI57" s="155">
        <f t="shared" si="22"/>
        <v>9119000</v>
      </c>
      <c r="AJ57" s="134">
        <f t="shared" si="17"/>
        <v>0</v>
      </c>
      <c r="AK57" s="134">
        <f t="shared" si="18"/>
        <v>0</v>
      </c>
      <c r="AL57" s="134"/>
      <c r="AM57" s="125">
        <v>114754</v>
      </c>
      <c r="AN57" s="125">
        <v>504643</v>
      </c>
      <c r="AO57" s="125">
        <v>504643</v>
      </c>
      <c r="AP57" s="125">
        <v>506025</v>
      </c>
      <c r="AQ57" s="125">
        <v>504643</v>
      </c>
      <c r="AR57" s="125">
        <v>445192</v>
      </c>
      <c r="AS57" s="221">
        <f t="shared" si="19"/>
        <v>2579900</v>
      </c>
      <c r="AT57" s="126"/>
      <c r="AU57" s="125"/>
      <c r="AV57" s="125"/>
      <c r="AW57" s="125"/>
      <c r="AX57" s="125"/>
      <c r="AY57" s="125"/>
      <c r="AZ57" s="122"/>
    </row>
    <row r="58" spans="1:52" s="44" customFormat="1" ht="21" customHeight="1" outlineLevel="1" x14ac:dyDescent="0.35">
      <c r="A58" s="31" t="s">
        <v>80</v>
      </c>
      <c r="B58" s="242">
        <f>6000000+139898+102</f>
        <v>6140000</v>
      </c>
      <c r="C58" s="251">
        <f t="shared" si="0"/>
        <v>70.42091983025577</v>
      </c>
      <c r="D58" s="242">
        <f>1347840-147000+800000+279060+300000-900</f>
        <v>2579000</v>
      </c>
      <c r="E58" s="251">
        <f t="shared" si="1"/>
        <v>29.579080169744238</v>
      </c>
      <c r="F58" s="242">
        <f t="shared" si="46"/>
        <v>8719000</v>
      </c>
      <c r="G58" s="259">
        <f t="shared" si="2"/>
        <v>2.0043678160919542</v>
      </c>
      <c r="H58" s="23"/>
      <c r="I58" s="18">
        <f>AM58</f>
        <v>113854</v>
      </c>
      <c r="J58" s="112">
        <f t="shared" si="25"/>
        <v>1.305814887028329E-2</v>
      </c>
      <c r="K58" s="148">
        <f>AU58</f>
        <v>1159235</v>
      </c>
      <c r="L58" s="147">
        <f t="shared" si="6"/>
        <v>0.1329550407156784</v>
      </c>
      <c r="M58" s="154">
        <f>AN58</f>
        <v>504643</v>
      </c>
      <c r="N58" s="147">
        <f t="shared" si="7"/>
        <v>5.7878541117100585E-2</v>
      </c>
      <c r="O58" s="18">
        <f>AV58</f>
        <v>1282073</v>
      </c>
      <c r="P58" s="112">
        <f t="shared" si="8"/>
        <v>0.14704358297969949</v>
      </c>
      <c r="Q58" s="21">
        <f>AO58</f>
        <v>504643</v>
      </c>
      <c r="R58" s="112">
        <f t="shared" si="9"/>
        <v>5.7878541117100585E-2</v>
      </c>
      <c r="S58" s="148">
        <f>AW58</f>
        <v>1285585</v>
      </c>
      <c r="T58" s="147">
        <f t="shared" si="10"/>
        <v>0.14744638146576441</v>
      </c>
      <c r="U58" s="154">
        <f>AP58</f>
        <v>506025</v>
      </c>
      <c r="V58" s="147">
        <f t="shared" si="11"/>
        <v>5.803704553274458E-2</v>
      </c>
      <c r="W58" s="18">
        <f>AX58</f>
        <v>1282073</v>
      </c>
      <c r="X58" s="112">
        <f t="shared" si="12"/>
        <v>0.14704358297969949</v>
      </c>
      <c r="Y58" s="21">
        <f>AQ58</f>
        <v>504643</v>
      </c>
      <c r="Z58" s="112">
        <f t="shared" si="13"/>
        <v>5.7878541117100585E-2</v>
      </c>
      <c r="AA58" s="148">
        <f>AY58</f>
        <v>1131034</v>
      </c>
      <c r="AB58" s="147">
        <f t="shared" si="14"/>
        <v>0.12972061016171579</v>
      </c>
      <c r="AC58" s="154">
        <f>AR58</f>
        <v>445192</v>
      </c>
      <c r="AD58" s="147">
        <f t="shared" si="15"/>
        <v>5.1059983943112744E-2</v>
      </c>
      <c r="AE58" s="18">
        <f t="shared" si="27"/>
        <v>6140000</v>
      </c>
      <c r="AF58" s="112">
        <f t="shared" si="4"/>
        <v>0.70420919830255768</v>
      </c>
      <c r="AG58" s="21">
        <f t="shared" si="28"/>
        <v>2579000</v>
      </c>
      <c r="AH58" s="112">
        <f t="shared" si="16"/>
        <v>0.29579080169744237</v>
      </c>
      <c r="AI58" s="154">
        <f t="shared" si="22"/>
        <v>8719000</v>
      </c>
      <c r="AJ58" s="134">
        <f t="shared" si="17"/>
        <v>0</v>
      </c>
      <c r="AK58" s="134">
        <f t="shared" si="18"/>
        <v>0</v>
      </c>
      <c r="AL58" s="135"/>
      <c r="AM58" s="222">
        <f>114754-900</f>
        <v>113854</v>
      </c>
      <c r="AN58" s="125">
        <v>504643</v>
      </c>
      <c r="AO58" s="125">
        <v>504643</v>
      </c>
      <c r="AP58" s="125">
        <v>506025</v>
      </c>
      <c r="AQ58" s="125">
        <v>504643</v>
      </c>
      <c r="AR58" s="125">
        <v>445192</v>
      </c>
      <c r="AS58" s="221">
        <f t="shared" si="19"/>
        <v>2579000</v>
      </c>
      <c r="AT58" s="126"/>
      <c r="AU58" s="222">
        <f>1159134+101</f>
        <v>1159235</v>
      </c>
      <c r="AV58" s="125">
        <v>1282073</v>
      </c>
      <c r="AW58" s="125">
        <v>1285585</v>
      </c>
      <c r="AX58" s="125">
        <v>1282073</v>
      </c>
      <c r="AY58" s="125">
        <v>1131034</v>
      </c>
      <c r="AZ58" s="122">
        <f t="shared" si="23"/>
        <v>6140000</v>
      </c>
    </row>
    <row r="59" spans="1:52" s="44" customFormat="1" ht="21" customHeight="1" outlineLevel="1" x14ac:dyDescent="0.35">
      <c r="A59" s="31" t="s">
        <v>81</v>
      </c>
      <c r="B59" s="242">
        <f>200000+100000</f>
        <v>300000</v>
      </c>
      <c r="C59" s="251">
        <f t="shared" si="0"/>
        <v>100</v>
      </c>
      <c r="D59" s="242">
        <v>0</v>
      </c>
      <c r="E59" s="251">
        <v>0</v>
      </c>
      <c r="F59" s="242">
        <f>ROUNDUP(B59+D59,0)</f>
        <v>300000</v>
      </c>
      <c r="G59" s="259">
        <f t="shared" si="2"/>
        <v>6.8965517241379309E-2</v>
      </c>
      <c r="H59" s="45"/>
      <c r="I59" s="18">
        <f>AM59</f>
        <v>0</v>
      </c>
      <c r="J59" s="112">
        <f t="shared" si="25"/>
        <v>0</v>
      </c>
      <c r="K59" s="148">
        <f>AU59</f>
        <v>48582</v>
      </c>
      <c r="L59" s="147">
        <f t="shared" si="6"/>
        <v>0.16194</v>
      </c>
      <c r="M59" s="154">
        <f>AN59</f>
        <v>0</v>
      </c>
      <c r="N59" s="147">
        <f t="shared" si="7"/>
        <v>0</v>
      </c>
      <c r="O59" s="18">
        <f>AV59</f>
        <v>64716</v>
      </c>
      <c r="P59" s="112">
        <f t="shared" si="8"/>
        <v>0.21572</v>
      </c>
      <c r="Q59" s="21">
        <f>AO59</f>
        <v>0</v>
      </c>
      <c r="R59" s="112">
        <f t="shared" si="9"/>
        <v>0</v>
      </c>
      <c r="S59" s="148">
        <f>AW59</f>
        <v>64894</v>
      </c>
      <c r="T59" s="147">
        <f t="shared" si="10"/>
        <v>0.21631333333333333</v>
      </c>
      <c r="U59" s="154">
        <f>AP59</f>
        <v>0</v>
      </c>
      <c r="V59" s="147">
        <f t="shared" si="11"/>
        <v>0</v>
      </c>
      <c r="W59" s="18">
        <f>AX59</f>
        <v>64716</v>
      </c>
      <c r="X59" s="112">
        <f t="shared" si="12"/>
        <v>0.21572</v>
      </c>
      <c r="Y59" s="21">
        <f>AQ59</f>
        <v>0</v>
      </c>
      <c r="Z59" s="112">
        <f t="shared" si="13"/>
        <v>0</v>
      </c>
      <c r="AA59" s="148">
        <f>AY59</f>
        <v>57092</v>
      </c>
      <c r="AB59" s="147">
        <f t="shared" si="14"/>
        <v>0.19030666666666668</v>
      </c>
      <c r="AC59" s="154">
        <f>AR59</f>
        <v>0</v>
      </c>
      <c r="AD59" s="147">
        <f t="shared" si="15"/>
        <v>0</v>
      </c>
      <c r="AE59" s="18">
        <f t="shared" si="27"/>
        <v>300000</v>
      </c>
      <c r="AF59" s="112">
        <f t="shared" si="4"/>
        <v>1</v>
      </c>
      <c r="AG59" s="21">
        <f t="shared" si="28"/>
        <v>0</v>
      </c>
      <c r="AH59" s="112">
        <f t="shared" si="16"/>
        <v>0</v>
      </c>
      <c r="AI59" s="154">
        <f t="shared" si="22"/>
        <v>300000</v>
      </c>
      <c r="AJ59" s="134">
        <f t="shared" si="17"/>
        <v>0</v>
      </c>
      <c r="AK59" s="134">
        <f t="shared" si="18"/>
        <v>0</v>
      </c>
      <c r="AL59" s="135"/>
      <c r="AM59" s="126"/>
      <c r="AN59" s="126"/>
      <c r="AO59" s="126"/>
      <c r="AP59" s="126"/>
      <c r="AQ59" s="126"/>
      <c r="AR59" s="126"/>
      <c r="AS59" s="221">
        <f t="shared" ref="AS59:AS60" si="51">SUM(AM59:AR59)</f>
        <v>0</v>
      </c>
      <c r="AT59" s="126"/>
      <c r="AU59" s="125">
        <v>48582</v>
      </c>
      <c r="AV59" s="125">
        <v>64716</v>
      </c>
      <c r="AW59" s="125">
        <v>64894</v>
      </c>
      <c r="AX59" s="125">
        <v>64716</v>
      </c>
      <c r="AY59" s="125">
        <v>57092</v>
      </c>
      <c r="AZ59" s="122">
        <f t="shared" si="23"/>
        <v>300000</v>
      </c>
    </row>
    <row r="60" spans="1:52" s="44" customFormat="1" ht="21" customHeight="1" outlineLevel="1" x14ac:dyDescent="0.35">
      <c r="A60" s="46" t="s">
        <v>82</v>
      </c>
      <c r="B60" s="244">
        <v>100000</v>
      </c>
      <c r="C60" s="252">
        <f t="shared" si="0"/>
        <v>100</v>
      </c>
      <c r="D60" s="244">
        <v>0</v>
      </c>
      <c r="E60" s="252">
        <v>0</v>
      </c>
      <c r="F60" s="244">
        <f>ROUNDUP(B60+D60,0)</f>
        <v>100000</v>
      </c>
      <c r="G60" s="260">
        <f t="shared" si="2"/>
        <v>2.2988505747126436E-2</v>
      </c>
      <c r="H60" s="45"/>
      <c r="I60" s="26">
        <f>AM60</f>
        <v>0</v>
      </c>
      <c r="J60" s="113">
        <f t="shared" si="25"/>
        <v>0</v>
      </c>
      <c r="K60" s="150">
        <f>AU60</f>
        <v>13113</v>
      </c>
      <c r="L60" s="151">
        <f t="shared" si="6"/>
        <v>0.13113</v>
      </c>
      <c r="M60" s="160">
        <f>AN60</f>
        <v>0</v>
      </c>
      <c r="N60" s="151">
        <f t="shared" si="7"/>
        <v>0</v>
      </c>
      <c r="O60" s="26">
        <f>AV60</f>
        <v>22365</v>
      </c>
      <c r="P60" s="113">
        <f t="shared" si="8"/>
        <v>0.22364999999999999</v>
      </c>
      <c r="Q60" s="29">
        <f>AO60</f>
        <v>0</v>
      </c>
      <c r="R60" s="113">
        <f t="shared" si="9"/>
        <v>0</v>
      </c>
      <c r="S60" s="150">
        <f>AW60</f>
        <v>22427</v>
      </c>
      <c r="T60" s="151">
        <f t="shared" si="10"/>
        <v>0.22427</v>
      </c>
      <c r="U60" s="160">
        <f>AP60</f>
        <v>0</v>
      </c>
      <c r="V60" s="151">
        <f t="shared" si="11"/>
        <v>0</v>
      </c>
      <c r="W60" s="26">
        <f>AX60</f>
        <v>22365</v>
      </c>
      <c r="X60" s="113">
        <f t="shared" si="12"/>
        <v>0.22364999999999999</v>
      </c>
      <c r="Y60" s="29">
        <f>AQ60</f>
        <v>0</v>
      </c>
      <c r="Z60" s="113">
        <f t="shared" si="13"/>
        <v>0</v>
      </c>
      <c r="AA60" s="150">
        <f>AY60</f>
        <v>19730</v>
      </c>
      <c r="AB60" s="151">
        <f t="shared" si="14"/>
        <v>0.1973</v>
      </c>
      <c r="AC60" s="160">
        <f>AR60</f>
        <v>0</v>
      </c>
      <c r="AD60" s="151">
        <f t="shared" si="15"/>
        <v>0</v>
      </c>
      <c r="AE60" s="26">
        <f t="shared" si="27"/>
        <v>100000</v>
      </c>
      <c r="AF60" s="113">
        <f t="shared" si="4"/>
        <v>1</v>
      </c>
      <c r="AG60" s="29">
        <f t="shared" si="28"/>
        <v>0</v>
      </c>
      <c r="AH60" s="113">
        <f t="shared" si="16"/>
        <v>0</v>
      </c>
      <c r="AI60" s="160">
        <f t="shared" si="22"/>
        <v>100000</v>
      </c>
      <c r="AJ60" s="134">
        <f t="shared" si="17"/>
        <v>0</v>
      </c>
      <c r="AK60" s="134">
        <f t="shared" si="18"/>
        <v>0</v>
      </c>
      <c r="AL60" s="135"/>
      <c r="AM60" s="126"/>
      <c r="AN60" s="126"/>
      <c r="AO60" s="126"/>
      <c r="AP60" s="126"/>
      <c r="AQ60" s="126"/>
      <c r="AR60" s="126"/>
      <c r="AS60" s="221">
        <f t="shared" si="51"/>
        <v>0</v>
      </c>
      <c r="AT60" s="126"/>
      <c r="AU60" s="125">
        <v>13113</v>
      </c>
      <c r="AV60" s="125">
        <v>22365</v>
      </c>
      <c r="AW60" s="125">
        <v>22427</v>
      </c>
      <c r="AX60" s="125">
        <v>22365</v>
      </c>
      <c r="AY60" s="125">
        <v>19730</v>
      </c>
      <c r="AZ60" s="122">
        <f t="shared" si="23"/>
        <v>100000</v>
      </c>
    </row>
    <row r="61" spans="1:52" ht="16.2" thickBot="1" x14ac:dyDescent="0.4">
      <c r="A61" s="43" t="s">
        <v>83</v>
      </c>
      <c r="B61" s="253">
        <f>B6+B13+B44+B55+B57</f>
        <v>235000000</v>
      </c>
      <c r="C61" s="250">
        <f>B61/F61*100</f>
        <v>54.022988505747129</v>
      </c>
      <c r="D61" s="253">
        <f>D6+D13+D44+D55+D57</f>
        <v>200000000</v>
      </c>
      <c r="E61" s="250">
        <f>D61/F61*100</f>
        <v>45.977011494252871</v>
      </c>
      <c r="F61" s="253">
        <f>F6+F13+F44+F55+F57</f>
        <v>435000000</v>
      </c>
      <c r="G61" s="262">
        <f t="shared" si="2"/>
        <v>100</v>
      </c>
      <c r="H61" s="14"/>
      <c r="I61" s="117">
        <f>I6+I13+I44+I55+I57</f>
        <v>30231664</v>
      </c>
      <c r="J61" s="118">
        <f>I61/F61</f>
        <v>6.9498078160919546E-2</v>
      </c>
      <c r="K61" s="117">
        <f>K6+K13+K44+K55+K57</f>
        <v>52667659</v>
      </c>
      <c r="L61" s="118">
        <f t="shared" si="6"/>
        <v>0.12107507816091954</v>
      </c>
      <c r="M61" s="119">
        <f>M6+M13+M44+M55+M57</f>
        <v>86038279</v>
      </c>
      <c r="N61" s="118">
        <f t="shared" si="7"/>
        <v>0.19778914712643678</v>
      </c>
      <c r="O61" s="117">
        <f>O6+O13+O44+O55+O57</f>
        <v>89463723</v>
      </c>
      <c r="P61" s="118">
        <f t="shared" si="8"/>
        <v>0.20566373103448277</v>
      </c>
      <c r="Q61" s="119">
        <f>Q6+Q13+Q44+Q55+Q57</f>
        <v>61537106</v>
      </c>
      <c r="R61" s="118">
        <f t="shared" si="9"/>
        <v>0.14146461149425288</v>
      </c>
      <c r="S61" s="165">
        <f>S6+S13+S44+S55+S57</f>
        <v>46131776</v>
      </c>
      <c r="T61" s="166">
        <f t="shared" si="10"/>
        <v>0.10605005977011495</v>
      </c>
      <c r="U61" s="167">
        <f>U6+U13+U44+U55+U57</f>
        <v>14068370</v>
      </c>
      <c r="V61" s="166">
        <f t="shared" si="11"/>
        <v>3.2341080459770112E-2</v>
      </c>
      <c r="W61" s="117">
        <f>W6+W13+W44+W55+W57</f>
        <v>29438418</v>
      </c>
      <c r="X61" s="118">
        <f t="shared" si="12"/>
        <v>6.7674524137931041E-2</v>
      </c>
      <c r="Y61" s="119">
        <f>Y6+Y13+Y44+Y55+Y57</f>
        <v>5100730</v>
      </c>
      <c r="Z61" s="118">
        <f t="shared" si="13"/>
        <v>1.1725816091954023E-2</v>
      </c>
      <c r="AA61" s="165">
        <f>AA6+AA13+AA44+AA55+AA57</f>
        <v>17298424</v>
      </c>
      <c r="AB61" s="166">
        <f t="shared" si="14"/>
        <v>3.9766491954022987E-2</v>
      </c>
      <c r="AC61" s="167">
        <f>AC6+AC13+AC44+AC55+AC57</f>
        <v>3023851</v>
      </c>
      <c r="AD61" s="166">
        <f t="shared" si="15"/>
        <v>6.951381609195402E-3</v>
      </c>
      <c r="AE61" s="117">
        <f>ROUND(AE6+AE13+AE44+AE55+AE57,0)</f>
        <v>235000000</v>
      </c>
      <c r="AF61" s="118">
        <f t="shared" si="4"/>
        <v>0.54022988505747127</v>
      </c>
      <c r="AG61" s="119">
        <f>AG6+AG13+AG44+AG55+AG57</f>
        <v>200000000</v>
      </c>
      <c r="AH61" s="118">
        <f t="shared" si="16"/>
        <v>0.45977011494252873</v>
      </c>
      <c r="AI61" s="167">
        <f>AI6+AI13+AI44+AI55+AI57</f>
        <v>435000000</v>
      </c>
      <c r="AJ61" s="134">
        <f t="shared" si="17"/>
        <v>0</v>
      </c>
      <c r="AK61" s="134">
        <f t="shared" si="18"/>
        <v>0</v>
      </c>
      <c r="AL61" s="139"/>
      <c r="AM61" s="127"/>
      <c r="AN61" s="127"/>
      <c r="AO61" s="127"/>
      <c r="AP61" s="127"/>
      <c r="AQ61" s="127"/>
      <c r="AR61" s="127"/>
      <c r="AS61" s="239"/>
      <c r="AT61" s="120"/>
      <c r="AU61" s="120"/>
      <c r="AV61" s="120"/>
      <c r="AW61" s="120"/>
      <c r="AX61" s="120"/>
      <c r="AY61" s="120"/>
      <c r="AZ61" s="128"/>
    </row>
    <row r="62" spans="1:52" ht="21" customHeight="1" thickTop="1" x14ac:dyDescent="0.35">
      <c r="A62" s="3"/>
      <c r="B62" s="223"/>
      <c r="C62" s="223"/>
      <c r="F62" s="230"/>
      <c r="G62" s="263"/>
      <c r="H62" s="48"/>
    </row>
    <row r="63" spans="1:52" s="3" customFormat="1" ht="21" customHeight="1" x14ac:dyDescent="0.35">
      <c r="B63" s="223"/>
      <c r="C63" s="223"/>
      <c r="D63" s="224"/>
      <c r="E63" s="223"/>
      <c r="F63" s="230"/>
      <c r="G63" s="132"/>
      <c r="H63" s="50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49"/>
      <c r="AS63" s="224"/>
    </row>
    <row r="64" spans="1:52" s="3" customFormat="1" ht="21" customHeight="1" x14ac:dyDescent="0.35">
      <c r="A64" s="171" t="s">
        <v>84</v>
      </c>
      <c r="B64" s="231" t="s">
        <v>85</v>
      </c>
      <c r="C64" s="232" t="s">
        <v>30</v>
      </c>
      <c r="D64" s="231" t="s">
        <v>12</v>
      </c>
      <c r="E64" s="231" t="s">
        <v>30</v>
      </c>
      <c r="F64" s="231" t="s">
        <v>13</v>
      </c>
      <c r="G64" s="171" t="s">
        <v>30</v>
      </c>
      <c r="H64" s="171"/>
      <c r="I64" s="171" t="s">
        <v>14</v>
      </c>
      <c r="J64" s="171" t="s">
        <v>30</v>
      </c>
      <c r="K64" s="171" t="s">
        <v>15</v>
      </c>
      <c r="L64" s="171" t="s">
        <v>30</v>
      </c>
      <c r="M64" s="171" t="s">
        <v>16</v>
      </c>
      <c r="N64" s="171" t="s">
        <v>30</v>
      </c>
      <c r="O64" s="171" t="s">
        <v>6</v>
      </c>
      <c r="P64" s="171" t="s">
        <v>30</v>
      </c>
      <c r="Q64" s="51"/>
      <c r="R64" s="51"/>
      <c r="S64" s="51"/>
      <c r="T64" s="4"/>
      <c r="U64" s="4"/>
      <c r="V64" s="51"/>
      <c r="W64" s="51"/>
      <c r="X64" s="51"/>
      <c r="Y64" s="4"/>
      <c r="Z64" s="4"/>
      <c r="AA64" s="4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S64" s="224"/>
    </row>
    <row r="65" spans="1:45" s="3" customFormat="1" ht="36" customHeight="1" x14ac:dyDescent="0.35">
      <c r="A65" s="172" t="s">
        <v>7</v>
      </c>
      <c r="B65" s="233">
        <v>0</v>
      </c>
      <c r="C65" s="234">
        <f>B65/$B$61</f>
        <v>0</v>
      </c>
      <c r="D65" s="233">
        <f>K61</f>
        <v>52667659</v>
      </c>
      <c r="E65" s="234">
        <f>D65/$B$61</f>
        <v>0.22411769787234043</v>
      </c>
      <c r="F65" s="233">
        <f>O61</f>
        <v>89463723</v>
      </c>
      <c r="G65" s="52">
        <f>F65/$B$61</f>
        <v>0.3806966936170213</v>
      </c>
      <c r="H65" s="52"/>
      <c r="I65" s="173">
        <f>S61</f>
        <v>46131776</v>
      </c>
      <c r="J65" s="52">
        <f>I65/$B$61</f>
        <v>0.19630542978723403</v>
      </c>
      <c r="K65" s="173">
        <f>W61</f>
        <v>29438418</v>
      </c>
      <c r="L65" s="52">
        <f>K65/$B$61</f>
        <v>0.12526986382978722</v>
      </c>
      <c r="M65" s="173">
        <f>AA61</f>
        <v>17298424</v>
      </c>
      <c r="N65" s="52">
        <f>M65/$B$61</f>
        <v>7.3610314893617024E-2</v>
      </c>
      <c r="O65" s="173">
        <f>M65+K65+I65+F65+D65+B65</f>
        <v>235000000</v>
      </c>
      <c r="P65" s="52">
        <f>O65/$B$61</f>
        <v>1</v>
      </c>
      <c r="Q65" s="53"/>
      <c r="R65" s="53"/>
      <c r="S65" s="53"/>
      <c r="T65" s="284"/>
      <c r="U65" s="284"/>
      <c r="V65" s="285"/>
      <c r="W65" s="285"/>
      <c r="X65" s="4"/>
      <c r="Y65" s="4"/>
      <c r="Z65" s="4"/>
      <c r="AA65" s="4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S65" s="224"/>
    </row>
    <row r="66" spans="1:45" s="3" customFormat="1" ht="36" customHeight="1" x14ac:dyDescent="0.35">
      <c r="A66" s="172" t="s">
        <v>86</v>
      </c>
      <c r="B66" s="233">
        <f>I61</f>
        <v>30231664</v>
      </c>
      <c r="C66" s="234">
        <f>B66/$D$61</f>
        <v>0.15115832000000001</v>
      </c>
      <c r="D66" s="233">
        <f>M61</f>
        <v>86038279</v>
      </c>
      <c r="E66" s="234">
        <f>D66/$D$61</f>
        <v>0.43019139499999998</v>
      </c>
      <c r="F66" s="233">
        <f>Q61</f>
        <v>61537106</v>
      </c>
      <c r="G66" s="52">
        <f>F66/$D$61</f>
        <v>0.30768552999999998</v>
      </c>
      <c r="H66" s="52"/>
      <c r="I66" s="173">
        <f>U61</f>
        <v>14068370</v>
      </c>
      <c r="J66" s="52">
        <f>I66/$D$61</f>
        <v>7.0341849999999997E-2</v>
      </c>
      <c r="K66" s="173">
        <f>Y61</f>
        <v>5100730</v>
      </c>
      <c r="L66" s="52">
        <f>K66/$D$61</f>
        <v>2.5503649999999999E-2</v>
      </c>
      <c r="M66" s="173">
        <f>AC61</f>
        <v>3023851</v>
      </c>
      <c r="N66" s="52">
        <f>M66/$D$61</f>
        <v>1.5119255E-2</v>
      </c>
      <c r="O66" s="173">
        <f>M66+K66+I66+F66+D66+B66</f>
        <v>200000000</v>
      </c>
      <c r="P66" s="52">
        <f>O66/$D$61</f>
        <v>1</v>
      </c>
      <c r="Q66" s="53"/>
      <c r="R66" s="53"/>
      <c r="S66" s="53"/>
      <c r="T66" s="284"/>
      <c r="U66" s="284"/>
      <c r="V66" s="285"/>
      <c r="W66" s="285"/>
      <c r="X66" s="4"/>
      <c r="Y66" s="4"/>
      <c r="Z66" s="4"/>
      <c r="AA66" s="4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S66" s="224"/>
    </row>
    <row r="67" spans="1:45" s="3" customFormat="1" ht="36" customHeight="1" x14ac:dyDescent="0.35">
      <c r="A67" s="174" t="s">
        <v>10</v>
      </c>
      <c r="B67" s="233">
        <f>B66+B65</f>
        <v>30231664</v>
      </c>
      <c r="C67" s="234">
        <f>B67/$F$61</f>
        <v>6.9498078160919546E-2</v>
      </c>
      <c r="D67" s="233">
        <f>D66+D65</f>
        <v>138705938</v>
      </c>
      <c r="E67" s="234">
        <f>D67/$F$61</f>
        <v>0.31886422528735631</v>
      </c>
      <c r="F67" s="233">
        <f t="shared" ref="F67:O67" si="52">F66+F65</f>
        <v>151000829</v>
      </c>
      <c r="G67" s="52">
        <f>F67/$F$61</f>
        <v>0.34712834252873565</v>
      </c>
      <c r="H67" s="52"/>
      <c r="I67" s="173">
        <f t="shared" si="52"/>
        <v>60200146</v>
      </c>
      <c r="J67" s="52">
        <f>I67/$F$61</f>
        <v>0.13839114022988505</v>
      </c>
      <c r="K67" s="173">
        <f t="shared" si="52"/>
        <v>34539148</v>
      </c>
      <c r="L67" s="52">
        <f>K67/$F$61</f>
        <v>7.9400340229885055E-2</v>
      </c>
      <c r="M67" s="173">
        <f t="shared" si="52"/>
        <v>20322275</v>
      </c>
      <c r="N67" s="175">
        <f>M67/$F$61</f>
        <v>4.6717873563218389E-2</v>
      </c>
      <c r="O67" s="173">
        <f t="shared" si="52"/>
        <v>435000000</v>
      </c>
      <c r="P67" s="52">
        <f>O67/$F$61</f>
        <v>1</v>
      </c>
      <c r="Q67" s="55"/>
      <c r="R67" s="55"/>
      <c r="S67" s="55"/>
      <c r="T67" s="282"/>
      <c r="U67" s="282"/>
      <c r="V67" s="282"/>
      <c r="W67" s="282"/>
      <c r="X67" s="54"/>
      <c r="Y67" s="4"/>
      <c r="Z67" s="4"/>
      <c r="AA67" s="4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S67" s="224"/>
    </row>
    <row r="68" spans="1:45" s="3" customFormat="1" ht="21" customHeight="1" x14ac:dyDescent="0.25">
      <c r="A68" s="48"/>
      <c r="B68" s="235"/>
      <c r="C68" s="235"/>
      <c r="D68" s="235"/>
      <c r="E68" s="235"/>
      <c r="F68" s="235"/>
      <c r="G68" s="56"/>
      <c r="H68" s="56"/>
      <c r="I68" s="56"/>
      <c r="J68" s="56"/>
      <c r="K68" s="56"/>
      <c r="L68" s="56"/>
      <c r="M68" s="56"/>
      <c r="N68" s="56"/>
      <c r="O68" s="56"/>
      <c r="P68" s="281"/>
      <c r="Q68" s="281"/>
      <c r="R68" s="281"/>
      <c r="S68" s="281"/>
      <c r="T68" s="281"/>
      <c r="U68" s="281"/>
      <c r="V68" s="281"/>
      <c r="W68" s="281"/>
      <c r="X68" s="57"/>
      <c r="Y68" s="4"/>
      <c r="Z68" s="4"/>
      <c r="AA68" s="4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S68" s="224"/>
    </row>
    <row r="69" spans="1:45" s="3" customFormat="1" ht="21" customHeight="1" x14ac:dyDescent="0.35">
      <c r="A69" s="48"/>
      <c r="B69" s="236"/>
      <c r="C69" s="236"/>
      <c r="D69" s="237"/>
      <c r="E69" s="236"/>
      <c r="F69" s="237"/>
      <c r="G69" s="58"/>
      <c r="H69" s="59"/>
      <c r="I69" s="59"/>
      <c r="J69" s="59"/>
      <c r="K69" s="59"/>
      <c r="L69" s="59"/>
      <c r="M69" s="59"/>
      <c r="N69" s="59"/>
      <c r="O69" s="59"/>
      <c r="P69" s="281"/>
      <c r="Q69" s="281"/>
      <c r="R69" s="281"/>
      <c r="S69" s="281"/>
      <c r="T69" s="281"/>
      <c r="U69" s="281"/>
      <c r="V69" s="281"/>
      <c r="W69" s="281"/>
      <c r="X69" s="57"/>
      <c r="Y69" s="4"/>
      <c r="Z69" s="4"/>
      <c r="AA69" s="4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S69" s="224"/>
    </row>
    <row r="70" spans="1:45" s="3" customFormat="1" ht="21" customHeight="1" x14ac:dyDescent="0.35">
      <c r="A70" s="50"/>
      <c r="B70" s="236"/>
      <c r="C70" s="236"/>
      <c r="D70" s="237"/>
      <c r="E70" s="236"/>
      <c r="F70" s="237"/>
      <c r="G70" s="58"/>
      <c r="H70" s="59"/>
      <c r="I70" s="59"/>
      <c r="J70" s="60"/>
      <c r="K70" s="60"/>
      <c r="L70" s="60"/>
      <c r="M70" s="60"/>
      <c r="N70" s="61"/>
      <c r="O70" s="61"/>
      <c r="P70" s="281"/>
      <c r="Q70" s="281"/>
      <c r="R70" s="281"/>
      <c r="S70" s="281"/>
      <c r="T70" s="281"/>
      <c r="U70" s="281"/>
      <c r="V70" s="281"/>
      <c r="W70" s="281"/>
      <c r="X70" s="57"/>
      <c r="Y70" s="4"/>
      <c r="Z70" s="4"/>
      <c r="AA70" s="4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S70" s="224"/>
    </row>
    <row r="71" spans="1:45" s="3" customFormat="1" ht="21" customHeight="1" x14ac:dyDescent="0.35">
      <c r="B71" s="224"/>
      <c r="C71" s="223"/>
      <c r="D71" s="224"/>
      <c r="E71" s="223"/>
      <c r="F71" s="224"/>
      <c r="G71" s="5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S71" s="224"/>
    </row>
    <row r="72" spans="1:45" s="3" customFormat="1" ht="21" customHeight="1" x14ac:dyDescent="0.35">
      <c r="B72" s="224"/>
      <c r="C72" s="223"/>
      <c r="D72" s="224"/>
      <c r="E72" s="223"/>
      <c r="F72" s="224"/>
      <c r="G72" s="5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S72" s="224"/>
    </row>
    <row r="74" spans="1:45" ht="21" customHeight="1" x14ac:dyDescent="0.35">
      <c r="G74" s="62"/>
      <c r="H74" s="47"/>
      <c r="I74" s="62"/>
    </row>
  </sheetData>
  <dataConsolidate/>
  <mergeCells count="25">
    <mergeCell ref="AU4:AZ4"/>
    <mergeCell ref="I4:J4"/>
    <mergeCell ref="K4:N4"/>
    <mergeCell ref="O4:R4"/>
    <mergeCell ref="S4:V4"/>
    <mergeCell ref="W4:Z4"/>
    <mergeCell ref="AA4:AD4"/>
    <mergeCell ref="AE4:AH4"/>
    <mergeCell ref="AI4:AI5"/>
    <mergeCell ref="A1:AA1"/>
    <mergeCell ref="A2:AA2"/>
    <mergeCell ref="A4:A5"/>
    <mergeCell ref="B4:C4"/>
    <mergeCell ref="D4:E4"/>
    <mergeCell ref="F4:G4"/>
    <mergeCell ref="AM4:AR4"/>
    <mergeCell ref="T65:W65"/>
    <mergeCell ref="T66:W66"/>
    <mergeCell ref="P68:S68"/>
    <mergeCell ref="T68:W68"/>
    <mergeCell ref="P69:S69"/>
    <mergeCell ref="T69:W69"/>
    <mergeCell ref="P70:S70"/>
    <mergeCell ref="T70:W70"/>
    <mergeCell ref="T67:W67"/>
  </mergeCells>
  <printOptions horizontalCentered="1"/>
  <pageMargins left="0.25" right="0.25" top="0.75" bottom="0.75" header="0.3" footer="0.3"/>
  <pageSetup paperSize="9" scale="2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INE/TSP</Division_x0020_or_x0020_Unit>
    <Other_x0020_Author xmlns="9c571b2f-e523-4ab2-ba2e-09e151a03ef4" xsi:nil="true"/>
    <Region xmlns="9c571b2f-e523-4ab2-ba2e-09e151a03ef4" xsi:nil="true"/>
    <IDBDocs_x0020_Number xmlns="9c571b2f-e523-4ab2-ba2e-09e151a03ef4">39568307</IDBDocs_x0020_Number>
    <Document_x0020_Author xmlns="9c571b2f-e523-4ab2-ba2e-09e151a03ef4">Alves, Dalve Alexandre Soria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2015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BR-L1402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TR-TRP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33C94276A7402A468BCADCF027B1EA71" ma:contentTypeVersion="0" ma:contentTypeDescription="A content type to manage public (operations) IDB documents" ma:contentTypeScope="" ma:versionID="7ae9a4d31cb5018bfd195854fb39c648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7302E5-375E-42AB-9CAA-D266D3A3BE0C}">
  <ds:schemaRefs>
    <ds:schemaRef ds:uri="9c571b2f-e523-4ab2-ba2e-09e151a03ef4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87B6D18-5EBB-46D1-9AD6-4BB2362CD5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CCE5B7-0147-4ADA-887A-7C01B4FCE46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72B9D6F-3F09-48ED-B6F6-DE6AA8841D2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5522F19-D430-44ED-859A-9670BEC4A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71b2f-e523-4ab2-ba2e-09e151a03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POA</vt:lpstr>
      <vt:lpstr>Quadro custo</vt:lpstr>
      <vt:lpstr>POA PSA </vt:lpstr>
      <vt:lpstr>Cronog Detalhado</vt:lpstr>
      <vt:lpstr>curva desembolso</vt:lpstr>
      <vt:lpstr>'Cronog Detalhado'!Print_Area</vt:lpstr>
      <vt:lpstr>POA!Print_Area</vt:lpstr>
      <vt:lpstr>'POA PSA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EER_1 Plan de Ejecución Plurianual (PEP)</dc:title>
  <dc:creator>Alves, Dalve Alexandre Soria</dc:creator>
  <cp:lastModifiedBy>Mayoral Gabaldon, Olga Iosune</cp:lastModifiedBy>
  <cp:lastPrinted>2017-08-22T19:50:46Z</cp:lastPrinted>
  <dcterms:created xsi:type="dcterms:W3CDTF">1998-04-23T11:14:54Z</dcterms:created>
  <dcterms:modified xsi:type="dcterms:W3CDTF">2017-09-13T21:07:34Z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ContentTypeId">
    <vt:lpwstr>0x01010046CF21643EE8D14686A648AA6DAD08920033C94276A7402A468BCADCF027B1EA71</vt:lpwstr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8" name="Sub-Sector">
    <vt:lpwstr/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4;#IDBDocs|cca77002-e150-4b2d-ab1f-1d7a7cdcae16</vt:lpwstr>
  </property>
</Properties>
</file>