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.rocio\Dropbox\29 - ANDE - 1156\ULTIMA VERSIÓN - 30 DE OCTUBRE\"/>
    </mc:Choice>
  </mc:AlternateContent>
  <xr:revisionPtr revIDLastSave="0" documentId="102_{908C0E61-EBF6-46ED-A823-DD6E3E9973DE}" xr6:coauthVersionLast="40" xr6:coauthVersionMax="40" xr10:uidLastSave="{00000000-0000-0000-0000-000000000000}"/>
  <bookViews>
    <workbookView xWindow="0" yWindow="0" windowWidth="19008" windowHeight="9072" tabRatio="742" xr2:uid="{00000000-000D-0000-FFFF-FFFF00000000}"/>
  </bookViews>
  <sheets>
    <sheet name="INDICE" sheetId="17" r:id="rId1"/>
    <sheet name="CC detallado" sheetId="1" r:id="rId2"/>
    <sheet name="Estructura" sheetId="22" r:id="rId3"/>
    <sheet name="PA" sheetId="9" r:id="rId4"/>
    <sheet name="PAI" sheetId="10" r:id="rId5"/>
  </sheets>
  <definedNames>
    <definedName name="_2">#REF!</definedName>
    <definedName name="_6">#REF!</definedName>
    <definedName name="_Fill" hidden="1">#REF!</definedName>
    <definedName name="_xlnm._FilterDatabase" localSheetId="1" hidden="1">'CC detallado'!$A$4:$Z$79</definedName>
    <definedName name="aaa">#REF!</definedName>
    <definedName name="e">#REF!</definedName>
    <definedName name="ffff">#REF!</definedName>
    <definedName name="GRAFI">#REF!</definedName>
    <definedName name="GRAFICO">#REF!</definedName>
    <definedName name="Pres">#REF!</definedName>
    <definedName name="_xlnm.Print_Area" localSheetId="3">PA!$A$1:$O$107</definedName>
    <definedName name="Resumen">#REF!</definedName>
    <definedName name="SFGH">#REF!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1" i="1" l="1"/>
  <c r="N73" i="1"/>
  <c r="M73" i="1"/>
  <c r="N65" i="1"/>
  <c r="E58" i="9"/>
  <c r="B1" i="22"/>
  <c r="M78" i="1"/>
  <c r="N78" i="1"/>
  <c r="N77" i="1"/>
  <c r="M76" i="1"/>
  <c r="M75" i="1"/>
  <c r="O73" i="1"/>
  <c r="M63" i="1"/>
  <c r="M62" i="1"/>
  <c r="M72" i="1"/>
  <c r="N72" i="1"/>
  <c r="O72" i="1"/>
  <c r="G68" i="9"/>
  <c r="C36" i="10"/>
  <c r="D36" i="10"/>
  <c r="M71" i="1"/>
  <c r="N71" i="1"/>
  <c r="M70" i="1"/>
  <c r="M69" i="1"/>
  <c r="N69" i="1"/>
  <c r="M68" i="1"/>
  <c r="N68" i="1"/>
  <c r="M65" i="1"/>
  <c r="M61" i="1"/>
  <c r="N61" i="1"/>
  <c r="O61" i="1"/>
  <c r="M59" i="1"/>
  <c r="M57" i="1"/>
  <c r="N57" i="1"/>
  <c r="O57" i="1"/>
  <c r="M55" i="1"/>
  <c r="M54" i="1"/>
  <c r="N54" i="1"/>
  <c r="M51" i="1"/>
  <c r="N50" i="1"/>
  <c r="M49" i="1"/>
  <c r="N49" i="1"/>
  <c r="N48" i="1"/>
  <c r="M47" i="1"/>
  <c r="M45" i="1"/>
  <c r="N45" i="1"/>
  <c r="N44" i="1"/>
  <c r="M43" i="1"/>
  <c r="M41" i="1"/>
  <c r="N41" i="1"/>
  <c r="N40" i="1"/>
  <c r="M39" i="1"/>
  <c r="M37" i="1"/>
  <c r="N37" i="1"/>
  <c r="N36" i="1"/>
  <c r="L35" i="1"/>
  <c r="M35" i="1"/>
  <c r="M34" i="1"/>
  <c r="M33" i="1"/>
  <c r="M32" i="1"/>
  <c r="M31" i="1"/>
  <c r="N31" i="1"/>
  <c r="M29" i="1"/>
  <c r="N29" i="1"/>
  <c r="N28" i="1"/>
  <c r="M28" i="1"/>
  <c r="L26" i="1"/>
  <c r="M26" i="1"/>
  <c r="M25" i="1"/>
  <c r="L24" i="1"/>
  <c r="M24" i="1"/>
  <c r="M22" i="1"/>
  <c r="N22" i="1"/>
  <c r="N21" i="1"/>
  <c r="M20" i="1"/>
  <c r="M19" i="1"/>
  <c r="M18" i="1"/>
  <c r="N18" i="1"/>
  <c r="O18" i="1"/>
  <c r="O43" i="9"/>
  <c r="M17" i="1"/>
  <c r="N17" i="1"/>
  <c r="O17" i="1"/>
  <c r="O42" i="9"/>
  <c r="M16" i="1"/>
  <c r="M14" i="1"/>
  <c r="N14" i="1"/>
  <c r="M13" i="1"/>
  <c r="N13" i="1"/>
  <c r="M12" i="1"/>
  <c r="M11" i="1"/>
  <c r="N11" i="1"/>
  <c r="M10" i="1"/>
  <c r="N10" i="1"/>
  <c r="M8" i="1"/>
  <c r="A1" i="1"/>
  <c r="G4" i="1"/>
  <c r="B48" i="10"/>
  <c r="B47" i="10"/>
  <c r="B46" i="10"/>
  <c r="D42" i="10"/>
  <c r="C42" i="10"/>
  <c r="D41" i="10"/>
  <c r="C41" i="10"/>
  <c r="D38" i="10"/>
  <c r="C38" i="10"/>
  <c r="B30" i="10"/>
  <c r="D21" i="10"/>
  <c r="D20" i="10"/>
  <c r="C20" i="10"/>
  <c r="B19" i="10"/>
  <c r="B16" i="10"/>
  <c r="B1" i="10"/>
  <c r="G83" i="9"/>
  <c r="G94" i="9"/>
  <c r="G77" i="9"/>
  <c r="G92" i="9"/>
  <c r="H35" i="9"/>
  <c r="G89" i="9"/>
  <c r="E69" i="9"/>
  <c r="D69" i="9"/>
  <c r="C69" i="9"/>
  <c r="B37" i="10"/>
  <c r="J68" i="9"/>
  <c r="D68" i="9"/>
  <c r="C68" i="9"/>
  <c r="B36" i="10"/>
  <c r="J67" i="9"/>
  <c r="D67" i="9"/>
  <c r="C67" i="9"/>
  <c r="B35" i="10"/>
  <c r="J66" i="9"/>
  <c r="D66" i="9"/>
  <c r="C66" i="9"/>
  <c r="B34" i="10"/>
  <c r="J65" i="9"/>
  <c r="D65" i="9"/>
  <c r="C65" i="9"/>
  <c r="B33" i="10"/>
  <c r="J64" i="9"/>
  <c r="D64" i="9"/>
  <c r="C64" i="9"/>
  <c r="B32" i="10"/>
  <c r="D58" i="9"/>
  <c r="E57" i="9"/>
  <c r="D57" i="9"/>
  <c r="C57" i="9"/>
  <c r="B29" i="10"/>
  <c r="E56" i="9"/>
  <c r="D56" i="9"/>
  <c r="C56" i="9"/>
  <c r="B28" i="10"/>
  <c r="E55" i="9"/>
  <c r="D55" i="9"/>
  <c r="C55" i="9"/>
  <c r="B27" i="10"/>
  <c r="E54" i="9"/>
  <c r="D54" i="9"/>
  <c r="C54" i="9"/>
  <c r="B26" i="10"/>
  <c r="E53" i="9"/>
  <c r="D53" i="9"/>
  <c r="C53" i="9"/>
  <c r="B25" i="10"/>
  <c r="E52" i="9"/>
  <c r="D52" i="9"/>
  <c r="C52" i="9"/>
  <c r="B24" i="10"/>
  <c r="D51" i="9"/>
  <c r="D50" i="9"/>
  <c r="D49" i="9"/>
  <c r="D48" i="9"/>
  <c r="D47" i="9"/>
  <c r="D46" i="9"/>
  <c r="D45" i="9"/>
  <c r="D44" i="9"/>
  <c r="D43" i="9"/>
  <c r="D42" i="9"/>
  <c r="D41" i="9"/>
  <c r="D40" i="9"/>
  <c r="C40" i="9"/>
  <c r="B23" i="10"/>
  <c r="F28" i="9"/>
  <c r="D28" i="9"/>
  <c r="F27" i="9"/>
  <c r="D27" i="9"/>
  <c r="F26" i="9"/>
  <c r="D26" i="9"/>
  <c r="F25" i="9"/>
  <c r="D25" i="9"/>
  <c r="F24" i="9"/>
  <c r="D24" i="9"/>
  <c r="F23" i="9"/>
  <c r="D23" i="9"/>
  <c r="F22" i="9"/>
  <c r="D22" i="9"/>
  <c r="F21" i="9"/>
  <c r="D21" i="9"/>
  <c r="F15" i="9"/>
  <c r="E15" i="9"/>
  <c r="D15" i="9"/>
  <c r="C15" i="9"/>
  <c r="B17" i="10"/>
  <c r="F14" i="9"/>
  <c r="D14" i="9"/>
  <c r="F13" i="9"/>
  <c r="D13" i="9"/>
  <c r="F12" i="9"/>
  <c r="D12" i="9"/>
  <c r="F11" i="9"/>
  <c r="D11" i="9"/>
  <c r="F10" i="9"/>
  <c r="E10" i="9"/>
  <c r="D10" i="9"/>
  <c r="B1" i="9"/>
  <c r="C18" i="22"/>
  <c r="C17" i="22"/>
  <c r="C16" i="22"/>
  <c r="M30" i="1"/>
  <c r="N24" i="1"/>
  <c r="N23" i="1"/>
  <c r="M23" i="1"/>
  <c r="O14" i="1"/>
  <c r="O50" i="9"/>
  <c r="O22" i="1"/>
  <c r="O21" i="1"/>
  <c r="M27" i="1"/>
  <c r="N33" i="1"/>
  <c r="N32" i="1"/>
  <c r="N75" i="1"/>
  <c r="O75" i="1"/>
  <c r="G55" i="9"/>
  <c r="C27" i="10"/>
  <c r="D27" i="10"/>
  <c r="O69" i="1"/>
  <c r="G65" i="9"/>
  <c r="C33" i="10"/>
  <c r="D33" i="10"/>
  <c r="O11" i="1"/>
  <c r="O47" i="9"/>
  <c r="N19" i="1"/>
  <c r="O19" i="1"/>
  <c r="O44" i="9"/>
  <c r="O29" i="1"/>
  <c r="O54" i="1"/>
  <c r="O68" i="1"/>
  <c r="O71" i="1"/>
  <c r="G67" i="9"/>
  <c r="C35" i="10"/>
  <c r="D35" i="10"/>
  <c r="N63" i="1"/>
  <c r="O56" i="1"/>
  <c r="G53" i="9"/>
  <c r="C25" i="10"/>
  <c r="D25" i="10"/>
  <c r="G58" i="9"/>
  <c r="C30" i="10"/>
  <c r="D30" i="10"/>
  <c r="O60" i="1"/>
  <c r="N12" i="1"/>
  <c r="N9" i="1"/>
  <c r="N20" i="1"/>
  <c r="O20" i="1"/>
  <c r="O45" i="9"/>
  <c r="M53" i="1"/>
  <c r="N55" i="1"/>
  <c r="N53" i="1"/>
  <c r="N59" i="1"/>
  <c r="N58" i="1"/>
  <c r="M58" i="1"/>
  <c r="O65" i="1"/>
  <c r="O64" i="1"/>
  <c r="N64" i="1"/>
  <c r="M64" i="1"/>
  <c r="G64" i="9"/>
  <c r="G52" i="9"/>
  <c r="C24" i="10"/>
  <c r="D24" i="10"/>
  <c r="O10" i="1"/>
  <c r="O13" i="1"/>
  <c r="O49" i="9"/>
  <c r="N16" i="1"/>
  <c r="N15" i="1"/>
  <c r="M15" i="1"/>
  <c r="O37" i="1"/>
  <c r="O41" i="1"/>
  <c r="O45" i="1"/>
  <c r="O49" i="1"/>
  <c r="N56" i="1"/>
  <c r="N60" i="1"/>
  <c r="O78" i="1"/>
  <c r="J70" i="9"/>
  <c r="N8" i="1"/>
  <c r="N7" i="1"/>
  <c r="M7" i="1"/>
  <c r="N35" i="1"/>
  <c r="N34" i="1"/>
  <c r="N39" i="1"/>
  <c r="N38" i="1"/>
  <c r="M38" i="1"/>
  <c r="N43" i="1"/>
  <c r="N42" i="1"/>
  <c r="M42" i="1"/>
  <c r="N47" i="1"/>
  <c r="N46" i="1"/>
  <c r="M46" i="1"/>
  <c r="M74" i="1"/>
  <c r="N76" i="1"/>
  <c r="N26" i="1"/>
  <c r="N25" i="1"/>
  <c r="O31" i="1"/>
  <c r="N30" i="1"/>
  <c r="N27" i="1"/>
  <c r="O51" i="1"/>
  <c r="O50" i="1"/>
  <c r="M50" i="1"/>
  <c r="N70" i="1"/>
  <c r="N67" i="1"/>
  <c r="M9" i="1"/>
  <c r="M21" i="1"/>
  <c r="M36" i="1"/>
  <c r="M40" i="1"/>
  <c r="M44" i="1"/>
  <c r="M48" i="1"/>
  <c r="M56" i="1"/>
  <c r="M60" i="1"/>
  <c r="M67" i="1"/>
  <c r="M77" i="1"/>
  <c r="O43" i="1"/>
  <c r="O63" i="1"/>
  <c r="N62" i="1"/>
  <c r="N52" i="1"/>
  <c r="M52" i="1"/>
  <c r="N74" i="1"/>
  <c r="O16" i="1"/>
  <c r="O41" i="9"/>
  <c r="M66" i="1"/>
  <c r="C48" i="10"/>
  <c r="O8" i="1"/>
  <c r="O40" i="9"/>
  <c r="O51" i="9"/>
  <c r="O12" i="1"/>
  <c r="O48" i="9"/>
  <c r="O28" i="1"/>
  <c r="O21" i="9"/>
  <c r="O76" i="1"/>
  <c r="G56" i="9"/>
  <c r="C28" i="10"/>
  <c r="D28" i="10"/>
  <c r="O33" i="1"/>
  <c r="O24" i="1"/>
  <c r="N66" i="1"/>
  <c r="G96" i="9"/>
  <c r="O26" i="1"/>
  <c r="O39" i="1"/>
  <c r="N6" i="1"/>
  <c r="N5" i="1"/>
  <c r="O44" i="1"/>
  <c r="O12" i="9"/>
  <c r="C32" i="10"/>
  <c r="M6" i="1"/>
  <c r="M5" i="1"/>
  <c r="O48" i="1"/>
  <c r="O14" i="9"/>
  <c r="O46" i="9"/>
  <c r="O42" i="1"/>
  <c r="O11" i="9"/>
  <c r="O7" i="1"/>
  <c r="O40" i="1"/>
  <c r="O10" i="9"/>
  <c r="O55" i="1"/>
  <c r="O77" i="1"/>
  <c r="G57" i="9"/>
  <c r="C29" i="10"/>
  <c r="D29" i="10"/>
  <c r="O70" i="1"/>
  <c r="O30" i="1"/>
  <c r="O22" i="9"/>
  <c r="O47" i="1"/>
  <c r="O35" i="1"/>
  <c r="O36" i="1"/>
  <c r="O27" i="9"/>
  <c r="O59" i="1"/>
  <c r="O74" i="1"/>
  <c r="O15" i="1"/>
  <c r="G69" i="9"/>
  <c r="C37" i="10"/>
  <c r="D37" i="10"/>
  <c r="O62" i="1"/>
  <c r="O9" i="1"/>
  <c r="O23" i="1"/>
  <c r="O24" i="9"/>
  <c r="O32" i="1"/>
  <c r="O27" i="1"/>
  <c r="O23" i="9"/>
  <c r="O46" i="1"/>
  <c r="O13" i="9"/>
  <c r="H10" i="9"/>
  <c r="H15" i="9"/>
  <c r="C17" i="10"/>
  <c r="D17" i="10"/>
  <c r="O53" i="1"/>
  <c r="D32" i="10"/>
  <c r="O38" i="1"/>
  <c r="O28" i="9"/>
  <c r="G40" i="9"/>
  <c r="C46" i="10"/>
  <c r="M79" i="1"/>
  <c r="O25" i="1"/>
  <c r="O25" i="9"/>
  <c r="O6" i="1"/>
  <c r="C47" i="10"/>
  <c r="O58" i="1"/>
  <c r="G54" i="9"/>
  <c r="C26" i="10"/>
  <c r="D26" i="10"/>
  <c r="O34" i="1"/>
  <c r="O26" i="9"/>
  <c r="G66" i="9"/>
  <c r="O67" i="1"/>
  <c r="O66" i="1"/>
  <c r="N79" i="1"/>
  <c r="O52" i="1"/>
  <c r="O5" i="1"/>
  <c r="D46" i="10"/>
  <c r="H21" i="9"/>
  <c r="H29" i="9"/>
  <c r="G88" i="9"/>
  <c r="D48" i="10"/>
  <c r="C34" i="10"/>
  <c r="G70" i="9"/>
  <c r="G91" i="9"/>
  <c r="C49" i="10"/>
  <c r="C16" i="10"/>
  <c r="H16" i="9"/>
  <c r="G87" i="9"/>
  <c r="C23" i="10"/>
  <c r="G59" i="9"/>
  <c r="G90" i="9"/>
  <c r="C19" i="10"/>
  <c r="D23" i="10"/>
  <c r="D22" i="10"/>
  <c r="C22" i="10"/>
  <c r="D47" i="10"/>
  <c r="D49" i="10"/>
  <c r="O79" i="1"/>
  <c r="P52" i="1"/>
  <c r="G93" i="9"/>
  <c r="G97" i="9"/>
  <c r="H88" i="9"/>
  <c r="D34" i="10"/>
  <c r="D31" i="10"/>
  <c r="C31" i="10"/>
  <c r="D19" i="10"/>
  <c r="D18" i="10"/>
  <c r="C18" i="10"/>
  <c r="D16" i="10"/>
  <c r="D15" i="10"/>
  <c r="C15" i="10"/>
  <c r="H94" i="9"/>
  <c r="H89" i="9"/>
  <c r="H95" i="9"/>
  <c r="H92" i="9"/>
  <c r="G98" i="9"/>
  <c r="H96" i="9"/>
  <c r="H87" i="9"/>
  <c r="O81" i="1"/>
  <c r="P66" i="1"/>
  <c r="P5" i="1"/>
  <c r="M80" i="1"/>
  <c r="N80" i="1"/>
  <c r="H90" i="9"/>
  <c r="H9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gc.rocio</author>
  </authors>
  <commentList>
    <comment ref="I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personas
m2
km
</t>
        </r>
      </text>
    </comment>
    <comment ref="K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mes
día
</t>
        </r>
      </text>
    </comment>
    <comment ref="N4" authorId="0" shapeId="0" xr:uid="{3DB327ED-BFCE-4421-BD05-9181C6DD337A}">
      <text>
        <r>
          <rPr>
            <b/>
            <sz val="9"/>
            <color indexed="81"/>
            <rFont val="Tahoma"/>
            <family val="2"/>
          </rPr>
          <t>Pago de impuestos, aranceles, Intereses y Comisiones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<sst xmlns="http://schemas.openxmlformats.org/spreadsheetml/2006/main" count="824" uniqueCount="303">
  <si>
    <t>PROGRAMA DE REHABILITACIÓN Y MODERNIZACIÓN DE LA CENTRAL HIDROELÉCTRICA DE ACARAY PR-L1156</t>
  </si>
  <si>
    <t>INDICE</t>
  </si>
  <si>
    <t>DETALLE</t>
  </si>
  <si>
    <t>OBSERVACIONES</t>
  </si>
  <si>
    <t>CC Detallado</t>
  </si>
  <si>
    <t>Cuadro de Costo Detallado</t>
  </si>
  <si>
    <t xml:space="preserve">Estructura </t>
  </si>
  <si>
    <t>Estructura del Proyecto</t>
  </si>
  <si>
    <t>PA</t>
  </si>
  <si>
    <t>Plan de Adquisiciones</t>
  </si>
  <si>
    <t>PAI</t>
  </si>
  <si>
    <t>Plan de Adquisición Inicial</t>
  </si>
  <si>
    <t xml:space="preserve"> </t>
  </si>
  <si>
    <t>|</t>
  </si>
  <si>
    <t>EDT</t>
  </si>
  <si>
    <t>COMP.</t>
  </si>
  <si>
    <t>OG</t>
  </si>
  <si>
    <t>Tipo</t>
  </si>
  <si>
    <t>Modalidad</t>
  </si>
  <si>
    <t>Clasif</t>
  </si>
  <si>
    <t>Cantidad</t>
  </si>
  <si>
    <t>Unidad de Medida</t>
  </si>
  <si>
    <t>Tiempo</t>
  </si>
  <si>
    <t>C/U USD</t>
  </si>
  <si>
    <t>Monto Estimado
(Capital Ordinario-BID)</t>
  </si>
  <si>
    <t>Monto Estimado
(Contrapartida local)</t>
  </si>
  <si>
    <t>TOTAL PROGRAMA</t>
  </si>
  <si>
    <t>C-1</t>
  </si>
  <si>
    <t>-</t>
  </si>
  <si>
    <t>Componente 1. Inversiones para rehabilitación y modernización de la central</t>
  </si>
  <si>
    <t>1.1</t>
  </si>
  <si>
    <t>S-1</t>
  </si>
  <si>
    <t>P1. Diseño de ingeniería y supervisión desarrollado</t>
  </si>
  <si>
    <t>1.1.1</t>
  </si>
  <si>
    <t>P1.1. Definición, programación general de las soluciones propues desarrollada</t>
  </si>
  <si>
    <t>1.1.1.1</t>
  </si>
  <si>
    <t>FC</t>
  </si>
  <si>
    <t>SBCC</t>
  </si>
  <si>
    <t>x Prod</t>
  </si>
  <si>
    <t xml:space="preserve">Consultoría de ingeniería y supervisión para la rehabilitación y modernización del complejo Acaray e Yguazú  </t>
  </si>
  <si>
    <t>Informe</t>
  </si>
  <si>
    <t>meses</t>
  </si>
  <si>
    <t>1.1.2</t>
  </si>
  <si>
    <t>P1.2. Ingeniería básica y ETs de instalaciones electromecánicas</t>
  </si>
  <si>
    <t>1.1.2.1</t>
  </si>
  <si>
    <r>
      <t xml:space="preserve"> </t>
    </r>
    <r>
      <rPr>
        <sz val="10"/>
        <color indexed="8"/>
        <rFont val="Calibri"/>
        <family val="2"/>
        <scheme val="minor"/>
      </rPr>
      <t xml:space="preserve">EETT y Planos de Referencia Turbinas / Generadores / Transformadores </t>
    </r>
    <r>
      <rPr>
        <sz val="10"/>
        <rFont val="Calibri"/>
        <family val="2"/>
        <scheme val="minor"/>
      </rPr>
      <t xml:space="preserve"> </t>
    </r>
  </si>
  <si>
    <t>1.1.2.2</t>
  </si>
  <si>
    <r>
      <t xml:space="preserve"> </t>
    </r>
    <r>
      <rPr>
        <sz val="10"/>
        <color indexed="8"/>
        <rFont val="Calibri"/>
        <family val="2"/>
        <scheme val="minor"/>
      </rPr>
      <t xml:space="preserve">EETT y Planos de Referencia  Grúas / Hidromecánico </t>
    </r>
    <r>
      <rPr>
        <sz val="10"/>
        <rFont val="Calibri"/>
        <family val="2"/>
        <scheme val="minor"/>
      </rPr>
      <t xml:space="preserve"> </t>
    </r>
  </si>
  <si>
    <t>1.1.2.3</t>
  </si>
  <si>
    <r>
      <t xml:space="preserve"> </t>
    </r>
    <r>
      <rPr>
        <sz val="10"/>
        <color indexed="8"/>
        <rFont val="Calibri"/>
        <family val="2"/>
        <scheme val="minor"/>
      </rPr>
      <t xml:space="preserve">EETT y Planos de Referencia SSAA </t>
    </r>
    <r>
      <rPr>
        <sz val="10"/>
        <rFont val="Calibri"/>
        <family val="2"/>
        <scheme val="minor"/>
      </rPr>
      <t xml:space="preserve"> </t>
    </r>
  </si>
  <si>
    <t>1.1.2.4</t>
  </si>
  <si>
    <r>
      <t xml:space="preserve"> </t>
    </r>
    <r>
      <rPr>
        <sz val="10"/>
        <color indexed="8"/>
        <rFont val="Calibri"/>
        <family val="2"/>
        <scheme val="minor"/>
      </rPr>
      <t xml:space="preserve">EETT y Planos de Referencia SCADA </t>
    </r>
    <r>
      <rPr>
        <sz val="10"/>
        <rFont val="Calibri"/>
        <family val="2"/>
        <scheme val="minor"/>
      </rPr>
      <t xml:space="preserve"> </t>
    </r>
  </si>
  <si>
    <t>1.1.2.5</t>
  </si>
  <si>
    <r>
      <t xml:space="preserve"> </t>
    </r>
    <r>
      <rPr>
        <sz val="10"/>
        <color indexed="8"/>
        <rFont val="Calibri"/>
        <family val="2"/>
        <scheme val="minor"/>
      </rPr>
      <t>EETT y Planos de Referencia Estación Acaray 220KV</t>
    </r>
  </si>
  <si>
    <t>1.1.3</t>
  </si>
  <si>
    <t>P1.3. Ingeniería básica y ETs de obras civiles</t>
  </si>
  <si>
    <t>1.1.3.1</t>
  </si>
  <si>
    <r>
      <t xml:space="preserve"> </t>
    </r>
    <r>
      <rPr>
        <sz val="10"/>
        <color indexed="8"/>
        <rFont val="Calibri"/>
        <family val="2"/>
        <scheme val="minor"/>
      </rPr>
      <t xml:space="preserve">EETT y Planos de Referencia Seguridad Presas </t>
    </r>
    <r>
      <rPr>
        <sz val="10"/>
        <rFont val="Calibri"/>
        <family val="2"/>
        <scheme val="minor"/>
      </rPr>
      <t xml:space="preserve"> </t>
    </r>
  </si>
  <si>
    <t>1.1.3.2</t>
  </si>
  <si>
    <r>
      <t xml:space="preserve"> </t>
    </r>
    <r>
      <rPr>
        <sz val="10"/>
        <color indexed="8"/>
        <rFont val="Calibri"/>
        <family val="2"/>
        <scheme val="minor"/>
      </rPr>
      <t xml:space="preserve">EETT y Planos de Referencia Obrador y Depósitos </t>
    </r>
    <r>
      <rPr>
        <sz val="10"/>
        <rFont val="Calibri"/>
        <family val="2"/>
        <scheme val="minor"/>
      </rPr>
      <t xml:space="preserve"> </t>
    </r>
  </si>
  <si>
    <t>1.1.3.3</t>
  </si>
  <si>
    <r>
      <t xml:space="preserve"> </t>
    </r>
    <r>
      <rPr>
        <sz val="10"/>
        <color indexed="8"/>
        <rFont val="Calibri"/>
        <family val="2"/>
        <scheme val="minor"/>
      </rPr>
      <t>EETT y Planos de Referencia Arquitectónica</t>
    </r>
    <r>
      <rPr>
        <sz val="10"/>
        <rFont val="Calibri"/>
        <family val="2"/>
        <scheme val="minor"/>
      </rPr>
      <t xml:space="preserve"> Protección de Predios y Accesos</t>
    </r>
  </si>
  <si>
    <t>1.1.3.4</t>
  </si>
  <si>
    <r>
      <t xml:space="preserve"> </t>
    </r>
    <r>
      <rPr>
        <sz val="10"/>
        <color indexed="8"/>
        <rFont val="Calibri"/>
        <family val="2"/>
        <scheme val="minor"/>
      </rPr>
      <t xml:space="preserve">EETT y Planos de Referencia Hidrometeorología </t>
    </r>
    <r>
      <rPr>
        <sz val="10"/>
        <rFont val="Calibri"/>
        <family val="2"/>
        <scheme val="minor"/>
      </rPr>
      <t xml:space="preserve"> </t>
    </r>
  </si>
  <si>
    <t>1.1.3.5</t>
  </si>
  <si>
    <r>
      <t xml:space="preserve"> </t>
    </r>
    <r>
      <rPr>
        <sz val="10"/>
        <color indexed="8"/>
        <rFont val="Calibri"/>
        <family val="2"/>
        <scheme val="minor"/>
      </rPr>
      <t>EETT Gestión Ambiental y Seguridad Industrial de CH ACARAY (incluye PADE)</t>
    </r>
  </si>
  <si>
    <t>1.1.4</t>
  </si>
  <si>
    <t>P1.4. Supervisión Técnica desarrollada</t>
  </si>
  <si>
    <t>1.1.4.1</t>
  </si>
  <si>
    <t>1.2</t>
  </si>
  <si>
    <t>S-3</t>
  </si>
  <si>
    <t>P2: Sistemas hidro electromecánicos de las represas de Acaray e Yguazú reemplazados y modernizados</t>
  </si>
  <si>
    <t>1.2.1</t>
  </si>
  <si>
    <t>BI</t>
  </si>
  <si>
    <t>LPI</t>
  </si>
  <si>
    <t>Llave en mano</t>
  </si>
  <si>
    <t>LOTE 4: HIDROMECANICO-Renovación del Equipamiento Hidromecánico de la Presa y Central Acaray  y la Presa Yguazú</t>
  </si>
  <si>
    <t>Unidad</t>
  </si>
  <si>
    <t>1.3</t>
  </si>
  <si>
    <t>P3. Grúas y pórticos para las Centrales Acaray 1 y Acaray 2 y presas Acaray e Yguazú renovadas</t>
  </si>
  <si>
    <t>1.3.1</t>
  </si>
  <si>
    <t xml:space="preserve">LOTE 5: GRUAS-Renovación Grúas Centrales Acaray I y Acaray II y Presas Acaray e Yguazú  </t>
  </si>
  <si>
    <t>1.4</t>
  </si>
  <si>
    <t>P4. Sistema de generación de la central Acaray reemplazado</t>
  </si>
  <si>
    <t>1.4.1</t>
  </si>
  <si>
    <t>P4.1. Turbinas de Acaray 1 reemplazadas</t>
  </si>
  <si>
    <t>1.4.1.1</t>
  </si>
  <si>
    <t xml:space="preserve">LOTE 1: TURBINAS-Provisión en obra, montaje y Puesta en marcha de Dos (2) Turbinas Francis para Acaray I  </t>
  </si>
  <si>
    <t>1.4.2</t>
  </si>
  <si>
    <t>P4.2. Generadores eléctricos de Acaray 1 reemplazados</t>
  </si>
  <si>
    <t>1.4.2.1</t>
  </si>
  <si>
    <t xml:space="preserve">LOTE 2: GENERADORES-Provisión en obra, Montaje y Puesta en marcha de Dos (2) Generadores para Acaray I  </t>
  </si>
  <si>
    <t>1.4.3</t>
  </si>
  <si>
    <t>P4.3. Transformadores monofásicos de la Central reemplazados</t>
  </si>
  <si>
    <t>1.4.3.1</t>
  </si>
  <si>
    <t xml:space="preserve">LOTE 3: TRANSFORMADORES-Provisión en obra, Montaje y Puesta en marcha de Dos (2) Bancos de Transformadores Monofásicos de 25MVA mas una reserva  </t>
  </si>
  <si>
    <t>1.5</t>
  </si>
  <si>
    <t>P5. Sistemas Eléctricos Media y Baja Tensión reemplazados</t>
  </si>
  <si>
    <t>1.5.1</t>
  </si>
  <si>
    <t>LOTE 6: ALIMENTACIÓN ELÉCTRICA-Reemplazo Sistemas Eléctricos Media y Baja Tensión Presas Acaray e Yguazú y Centrales Acaray I y II</t>
  </si>
  <si>
    <t>1.6</t>
  </si>
  <si>
    <t>P6. Sistema Integral digital de adquisición y gestión de datos de la central.</t>
  </si>
  <si>
    <t>1.6.1</t>
  </si>
  <si>
    <t>LOTE 8:  Sistema Integral digital de Automatización, Gestión de Datos, Vigilancia y Registro de eventos para la Central Acaray</t>
  </si>
  <si>
    <t>Sistema</t>
  </si>
  <si>
    <t>1.7</t>
  </si>
  <si>
    <t>P7. Subestación de la Central Acaray existente rehabilitada.</t>
  </si>
  <si>
    <t>1.7.1</t>
  </si>
  <si>
    <t>LOTE 7: MEJORA ESTACIÓN ACARAY - Provisión en obra, Montaje y Puesta en Marcha de Nuevos Equipos de Maniobra y Medición para la Estación Acaray</t>
  </si>
  <si>
    <t>Global</t>
  </si>
  <si>
    <t>1.8</t>
  </si>
  <si>
    <t>S-2</t>
  </si>
  <si>
    <t>P8. Sistema de Seguridad de Presas implementado.</t>
  </si>
  <si>
    <t>1.8.1</t>
  </si>
  <si>
    <t>OB</t>
  </si>
  <si>
    <t>Suma Alzada</t>
  </si>
  <si>
    <t xml:space="preserve"> LOTE 1: SEGURIDAD PRESAS-Implementación de Mejoras en Presas Acaray   e Yguazú </t>
  </si>
  <si>
    <t>% de avance</t>
  </si>
  <si>
    <t>1.9</t>
  </si>
  <si>
    <t>P9. Infraestructura para ejecución de intervenciones construidas</t>
  </si>
  <si>
    <t>1.9.1</t>
  </si>
  <si>
    <t xml:space="preserve"> LOTE 2: LOGISTICA-Construcción Infraestructura para Ejecución de Intervenciones  </t>
  </si>
  <si>
    <t>1.10</t>
  </si>
  <si>
    <t>P10. Edificios de la central Acaray rehabilitados</t>
  </si>
  <si>
    <t>1.10.1</t>
  </si>
  <si>
    <t xml:space="preserve"> LOTE 3: ARQUITECTONICA-Rehabilitación Edificios Centrales Acaray I y II, Administración y Mando</t>
  </si>
  <si>
    <t>1.11</t>
  </si>
  <si>
    <t>P11. Red hidrometeorológica de la cuenca del Río Acaray rehabilitada y ampliada</t>
  </si>
  <si>
    <t>1.11.1</t>
  </si>
  <si>
    <t xml:space="preserve"> LOTE 4: HIDROMETEOROLOGIA-Rehabilitación y Ampliación Red Hidrometeorológica Cuenca rio Acaray  </t>
  </si>
  <si>
    <t>1.12</t>
  </si>
  <si>
    <t>P12. Plan de gestión ambiental, salud y seguridad ocupacional Complejo Acaray – Yguazú implementado</t>
  </si>
  <si>
    <t>1.12.1</t>
  </si>
  <si>
    <t xml:space="preserve"> LOTE 5: AMBIENTE Y SEGURIDAD-Gestión Ambiental y Seguridad Industrial Complejo Acaray-Yguazú (incluye PADE)  </t>
  </si>
  <si>
    <t>1.13</t>
  </si>
  <si>
    <t>CONTINGENCIAS E IMPREVISTOS</t>
  </si>
  <si>
    <t>1.13.1</t>
  </si>
  <si>
    <t>Gastos no Asignados: Contingencias e Imprevistos</t>
  </si>
  <si>
    <t>C-2</t>
  </si>
  <si>
    <t>Componente 2. Apoyo a la gestión, protección de predios, equidad de género y capacidad institucional.</t>
  </si>
  <si>
    <t>2.1</t>
  </si>
  <si>
    <t>P13. Obras civiles para protección de predios construidos.</t>
  </si>
  <si>
    <t>2.1.1</t>
  </si>
  <si>
    <t>Consultoría para el desarrollo de especificaciones técnicas para protección de predios y accesos turísticos</t>
  </si>
  <si>
    <t>2.1.2</t>
  </si>
  <si>
    <t>CP</t>
  </si>
  <si>
    <t>Provisión de Protección de predios</t>
  </si>
  <si>
    <t>2.2</t>
  </si>
  <si>
    <t>P14. Sistema de gestión para la operación y el mantenimiento de la central implementado.</t>
  </si>
  <si>
    <t>2.2.1</t>
  </si>
  <si>
    <t>Consultoría para el desarrollo del Sistema de Operación y Mantenimiento</t>
  </si>
  <si>
    <t>2.3</t>
  </si>
  <si>
    <t>P15. Estrategia de género diseñada e implementada en ANDE.</t>
  </si>
  <si>
    <t>2.3.1</t>
  </si>
  <si>
    <t>Estudios varios</t>
  </si>
  <si>
    <t>2.4</t>
  </si>
  <si>
    <t>P16. Talleres de capacitación al personal de ANDE desarrollados.</t>
  </si>
  <si>
    <t>Talleres</t>
  </si>
  <si>
    <t>2.5</t>
  </si>
  <si>
    <t xml:space="preserve">P17. Panel de Expertos </t>
  </si>
  <si>
    <t>2.5.1</t>
  </si>
  <si>
    <t>A-S</t>
  </si>
  <si>
    <t>CCII</t>
  </si>
  <si>
    <t>SD</t>
  </si>
  <si>
    <t>Consultoría Externa para Apoyo a la ANDE (Panel de Consultores)</t>
  </si>
  <si>
    <t>2.6</t>
  </si>
  <si>
    <t>2.6.1</t>
  </si>
  <si>
    <t>Administración del Programa</t>
  </si>
  <si>
    <t>3.1</t>
  </si>
  <si>
    <t>Unidad de Administración en funcionamiento</t>
  </si>
  <si>
    <t>3.1.1</t>
  </si>
  <si>
    <t>CCIN</t>
  </si>
  <si>
    <t>3CV</t>
  </si>
  <si>
    <t>x Tiempo</t>
  </si>
  <si>
    <t>Ingeniero Civil</t>
  </si>
  <si>
    <t>persona</t>
  </si>
  <si>
    <t>3.1.2</t>
  </si>
  <si>
    <t>Ingeniero Electromecánico</t>
  </si>
  <si>
    <t>3.1.3</t>
  </si>
  <si>
    <t>Especialista Fiduciario</t>
  </si>
  <si>
    <t>3.1.4</t>
  </si>
  <si>
    <t>Ingeniero Eléctrico</t>
  </si>
  <si>
    <t>3.1.5</t>
  </si>
  <si>
    <t>Especialista Ambiental</t>
  </si>
  <si>
    <t>3.1.6</t>
  </si>
  <si>
    <t>3.2</t>
  </si>
  <si>
    <t>E-A</t>
  </si>
  <si>
    <t>Evaluaciones</t>
  </si>
  <si>
    <t>3.2.1</t>
  </si>
  <si>
    <t>SCC</t>
  </si>
  <si>
    <t>Contratación de Evaluación Intermedia</t>
  </si>
  <si>
    <t>firma</t>
  </si>
  <si>
    <t>3.2.2</t>
  </si>
  <si>
    <t>Contratación de Evaluación Final</t>
  </si>
  <si>
    <t>3.3</t>
  </si>
  <si>
    <t>Auditoria Externa</t>
  </si>
  <si>
    <t>3.3.1</t>
  </si>
  <si>
    <t>Contratación de Auditoria Externa del Programa</t>
  </si>
  <si>
    <t>años</t>
  </si>
  <si>
    <t>TOTAL</t>
  </si>
  <si>
    <t>Nombre Organismo Prestatario</t>
  </si>
  <si>
    <t>Nombre Organismo Sub-Ejecutor (si aplica)</t>
  </si>
  <si>
    <t>Iniciales Organismo Sub-ejecutor</t>
  </si>
  <si>
    <t>ADMINISTRACIÓN NACIONAL DE ELECTRICIDAD (ANDE)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</si>
  <si>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</si>
  <si>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</si>
  <si>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</si>
  <si>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t>SI / NO?</t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</si>
  <si>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</si>
  <si>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PLAN DE ADQUISICIONES GLOBAL</t>
  </si>
  <si>
    <t>(Expresado en USD.)</t>
  </si>
  <si>
    <t>Período comprendido:  Año 1 a Año 6</t>
  </si>
  <si>
    <t>INFORMACIÓN PARA CARGA INICIAL DEL PLAN DE ADQUISICIONES (EN CURSO Y/O ULTIMO PRESENTADO)</t>
  </si>
  <si>
    <t>OBRAS</t>
  </si>
  <si>
    <t>Unidad Ejecutora:</t>
  </si>
  <si>
    <t>Actividad:</t>
  </si>
  <si>
    <t>Descripción adicional: Ítem EDT</t>
  </si>
  <si>
    <t>Método de Selección/Adquisición
(Seleccionar una de las opciones):</t>
  </si>
  <si>
    <t>Cantidad de Lotes :</t>
  </si>
  <si>
    <t>Número de Proceso:</t>
  </si>
  <si>
    <t xml:space="preserve">Monto Estimado </t>
  </si>
  <si>
    <t>Componente Asociado :</t>
  </si>
  <si>
    <t>Método de Revisión (Seleccionar una de las opciones):</t>
  </si>
  <si>
    <t>Fechas</t>
  </si>
  <si>
    <t>Comentarios - Costo estimado por Lote</t>
  </si>
  <si>
    <t>Monto Estimado, en u$s :</t>
  </si>
  <si>
    <t>Monto Estimado % BID:</t>
  </si>
  <si>
    <t>Monto Estimado % Contraparte:</t>
  </si>
  <si>
    <t>Aviso Especial de Adquisiciones</t>
  </si>
  <si>
    <t>Firma del Contrato</t>
  </si>
  <si>
    <t>ANDE</t>
  </si>
  <si>
    <t>Contratación de Firma Constructora para obras civiles en la Central Hidroeléctrica ACARAY</t>
  </si>
  <si>
    <t>Comp 1</t>
  </si>
  <si>
    <t>Exante</t>
  </si>
  <si>
    <t>Comp 2</t>
  </si>
  <si>
    <t>GN-2349-9: Clausula 3.5</t>
  </si>
  <si>
    <t>TOTAL OBRAS</t>
  </si>
  <si>
    <t>BIENES</t>
  </si>
  <si>
    <t>Método de Adquisición
(Seleccionar una de las opciones):</t>
  </si>
  <si>
    <t>Adquisición de equipamiento electromecánico para la Central Hidroeléctrica ACARAY</t>
  </si>
  <si>
    <t>Comp. 1</t>
  </si>
  <si>
    <t>TOTAL BIENES</t>
  </si>
  <si>
    <t>SERVICIOS DE NO CONSULTORÍA</t>
  </si>
  <si>
    <t>Comentarios</t>
  </si>
  <si>
    <t>Documento de Licitación</t>
  </si>
  <si>
    <t>TOTAL DE SERVICIOS DE NO CONSULTORIA</t>
  </si>
  <si>
    <t>CONSULTORÍAS FIRMAS</t>
  </si>
  <si>
    <t>Comentarios - Costo estimado tema a ser desarrollado</t>
  </si>
  <si>
    <t>Aviso de Expresiones de Interés</t>
  </si>
  <si>
    <t>19/08/2019 
(AD REFERENDUM DE LA LEY DE PRESTAMO)</t>
  </si>
  <si>
    <t>Comp. 2</t>
  </si>
  <si>
    <t>ExAnte</t>
  </si>
  <si>
    <t>Contratación de Firma Consultora para el desarrollo de cursos de capacitación</t>
  </si>
  <si>
    <t>TOTAL CONSULTORIAS FIRMAS</t>
  </si>
  <si>
    <t>CONSULTORÍAS INDIVIDUOS</t>
  </si>
  <si>
    <t>Cantidad Estimada de Consultores :</t>
  </si>
  <si>
    <t>No Objeción a los TDRs de la Actividad</t>
  </si>
  <si>
    <t>Firma Contrato</t>
  </si>
  <si>
    <t>Adminis y Superv</t>
  </si>
  <si>
    <t>A definir</t>
  </si>
  <si>
    <t>GN-2350-9: Clausula 3.10 c)</t>
  </si>
  <si>
    <t>TOTAL CONSULTORIAS INDIVIDUALES</t>
  </si>
  <si>
    <t>CAPACITACIÓN</t>
  </si>
  <si>
    <t>Plan de Capacitación Anual (PCA)</t>
  </si>
  <si>
    <t>Fin de la Actividad</t>
  </si>
  <si>
    <t>TOTAL CAPACITACIÓN</t>
  </si>
  <si>
    <t>SUBPROYECTOS</t>
  </si>
  <si>
    <t>Objeto de la Transferencia:</t>
  </si>
  <si>
    <t>Cantidad Estimada de Subproyectos:</t>
  </si>
  <si>
    <t>Firma del Contrato / Convenio por Adjudicación de los Subproyectos</t>
  </si>
  <si>
    <t>Fecha de 
Transferencia</t>
  </si>
  <si>
    <t>TOTAL SUBPROYECTOS</t>
  </si>
  <si>
    <t>TOTAL CAPACITACIONES</t>
  </si>
  <si>
    <t>TOTAL DEL PLAN DE ADQUISICIONES</t>
  </si>
  <si>
    <t>TOTAL TRANSFERENCIAS</t>
  </si>
  <si>
    <t>TOTAL VIATICOS</t>
  </si>
  <si>
    <t>Viaticos y Gratificaciones</t>
  </si>
  <si>
    <t>TOTAL NO ASIGNACO</t>
  </si>
  <si>
    <t>Imprevistos</t>
  </si>
  <si>
    <t>Diferencia</t>
  </si>
  <si>
    <t>INFORMACIÓN PARA CARGA INICIAL DEL PLAN DE ADQUISICIONES</t>
  </si>
  <si>
    <t>1. Cobertura del Plan de Adquisiciones</t>
  </si>
  <si>
    <t>Dato</t>
  </si>
  <si>
    <t>Desde</t>
  </si>
  <si>
    <t>Hasta</t>
  </si>
  <si>
    <t>Cobertura del Plan de Adquisiciones</t>
  </si>
  <si>
    <t>Enero de 2020</t>
  </si>
  <si>
    <t>Diciembre de 2025</t>
  </si>
  <si>
    <t>2. Versión del Plan de Adquisiciones</t>
  </si>
  <si>
    <t>Versión: 1 - septiembre de 2018</t>
  </si>
  <si>
    <t>3. Tipos de Gastos</t>
  </si>
  <si>
    <t>Categoría de Adquisición</t>
  </si>
  <si>
    <t>Monto Financiado por el Banco</t>
  </si>
  <si>
    <t>Monto Total Proyecto (Incluyendo Contraparte)</t>
  </si>
  <si>
    <t>Obras</t>
  </si>
  <si>
    <t>Bienes</t>
  </si>
  <si>
    <t>Servicios de no consultoría</t>
  </si>
  <si>
    <t>Firmas</t>
  </si>
  <si>
    <t>Individuos</t>
  </si>
  <si>
    <t>Capacitaciones</t>
  </si>
  <si>
    <t>Subproyectos</t>
  </si>
  <si>
    <t>4. Componentes</t>
  </si>
  <si>
    <t>Compo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</si>
</sst>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[$USD]\ #,##0.00"/>
    <numFmt numFmtId="167" formatCode="_(* #,##0_);_(* \(#,##0\);_(* &quot;-&quot;??_);_(@_)"/>
    <numFmt numFmtId="168" formatCode="dd/mm/yy;@"/>
    <numFmt numFmtId="169" formatCode="0.0%"/>
    <numFmt numFmtId="170" formatCode="dd/mm/yyyy;@"/>
    <numFmt numFmtId="171" formatCode="_-* #,##0.00\ _$_-;\-* #,##0.00\ _$_-;_-* &quot;-&quot;??\ _$_-;_-@_-"/>
    <numFmt numFmtId="172" formatCode="_-* #,##0.00\ _€_-;\-* #,##0.00\ _€_-;_-* &quot;-&quot;??\ _€_-;_-@_-"/>
    <numFmt numFmtId="173" formatCode="_-* #,##0.00\ &quot;€&quot;_-;\-* #,##0.00\ &quot;€&quot;_-;_-* &quot;-&quot;??\ &quot;€&quot;_-;_-@_-"/>
  </numFmts>
  <fonts count="36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sz val="26"/>
      <color theme="0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</borders>
  <cellStyleXfs count="23">
    <xf numFmtId="0" fontId="0" fillId="0" borderId="0"/>
    <xf numFmtId="41" fontId="2" fillId="0" borderId="0" applyFont="0" applyFill="0" applyBorder="0" applyAlignment="0" applyProtection="0"/>
    <xf numFmtId="166" fontId="2" fillId="0" borderId="0"/>
    <xf numFmtId="166" fontId="4" fillId="0" borderId="0"/>
    <xf numFmtId="43" fontId="4" fillId="0" borderId="0" applyFont="0" applyFill="0" applyBorder="0" applyAlignment="0" applyProtection="0"/>
    <xf numFmtId="166" fontId="4" fillId="0" borderId="0"/>
    <xf numFmtId="166" fontId="4" fillId="0" borderId="0"/>
    <xf numFmtId="166" fontId="5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5" fillId="0" borderId="0"/>
    <xf numFmtId="166" fontId="2" fillId="0" borderId="0"/>
    <xf numFmtId="44" fontId="7" fillId="0" borderId="0" applyFont="0" applyFill="0" applyBorder="0" applyAlignment="0" applyProtection="0"/>
    <xf numFmtId="166" fontId="2" fillId="0" borderId="0"/>
    <xf numFmtId="166" fontId="2" fillId="0" borderId="0"/>
    <xf numFmtId="0" fontId="13" fillId="0" borderId="0" applyNumberFormat="0" applyFill="0" applyBorder="0" applyAlignment="0" applyProtection="0"/>
    <xf numFmtId="0" fontId="4" fillId="0" borderId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</cellStyleXfs>
  <cellXfs count="299">
    <xf numFmtId="0" fontId="0" fillId="0" borderId="0" xfId="0"/>
    <xf numFmtId="0" fontId="6" fillId="0" borderId="0" xfId="0" applyFont="1"/>
    <xf numFmtId="0" fontId="14" fillId="2" borderId="13" xfId="0" applyFont="1" applyFill="1" applyBorder="1"/>
    <xf numFmtId="166" fontId="16" fillId="0" borderId="0" xfId="2" applyFont="1" applyAlignment="1">
      <alignment horizontal="center" vertical="center"/>
    </xf>
    <xf numFmtId="166" fontId="16" fillId="3" borderId="0" xfId="2" applyFont="1" applyFill="1" applyBorder="1" applyAlignment="1">
      <alignment horizontal="center" vertical="center"/>
    </xf>
    <xf numFmtId="166" fontId="16" fillId="0" borderId="0" xfId="2" applyFont="1" applyAlignment="1">
      <alignment horizontal="left" vertical="center"/>
    </xf>
    <xf numFmtId="166" fontId="18" fillId="0" borderId="0" xfId="3" applyFont="1" applyAlignment="1">
      <alignment horizontal="left" vertical="center"/>
    </xf>
    <xf numFmtId="166" fontId="16" fillId="0" borderId="0" xfId="2" applyFont="1" applyAlignment="1">
      <alignment horizontal="left" vertical="center" wrapText="1"/>
    </xf>
    <xf numFmtId="167" fontId="16" fillId="0" borderId="0" xfId="4" applyNumberFormat="1" applyFont="1" applyAlignment="1">
      <alignment horizontal="left" vertical="center"/>
    </xf>
    <xf numFmtId="168" fontId="16" fillId="0" borderId="0" xfId="2" applyNumberFormat="1" applyFont="1" applyAlignment="1">
      <alignment horizontal="left" vertical="center"/>
    </xf>
    <xf numFmtId="166" fontId="16" fillId="3" borderId="0" xfId="2" applyFont="1" applyFill="1" applyBorder="1" applyAlignment="1">
      <alignment horizontal="left" vertical="center"/>
    </xf>
    <xf numFmtId="166" fontId="19" fillId="9" borderId="5" xfId="5" applyFont="1" applyFill="1" applyBorder="1" applyAlignment="1">
      <alignment horizontal="center" vertical="center"/>
    </xf>
    <xf numFmtId="166" fontId="17" fillId="9" borderId="5" xfId="5" applyFont="1" applyFill="1" applyBorder="1" applyAlignment="1">
      <alignment horizontal="left" vertical="center" wrapText="1"/>
    </xf>
    <xf numFmtId="166" fontId="21" fillId="0" borderId="2" xfId="5" applyFont="1" applyBorder="1" applyAlignment="1">
      <alignment horizontal="left" vertical="center"/>
    </xf>
    <xf numFmtId="166" fontId="21" fillId="0" borderId="5" xfId="5" applyFont="1" applyBorder="1" applyAlignment="1">
      <alignment horizontal="center" vertical="center" wrapText="1"/>
    </xf>
    <xf numFmtId="166" fontId="21" fillId="0" borderId="5" xfId="5" applyFont="1" applyBorder="1" applyAlignment="1">
      <alignment horizontal="left" vertical="center" wrapText="1"/>
    </xf>
    <xf numFmtId="166" fontId="16" fillId="3" borderId="5" xfId="2" applyFont="1" applyFill="1" applyBorder="1" applyAlignment="1">
      <alignment horizontal="right" vertical="center"/>
    </xf>
    <xf numFmtId="166" fontId="21" fillId="3" borderId="5" xfId="5" applyFont="1" applyFill="1" applyBorder="1" applyAlignment="1">
      <alignment horizontal="left" vertical="center" wrapText="1"/>
    </xf>
    <xf numFmtId="167" fontId="21" fillId="3" borderId="5" xfId="4" applyNumberFormat="1" applyFont="1" applyFill="1" applyBorder="1" applyAlignment="1">
      <alignment horizontal="center" vertical="center" wrapText="1"/>
    </xf>
    <xf numFmtId="37" fontId="21" fillId="0" borderId="5" xfId="8" applyNumberFormat="1" applyFont="1" applyBorder="1" applyAlignment="1">
      <alignment horizontal="center" vertical="center"/>
    </xf>
    <xf numFmtId="9" fontId="21" fillId="3" borderId="5" xfId="5" applyNumberFormat="1" applyFont="1" applyFill="1" applyBorder="1" applyAlignment="1">
      <alignment horizontal="center" vertical="center" wrapText="1"/>
    </xf>
    <xf numFmtId="9" fontId="21" fillId="3" borderId="8" xfId="9" applyFont="1" applyFill="1" applyBorder="1" applyAlignment="1">
      <alignment horizontal="center" vertical="center"/>
    </xf>
    <xf numFmtId="166" fontId="21" fillId="0" borderId="5" xfId="5" applyFont="1" applyBorder="1" applyAlignment="1">
      <alignment horizontal="center" vertical="center"/>
    </xf>
    <xf numFmtId="17" fontId="16" fillId="3" borderId="5" xfId="14" applyNumberFormat="1" applyFont="1" applyFill="1" applyBorder="1" applyAlignment="1">
      <alignment horizontal="center" vertical="center"/>
    </xf>
    <xf numFmtId="166" fontId="16" fillId="3" borderId="5" xfId="2" applyFont="1" applyFill="1" applyBorder="1" applyAlignment="1">
      <alignment horizontal="left" vertical="center"/>
    </xf>
    <xf numFmtId="166" fontId="18" fillId="7" borderId="0" xfId="2" applyFont="1" applyFill="1" applyBorder="1" applyAlignment="1">
      <alignment horizontal="right" vertical="center"/>
    </xf>
    <xf numFmtId="166" fontId="21" fillId="7" borderId="18" xfId="5" applyFont="1" applyFill="1" applyBorder="1" applyAlignment="1">
      <alignment horizontal="left" vertical="center" wrapText="1"/>
    </xf>
    <xf numFmtId="166" fontId="21" fillId="7" borderId="5" xfId="5" applyFont="1" applyFill="1" applyBorder="1" applyAlignment="1">
      <alignment horizontal="left" vertical="center" wrapText="1"/>
    </xf>
    <xf numFmtId="166" fontId="21" fillId="7" borderId="15" xfId="5" applyFont="1" applyFill="1" applyBorder="1" applyAlignment="1">
      <alignment horizontal="left" vertical="center" wrapText="1"/>
    </xf>
    <xf numFmtId="166" fontId="17" fillId="9" borderId="5" xfId="5" applyFont="1" applyFill="1" applyBorder="1" applyAlignment="1">
      <alignment horizontal="center" vertical="center" wrapText="1"/>
    </xf>
    <xf numFmtId="166" fontId="21" fillId="3" borderId="2" xfId="5" applyFont="1" applyFill="1" applyBorder="1" applyAlignment="1">
      <alignment horizontal="left" vertical="center"/>
    </xf>
    <xf numFmtId="166" fontId="16" fillId="3" borderId="5" xfId="2" applyFont="1" applyFill="1" applyBorder="1" applyAlignment="1">
      <alignment horizontal="center" vertical="center"/>
    </xf>
    <xf numFmtId="166" fontId="21" fillId="3" borderId="17" xfId="5" applyFont="1" applyFill="1" applyBorder="1" applyAlignment="1">
      <alignment horizontal="left" vertical="center" wrapText="1"/>
    </xf>
    <xf numFmtId="166" fontId="16" fillId="0" borderId="5" xfId="2" applyFont="1" applyBorder="1" applyAlignment="1">
      <alignment horizontal="left" vertical="center"/>
    </xf>
    <xf numFmtId="37" fontId="21" fillId="0" borderId="5" xfId="8" applyNumberFormat="1" applyFont="1" applyBorder="1" applyAlignment="1">
      <alignment horizontal="left" vertical="center"/>
    </xf>
    <xf numFmtId="167" fontId="21" fillId="0" borderId="5" xfId="4" applyNumberFormat="1" applyFont="1" applyFill="1" applyBorder="1" applyAlignment="1">
      <alignment horizontal="left" vertical="center" wrapText="1"/>
    </xf>
    <xf numFmtId="9" fontId="21" fillId="3" borderId="5" xfId="5" applyNumberFormat="1" applyFont="1" applyFill="1" applyBorder="1" applyAlignment="1">
      <alignment horizontal="left" vertical="center" wrapText="1"/>
    </xf>
    <xf numFmtId="9" fontId="21" fillId="3" borderId="5" xfId="9" applyFont="1" applyFill="1" applyBorder="1" applyAlignment="1">
      <alignment horizontal="left" vertical="center"/>
    </xf>
    <xf numFmtId="166" fontId="21" fillId="0" borderId="5" xfId="5" applyFont="1" applyBorder="1" applyAlignment="1">
      <alignment horizontal="left" vertical="center"/>
    </xf>
    <xf numFmtId="166" fontId="21" fillId="3" borderId="5" xfId="5" applyFont="1" applyFill="1" applyBorder="1" applyAlignment="1">
      <alignment horizontal="left" vertical="center"/>
    </xf>
    <xf numFmtId="17" fontId="16" fillId="3" borderId="5" xfId="14" applyNumberFormat="1" applyFont="1" applyFill="1" applyBorder="1" applyAlignment="1">
      <alignment horizontal="left" vertical="center"/>
    </xf>
    <xf numFmtId="166" fontId="21" fillId="0" borderId="5" xfId="5" applyFont="1" applyFill="1" applyBorder="1" applyAlignment="1">
      <alignment horizontal="left" vertical="center" wrapText="1"/>
    </xf>
    <xf numFmtId="166" fontId="16" fillId="0" borderId="1" xfId="2" applyFont="1" applyFill="1" applyBorder="1" applyAlignment="1">
      <alignment horizontal="left" vertical="center"/>
    </xf>
    <xf numFmtId="167" fontId="20" fillId="7" borderId="5" xfId="5" applyNumberFormat="1" applyFont="1" applyFill="1" applyBorder="1" applyAlignment="1">
      <alignment horizontal="left" vertical="center" wrapText="1"/>
    </xf>
    <xf numFmtId="166" fontId="21" fillId="0" borderId="12" xfId="5" applyFont="1" applyFill="1" applyBorder="1" applyAlignment="1">
      <alignment horizontal="left" vertical="center" wrapText="1"/>
    </xf>
    <xf numFmtId="166" fontId="21" fillId="0" borderId="0" xfId="5" applyFont="1" applyFill="1" applyBorder="1" applyAlignment="1">
      <alignment horizontal="left" vertical="center" wrapText="1"/>
    </xf>
    <xf numFmtId="166" fontId="16" fillId="8" borderId="0" xfId="2" applyFont="1" applyFill="1" applyAlignment="1">
      <alignment horizontal="center" vertical="center"/>
    </xf>
    <xf numFmtId="166" fontId="21" fillId="0" borderId="4" xfId="5" applyFont="1" applyFill="1" applyBorder="1" applyAlignment="1">
      <alignment horizontal="left" vertical="center" wrapText="1"/>
    </xf>
    <xf numFmtId="166" fontId="16" fillId="0" borderId="5" xfId="2" applyFont="1" applyBorder="1" applyAlignment="1">
      <alignment horizontal="center" vertical="center"/>
    </xf>
    <xf numFmtId="17" fontId="16" fillId="3" borderId="15" xfId="14" applyNumberFormat="1" applyFont="1" applyFill="1" applyBorder="1" applyAlignment="1">
      <alignment vertical="center"/>
    </xf>
    <xf numFmtId="17" fontId="16" fillId="3" borderId="6" xfId="14" applyNumberFormat="1" applyFont="1" applyFill="1" applyBorder="1" applyAlignment="1">
      <alignment vertical="center"/>
    </xf>
    <xf numFmtId="17" fontId="16" fillId="3" borderId="6" xfId="14" applyNumberFormat="1" applyFont="1" applyFill="1" applyBorder="1" applyAlignment="1">
      <alignment horizontal="left" vertical="center"/>
    </xf>
    <xf numFmtId="166" fontId="16" fillId="7" borderId="5" xfId="2" applyFont="1" applyFill="1" applyBorder="1" applyAlignment="1">
      <alignment horizontal="left" vertical="center"/>
    </xf>
    <xf numFmtId="167" fontId="21" fillId="3" borderId="5" xfId="4" applyNumberFormat="1" applyFont="1" applyFill="1" applyBorder="1" applyAlignment="1">
      <alignment horizontal="left" vertical="center" wrapText="1"/>
    </xf>
    <xf numFmtId="9" fontId="21" fillId="3" borderId="5" xfId="9" applyFont="1" applyFill="1" applyBorder="1" applyAlignment="1">
      <alignment horizontal="center" vertical="center"/>
    </xf>
    <xf numFmtId="3" fontId="21" fillId="3" borderId="5" xfId="4" applyNumberFormat="1" applyFont="1" applyFill="1" applyBorder="1" applyAlignment="1">
      <alignment horizontal="center" vertical="center"/>
    </xf>
    <xf numFmtId="166" fontId="16" fillId="0" borderId="0" xfId="2" applyFont="1" applyFill="1" applyBorder="1" applyAlignment="1">
      <alignment horizontal="left" vertical="center"/>
    </xf>
    <xf numFmtId="167" fontId="18" fillId="7" borderId="5" xfId="2" applyNumberFormat="1" applyFont="1" applyFill="1" applyBorder="1" applyAlignment="1">
      <alignment horizontal="left" vertical="center"/>
    </xf>
    <xf numFmtId="3" fontId="18" fillId="7" borderId="5" xfId="2" applyNumberFormat="1" applyFont="1" applyFill="1" applyBorder="1" applyAlignment="1">
      <alignment horizontal="center" vertical="center"/>
    </xf>
    <xf numFmtId="166" fontId="21" fillId="0" borderId="0" xfId="2" applyFont="1" applyAlignment="1">
      <alignment horizontal="left" vertical="center"/>
    </xf>
    <xf numFmtId="166" fontId="21" fillId="0" borderId="0" xfId="2" applyFont="1" applyAlignment="1">
      <alignment horizontal="left" vertical="center" wrapText="1"/>
    </xf>
    <xf numFmtId="167" fontId="21" fillId="0" borderId="0" xfId="4" applyNumberFormat="1" applyFont="1" applyAlignment="1">
      <alignment horizontal="left" vertical="center"/>
    </xf>
    <xf numFmtId="168" fontId="21" fillId="0" borderId="0" xfId="2" applyNumberFormat="1" applyFont="1" applyAlignment="1">
      <alignment horizontal="left" vertical="center"/>
    </xf>
    <xf numFmtId="17" fontId="16" fillId="0" borderId="5" xfId="14" applyNumberFormat="1" applyFont="1" applyBorder="1" applyAlignment="1">
      <alignment horizontal="left" vertical="center"/>
    </xf>
    <xf numFmtId="17" fontId="16" fillId="3" borderId="5" xfId="13" applyNumberFormat="1" applyFont="1" applyFill="1" applyBorder="1" applyAlignment="1">
      <alignment horizontal="left" vertical="center"/>
    </xf>
    <xf numFmtId="166" fontId="21" fillId="7" borderId="3" xfId="5" applyFont="1" applyFill="1" applyBorder="1" applyAlignment="1">
      <alignment horizontal="left" vertical="center" wrapText="1"/>
    </xf>
    <xf numFmtId="166" fontId="16" fillId="8" borderId="0" xfId="2" applyFont="1" applyFill="1" applyAlignment="1">
      <alignment horizontal="left" vertical="center"/>
    </xf>
    <xf numFmtId="166" fontId="16" fillId="0" borderId="0" xfId="2" applyFont="1" applyFill="1" applyAlignment="1">
      <alignment horizontal="left" vertical="center"/>
    </xf>
    <xf numFmtId="166" fontId="16" fillId="3" borderId="0" xfId="2" applyFont="1" applyFill="1" applyAlignment="1">
      <alignment horizontal="left" vertical="center"/>
    </xf>
    <xf numFmtId="49" fontId="21" fillId="3" borderId="5" xfId="5" applyNumberFormat="1" applyFont="1" applyFill="1" applyBorder="1" applyAlignment="1">
      <alignment horizontal="left" vertical="center" wrapText="1"/>
    </xf>
    <xf numFmtId="167" fontId="21" fillId="7" borderId="13" xfId="5" applyNumberFormat="1" applyFont="1" applyFill="1" applyBorder="1" applyAlignment="1">
      <alignment horizontal="left" vertical="center" wrapText="1"/>
    </xf>
    <xf numFmtId="169" fontId="16" fillId="0" borderId="0" xfId="9" applyNumberFormat="1" applyFont="1" applyAlignment="1">
      <alignment horizontal="left" vertical="center"/>
    </xf>
    <xf numFmtId="167" fontId="20" fillId="7" borderId="13" xfId="5" applyNumberFormat="1" applyFont="1" applyFill="1" applyBorder="1" applyAlignment="1">
      <alignment horizontal="left" vertical="center" wrapText="1"/>
    </xf>
    <xf numFmtId="167" fontId="22" fillId="0" borderId="0" xfId="4" applyNumberFormat="1" applyFont="1" applyAlignment="1">
      <alignment horizontal="left" vertical="center"/>
    </xf>
    <xf numFmtId="3" fontId="21" fillId="0" borderId="5" xfId="5" applyNumberFormat="1" applyFont="1" applyFill="1" applyBorder="1" applyAlignment="1">
      <alignment horizontal="center" vertical="center" wrapText="1"/>
    </xf>
    <xf numFmtId="0" fontId="4" fillId="0" borderId="0" xfId="16"/>
    <xf numFmtId="0" fontId="10" fillId="0" borderId="0" xfId="16" applyFont="1" applyAlignment="1">
      <alignment vertical="center"/>
    </xf>
    <xf numFmtId="0" fontId="10" fillId="0" borderId="21" xfId="16" applyFont="1" applyBorder="1" applyAlignment="1">
      <alignment vertical="center"/>
    </xf>
    <xf numFmtId="0" fontId="10" fillId="0" borderId="21" xfId="16" applyFont="1" applyBorder="1" applyAlignment="1">
      <alignment vertical="center" wrapText="1"/>
    </xf>
    <xf numFmtId="0" fontId="29" fillId="4" borderId="21" xfId="16" applyFont="1" applyFill="1" applyBorder="1" applyAlignment="1">
      <alignment horizontal="center" vertical="center"/>
    </xf>
    <xf numFmtId="0" fontId="29" fillId="4" borderId="21" xfId="16" applyFont="1" applyFill="1" applyBorder="1" applyAlignment="1">
      <alignment horizontal="center" vertical="center" wrapText="1"/>
    </xf>
    <xf numFmtId="0" fontId="28" fillId="4" borderId="21" xfId="16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1" fillId="3" borderId="10" xfId="0" applyFont="1" applyFill="1" applyBorder="1" applyAlignment="1">
      <alignment horizontal="right" vertical="top" wrapText="1"/>
    </xf>
    <xf numFmtId="0" fontId="11" fillId="3" borderId="9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41" fontId="8" fillId="3" borderId="9" xfId="1" applyFont="1" applyFill="1" applyBorder="1" applyAlignment="1">
      <alignment horizontal="center" vertical="top" wrapText="1"/>
    </xf>
    <xf numFmtId="10" fontId="3" fillId="3" borderId="0" xfId="9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8" fillId="6" borderId="5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vertical="top" wrapText="1"/>
    </xf>
    <xf numFmtId="0" fontId="8" fillId="6" borderId="5" xfId="0" applyFont="1" applyFill="1" applyBorder="1" applyAlignment="1">
      <alignment horizontal="center" vertical="top"/>
    </xf>
    <xf numFmtId="41" fontId="8" fillId="6" borderId="5" xfId="1" applyFont="1" applyFill="1" applyBorder="1" applyAlignment="1">
      <alignment horizontal="left" vertical="top" wrapText="1"/>
    </xf>
    <xf numFmtId="41" fontId="8" fillId="6" borderId="5" xfId="1" applyFont="1" applyFill="1" applyBorder="1" applyAlignment="1">
      <alignment horizontal="center" vertical="top" wrapText="1"/>
    </xf>
    <xf numFmtId="0" fontId="11" fillId="3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1" fillId="4" borderId="5" xfId="0" applyFont="1" applyFill="1" applyBorder="1" applyAlignment="1">
      <alignment horizontal="right" vertical="top" wrapText="1"/>
    </xf>
    <xf numFmtId="0" fontId="11" fillId="4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left" vertical="top" wrapText="1"/>
    </xf>
    <xf numFmtId="3" fontId="11" fillId="4" borderId="5" xfId="0" applyNumberFormat="1" applyFont="1" applyFill="1" applyBorder="1" applyAlignment="1">
      <alignment horizontal="center" vertical="top"/>
    </xf>
    <xf numFmtId="41" fontId="11" fillId="4" borderId="5" xfId="1" applyFont="1" applyFill="1" applyBorder="1" applyAlignment="1">
      <alignment horizontal="right" vertical="top"/>
    </xf>
    <xf numFmtId="41" fontId="8" fillId="4" borderId="5" xfId="1" applyFont="1" applyFill="1" applyBorder="1" applyAlignment="1">
      <alignment horizontal="right" vertical="top"/>
    </xf>
    <xf numFmtId="10" fontId="12" fillId="3" borderId="0" xfId="9" applyNumberFormat="1" applyFont="1" applyFill="1" applyAlignment="1">
      <alignment horizontal="center" vertical="top"/>
    </xf>
    <xf numFmtId="0" fontId="10" fillId="8" borderId="5" xfId="0" applyFont="1" applyFill="1" applyBorder="1" applyAlignment="1">
      <alignment horizontal="right" vertical="top" wrapText="1"/>
    </xf>
    <xf numFmtId="0" fontId="10" fillId="8" borderId="5" xfId="0" applyFont="1" applyFill="1" applyBorder="1" applyAlignment="1">
      <alignment horizontal="center" vertical="top" wrapText="1"/>
    </xf>
    <xf numFmtId="0" fontId="9" fillId="8" borderId="5" xfId="0" applyFont="1" applyFill="1" applyBorder="1" applyAlignment="1">
      <alignment horizontal="left" vertical="top" wrapText="1"/>
    </xf>
    <xf numFmtId="3" fontId="9" fillId="8" borderId="5" xfId="0" applyNumberFormat="1" applyFont="1" applyFill="1" applyBorder="1" applyAlignment="1">
      <alignment horizontal="center" vertical="top"/>
    </xf>
    <xf numFmtId="41" fontId="9" fillId="8" borderId="5" xfId="1" applyFont="1" applyFill="1" applyBorder="1" applyAlignment="1">
      <alignment horizontal="right" vertical="top"/>
    </xf>
    <xf numFmtId="10" fontId="9" fillId="3" borderId="0" xfId="9" applyNumberFormat="1" applyFont="1" applyFill="1" applyAlignment="1">
      <alignment horizontal="center" vertical="top"/>
    </xf>
    <xf numFmtId="0" fontId="10" fillId="7" borderId="5" xfId="0" applyFont="1" applyFill="1" applyBorder="1" applyAlignment="1">
      <alignment horizontal="right" vertical="top" wrapText="1"/>
    </xf>
    <xf numFmtId="0" fontId="10" fillId="7" borderId="5" xfId="0" applyFont="1" applyFill="1" applyBorder="1" applyAlignment="1">
      <alignment horizontal="center" vertical="top" wrapText="1"/>
    </xf>
    <xf numFmtId="0" fontId="9" fillId="7" borderId="5" xfId="0" applyFont="1" applyFill="1" applyBorder="1" applyAlignment="1">
      <alignment horizontal="left" vertical="top" wrapText="1"/>
    </xf>
    <xf numFmtId="3" fontId="9" fillId="7" borderId="5" xfId="0" applyNumberFormat="1" applyFont="1" applyFill="1" applyBorder="1" applyAlignment="1">
      <alignment horizontal="center" vertical="top"/>
    </xf>
    <xf numFmtId="41" fontId="9" fillId="7" borderId="5" xfId="1" applyFont="1" applyFill="1" applyBorder="1" applyAlignment="1">
      <alignment horizontal="right" vertical="top"/>
    </xf>
    <xf numFmtId="0" fontId="10" fillId="3" borderId="5" xfId="0" applyFont="1" applyFill="1" applyBorder="1" applyAlignment="1">
      <alignment horizontal="right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3" fontId="10" fillId="3" borderId="5" xfId="0" applyNumberFormat="1" applyFont="1" applyFill="1" applyBorder="1" applyAlignment="1">
      <alignment horizontal="center" vertical="top"/>
    </xf>
    <xf numFmtId="41" fontId="10" fillId="3" borderId="5" xfId="1" applyFont="1" applyFill="1" applyBorder="1" applyAlignment="1">
      <alignment horizontal="right" vertical="top"/>
    </xf>
    <xf numFmtId="0" fontId="9" fillId="3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10" fillId="3" borderId="5" xfId="0" applyFont="1" applyFill="1" applyBorder="1" applyAlignment="1">
      <alignment horizontal="left" vertical="top" wrapText="1"/>
    </xf>
    <xf numFmtId="10" fontId="10" fillId="3" borderId="0" xfId="9" applyNumberFormat="1" applyFont="1" applyFill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41" fontId="10" fillId="0" borderId="5" xfId="1" applyFont="1" applyBorder="1" applyAlignment="1">
      <alignment horizontal="center" vertical="top" wrapText="1"/>
    </xf>
    <xf numFmtId="41" fontId="10" fillId="3" borderId="5" xfId="1" applyFont="1" applyFill="1" applyBorder="1" applyAlignment="1">
      <alignment horizontal="center" vertical="top" wrapText="1"/>
    </xf>
    <xf numFmtId="10" fontId="9" fillId="3" borderId="0" xfId="1" applyNumberFormat="1" applyFont="1" applyFill="1" applyAlignment="1">
      <alignment horizontal="center" vertical="top"/>
    </xf>
    <xf numFmtId="0" fontId="9" fillId="8" borderId="5" xfId="0" applyFont="1" applyFill="1" applyBorder="1" applyAlignment="1">
      <alignment horizontal="right" vertical="top" wrapText="1"/>
    </xf>
    <xf numFmtId="0" fontId="9" fillId="8" borderId="5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center" vertical="top"/>
    </xf>
    <xf numFmtId="41" fontId="10" fillId="0" borderId="5" xfId="1" applyFont="1" applyBorder="1" applyAlignment="1">
      <alignment horizontal="right" vertical="top"/>
    </xf>
    <xf numFmtId="0" fontId="10" fillId="3" borderId="5" xfId="0" applyFont="1" applyFill="1" applyBorder="1" applyAlignment="1">
      <alignment horizontal="center" vertical="top"/>
    </xf>
    <xf numFmtId="10" fontId="8" fillId="3" borderId="0" xfId="9" applyNumberFormat="1" applyFont="1" applyFill="1" applyAlignment="1">
      <alignment horizontal="center" vertical="top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41" fontId="10" fillId="0" borderId="0" xfId="1" applyFont="1" applyAlignment="1">
      <alignment horizontal="right" vertical="top"/>
    </xf>
    <xf numFmtId="9" fontId="9" fillId="0" borderId="0" xfId="9" applyFont="1" applyAlignment="1">
      <alignment horizontal="center" vertical="top"/>
    </xf>
    <xf numFmtId="9" fontId="9" fillId="3" borderId="0" xfId="9" applyFont="1" applyFill="1" applyAlignment="1">
      <alignment horizontal="center" vertical="top"/>
    </xf>
    <xf numFmtId="41" fontId="10" fillId="3" borderId="0" xfId="1" applyFont="1" applyFill="1" applyAlignment="1">
      <alignment vertical="top"/>
    </xf>
    <xf numFmtId="0" fontId="23" fillId="0" borderId="0" xfId="0" applyFont="1" applyBorder="1" applyAlignment="1">
      <alignment horizontal="left" vertical="top" wrapText="1"/>
    </xf>
    <xf numFmtId="41" fontId="10" fillId="0" borderId="0" xfId="1" applyFont="1" applyAlignment="1">
      <alignment horizontal="center" vertical="top"/>
    </xf>
    <xf numFmtId="41" fontId="10" fillId="3" borderId="0" xfId="0" applyNumberFormat="1" applyFont="1" applyFill="1" applyAlignment="1">
      <alignment vertical="top"/>
    </xf>
    <xf numFmtId="41" fontId="10" fillId="0" borderId="0" xfId="1" applyFont="1" applyAlignment="1">
      <alignment horizontal="right" vertical="top" wrapText="1"/>
    </xf>
    <xf numFmtId="14" fontId="16" fillId="3" borderId="5" xfId="14" applyNumberFormat="1" applyFont="1" applyFill="1" applyBorder="1" applyAlignment="1">
      <alignment horizontal="center" vertical="center"/>
    </xf>
    <xf numFmtId="170" fontId="16" fillId="3" borderId="5" xfId="14" applyNumberFormat="1" applyFont="1" applyFill="1" applyBorder="1" applyAlignment="1">
      <alignment horizontal="center" vertical="center"/>
    </xf>
    <xf numFmtId="166" fontId="30" fillId="0" borderId="0" xfId="3" applyFont="1" applyAlignment="1"/>
    <xf numFmtId="166" fontId="3" fillId="0" borderId="0" xfId="11" applyFont="1" applyAlignment="1">
      <alignment vertical="center"/>
    </xf>
    <xf numFmtId="167" fontId="10" fillId="0" borderId="0" xfId="4" applyNumberFormat="1" applyFont="1" applyAlignment="1">
      <alignment vertical="center"/>
    </xf>
    <xf numFmtId="166" fontId="8" fillId="9" borderId="22" xfId="3" applyNumberFormat="1" applyFont="1" applyFill="1" applyBorder="1" applyAlignment="1">
      <alignment horizontal="center" vertical="center"/>
    </xf>
    <xf numFmtId="167" fontId="8" fillId="9" borderId="22" xfId="4" applyNumberFormat="1" applyFont="1" applyFill="1" applyBorder="1" applyAlignment="1">
      <alignment horizontal="center" vertical="center"/>
    </xf>
    <xf numFmtId="166" fontId="10" fillId="0" borderId="22" xfId="3" applyNumberFormat="1" applyFont="1" applyBorder="1" applyAlignment="1">
      <alignment vertical="center"/>
    </xf>
    <xf numFmtId="166" fontId="10" fillId="0" borderId="23" xfId="3" applyNumberFormat="1" applyFont="1" applyBorder="1" applyAlignment="1">
      <alignment horizontal="center" vertical="center"/>
    </xf>
    <xf numFmtId="167" fontId="10" fillId="0" borderId="23" xfId="4" applyNumberFormat="1" applyFont="1" applyBorder="1" applyAlignment="1">
      <alignment horizontal="center" vertical="center"/>
    </xf>
    <xf numFmtId="166" fontId="10" fillId="0" borderId="0" xfId="3" applyNumberFormat="1" applyFont="1" applyAlignment="1">
      <alignment vertical="center"/>
    </xf>
    <xf numFmtId="166" fontId="31" fillId="9" borderId="11" xfId="3" applyNumberFormat="1" applyFont="1" applyFill="1" applyBorder="1" applyAlignment="1">
      <alignment horizontal="center" vertical="center" wrapText="1"/>
    </xf>
    <xf numFmtId="166" fontId="30" fillId="0" borderId="0" xfId="11" applyFont="1" applyAlignment="1">
      <alignment vertical="center"/>
    </xf>
    <xf numFmtId="166" fontId="30" fillId="12" borderId="11" xfId="3" applyNumberFormat="1" applyFont="1" applyFill="1" applyBorder="1" applyAlignment="1">
      <alignment horizontal="left" vertical="center" wrapText="1"/>
    </xf>
    <xf numFmtId="166" fontId="30" fillId="12" borderId="11" xfId="3" applyNumberFormat="1" applyFont="1" applyFill="1" applyBorder="1" applyAlignment="1">
      <alignment horizontal="right" vertical="center" wrapText="1"/>
    </xf>
    <xf numFmtId="166" fontId="32" fillId="0" borderId="11" xfId="3" applyNumberFormat="1" applyFont="1" applyBorder="1" applyAlignment="1">
      <alignment horizontal="left" vertical="center" wrapText="1"/>
    </xf>
    <xf numFmtId="166" fontId="32" fillId="0" borderId="11" xfId="3" applyNumberFormat="1" applyFont="1" applyBorder="1" applyAlignment="1">
      <alignment horizontal="right" vertical="center" wrapText="1"/>
    </xf>
    <xf numFmtId="3" fontId="32" fillId="3" borderId="11" xfId="3" applyNumberFormat="1" applyFont="1" applyFill="1" applyBorder="1" applyAlignment="1">
      <alignment horizontal="left" vertical="center" wrapText="1"/>
    </xf>
    <xf numFmtId="3" fontId="32" fillId="0" borderId="11" xfId="3" applyNumberFormat="1" applyFont="1" applyBorder="1" applyAlignment="1">
      <alignment horizontal="left" vertical="center" wrapText="1"/>
    </xf>
    <xf numFmtId="167" fontId="32" fillId="0" borderId="11" xfId="4" applyNumberFormat="1" applyFont="1" applyBorder="1" applyAlignment="1">
      <alignment horizontal="center" vertical="center" wrapText="1"/>
    </xf>
    <xf numFmtId="166" fontId="33" fillId="12" borderId="11" xfId="3" applyNumberFormat="1" applyFont="1" applyFill="1" applyBorder="1" applyAlignment="1">
      <alignment horizontal="right" vertical="center" wrapText="1"/>
    </xf>
    <xf numFmtId="3" fontId="3" fillId="3" borderId="11" xfId="3" applyNumberFormat="1" applyFont="1" applyFill="1" applyBorder="1" applyAlignment="1">
      <alignment horizontal="left" vertical="center" wrapText="1"/>
    </xf>
    <xf numFmtId="167" fontId="32" fillId="0" borderId="11" xfId="4" applyNumberFormat="1" applyFont="1" applyBorder="1" applyAlignment="1">
      <alignment horizontal="right" vertical="center" wrapText="1"/>
    </xf>
    <xf numFmtId="167" fontId="30" fillId="12" borderId="11" xfId="4" applyNumberFormat="1" applyFont="1" applyFill="1" applyBorder="1" applyAlignment="1">
      <alignment horizontal="center" vertical="center" wrapText="1"/>
    </xf>
    <xf numFmtId="3" fontId="32" fillId="3" borderId="11" xfId="3" applyNumberFormat="1" applyFont="1" applyFill="1" applyBorder="1" applyAlignment="1">
      <alignment vertical="center" wrapText="1"/>
    </xf>
    <xf numFmtId="167" fontId="32" fillId="3" borderId="11" xfId="4" applyNumberFormat="1" applyFont="1" applyFill="1" applyBorder="1" applyAlignment="1">
      <alignment vertical="center" wrapText="1"/>
    </xf>
    <xf numFmtId="166" fontId="3" fillId="3" borderId="0" xfId="11" applyFont="1" applyFill="1" applyAlignment="1">
      <alignment vertical="center"/>
    </xf>
    <xf numFmtId="3" fontId="32" fillId="3" borderId="0" xfId="3" applyNumberFormat="1" applyFont="1" applyFill="1" applyBorder="1" applyAlignment="1">
      <alignment vertical="center" wrapText="1"/>
    </xf>
    <xf numFmtId="167" fontId="32" fillId="3" borderId="0" xfId="4" applyNumberFormat="1" applyFont="1" applyFill="1" applyBorder="1" applyAlignment="1">
      <alignment vertical="center" wrapText="1"/>
    </xf>
    <xf numFmtId="167" fontId="23" fillId="3" borderId="0" xfId="4" applyNumberFormat="1" applyFont="1" applyFill="1" applyBorder="1" applyAlignment="1">
      <alignment vertical="center" wrapText="1"/>
    </xf>
    <xf numFmtId="3" fontId="33" fillId="3" borderId="11" xfId="3" applyNumberFormat="1" applyFont="1" applyFill="1" applyBorder="1" applyAlignment="1">
      <alignment horizontal="left" vertical="center" wrapText="1"/>
    </xf>
    <xf numFmtId="166" fontId="33" fillId="0" borderId="11" xfId="3" applyNumberFormat="1" applyFont="1" applyBorder="1" applyAlignment="1">
      <alignment horizontal="right" vertical="center" wrapText="1"/>
    </xf>
    <xf numFmtId="0" fontId="34" fillId="11" borderId="13" xfId="15" applyFont="1" applyFill="1" applyBorder="1"/>
    <xf numFmtId="0" fontId="35" fillId="11" borderId="13" xfId="15" applyFont="1" applyFill="1" applyBorder="1"/>
    <xf numFmtId="0" fontId="14" fillId="2" borderId="13" xfId="0" applyFont="1" applyFill="1" applyBorder="1" applyAlignment="1">
      <alignment horizontal="center"/>
    </xf>
    <xf numFmtId="166" fontId="20" fillId="8" borderId="5" xfId="5" applyFont="1" applyFill="1" applyBorder="1" applyAlignment="1">
      <alignment horizontal="center" vertical="center" wrapText="1"/>
    </xf>
    <xf numFmtId="167" fontId="20" fillId="8" borderId="5" xfId="4" applyNumberFormat="1" applyFont="1" applyFill="1" applyBorder="1" applyAlignment="1">
      <alignment horizontal="center" vertical="center" wrapText="1"/>
    </xf>
    <xf numFmtId="3" fontId="21" fillId="3" borderId="5" xfId="7" applyNumberFormat="1" applyFont="1" applyFill="1" applyBorder="1" applyAlignment="1">
      <alignment horizontal="left" vertical="center" wrapText="1"/>
    </xf>
    <xf numFmtId="166" fontId="21" fillId="3" borderId="5" xfId="5" applyFont="1" applyFill="1" applyBorder="1" applyAlignment="1">
      <alignment horizontal="center" vertical="center" wrapText="1"/>
    </xf>
    <xf numFmtId="37" fontId="21" fillId="0" borderId="17" xfId="8" applyNumberFormat="1" applyFont="1" applyBorder="1" applyAlignment="1">
      <alignment horizontal="center" vertical="center"/>
    </xf>
    <xf numFmtId="168" fontId="20" fillId="8" borderId="5" xfId="5" applyNumberFormat="1" applyFont="1" applyFill="1" applyBorder="1" applyAlignment="1">
      <alignment horizontal="left" vertical="center" wrapText="1"/>
    </xf>
    <xf numFmtId="166" fontId="20" fillId="8" borderId="5" xfId="5" applyFont="1" applyFill="1" applyBorder="1" applyAlignment="1">
      <alignment horizontal="left" vertical="center" wrapText="1"/>
    </xf>
    <xf numFmtId="167" fontId="20" fillId="8" borderId="5" xfId="4" applyNumberFormat="1" applyFont="1" applyFill="1" applyBorder="1" applyAlignment="1">
      <alignment horizontal="left" vertical="center" wrapText="1"/>
    </xf>
    <xf numFmtId="168" fontId="16" fillId="7" borderId="5" xfId="2" applyNumberFormat="1" applyFont="1" applyFill="1" applyBorder="1" applyAlignment="1">
      <alignment horizontal="left" vertical="center"/>
    </xf>
    <xf numFmtId="168" fontId="20" fillId="8" borderId="5" xfId="5" applyNumberFormat="1" applyFont="1" applyFill="1" applyBorder="1" applyAlignment="1">
      <alignment horizontal="center" vertical="center" wrapText="1"/>
    </xf>
    <xf numFmtId="166" fontId="20" fillId="8" borderId="17" xfId="5" applyFont="1" applyFill="1" applyBorder="1" applyAlignment="1">
      <alignment horizontal="center" vertical="center" wrapText="1"/>
    </xf>
    <xf numFmtId="166" fontId="16" fillId="3" borderId="17" xfId="2" applyFont="1" applyFill="1" applyBorder="1" applyAlignment="1">
      <alignment horizontal="right" vertical="center"/>
    </xf>
    <xf numFmtId="166" fontId="30" fillId="0" borderId="0" xfId="3" applyFont="1" applyAlignment="1">
      <alignment horizontal="center"/>
    </xf>
    <xf numFmtId="0" fontId="14" fillId="10" borderId="0" xfId="0" applyFont="1" applyFill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top" wrapText="1"/>
    </xf>
    <xf numFmtId="0" fontId="8" fillId="5" borderId="9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10" fillId="0" borderId="21" xfId="16" applyFont="1" applyBorder="1" applyAlignment="1">
      <alignment horizontal="center" vertical="center"/>
    </xf>
    <xf numFmtId="0" fontId="10" fillId="0" borderId="0" xfId="16" applyFont="1" applyAlignment="1">
      <alignment horizontal="left" vertical="center" wrapText="1"/>
    </xf>
    <xf numFmtId="166" fontId="10" fillId="0" borderId="0" xfId="3" applyFont="1" applyAlignment="1">
      <alignment horizontal="left" vertical="center" wrapText="1"/>
    </xf>
    <xf numFmtId="0" fontId="14" fillId="5" borderId="0" xfId="0" applyFont="1" applyFill="1" applyAlignment="1">
      <alignment horizontal="center"/>
    </xf>
    <xf numFmtId="170" fontId="21" fillId="3" borderId="17" xfId="5" applyNumberFormat="1" applyFont="1" applyFill="1" applyBorder="1" applyAlignment="1">
      <alignment horizontal="center" vertical="center" wrapText="1"/>
    </xf>
    <xf numFmtId="170" fontId="21" fillId="3" borderId="20" xfId="5" applyNumberFormat="1" applyFont="1" applyFill="1" applyBorder="1" applyAlignment="1">
      <alignment horizontal="center" vertical="center" wrapText="1"/>
    </xf>
    <xf numFmtId="170" fontId="21" fillId="3" borderId="18" xfId="5" applyNumberFormat="1" applyFont="1" applyFill="1" applyBorder="1" applyAlignment="1">
      <alignment horizontal="center" vertical="center" wrapText="1"/>
    </xf>
    <xf numFmtId="170" fontId="21" fillId="3" borderId="17" xfId="5" applyNumberFormat="1" applyFont="1" applyFill="1" applyBorder="1" applyAlignment="1">
      <alignment horizontal="center" vertical="center"/>
    </xf>
    <xf numFmtId="170" fontId="21" fillId="3" borderId="20" xfId="5" applyNumberFormat="1" applyFont="1" applyFill="1" applyBorder="1" applyAlignment="1">
      <alignment horizontal="center" vertical="center"/>
    </xf>
    <xf numFmtId="170" fontId="21" fillId="3" borderId="18" xfId="5" applyNumberFormat="1" applyFont="1" applyFill="1" applyBorder="1" applyAlignment="1">
      <alignment horizontal="center" vertical="center"/>
    </xf>
    <xf numFmtId="3" fontId="21" fillId="3" borderId="17" xfId="7" applyNumberFormat="1" applyFont="1" applyFill="1" applyBorder="1" applyAlignment="1">
      <alignment horizontal="left" vertical="center" wrapText="1"/>
    </xf>
    <xf numFmtId="3" fontId="21" fillId="3" borderId="20" xfId="7" applyNumberFormat="1" applyFont="1" applyFill="1" applyBorder="1" applyAlignment="1">
      <alignment horizontal="left" vertical="center" wrapText="1"/>
    </xf>
    <xf numFmtId="3" fontId="21" fillId="3" borderId="18" xfId="7" applyNumberFormat="1" applyFont="1" applyFill="1" applyBorder="1" applyAlignment="1">
      <alignment horizontal="left" vertical="center" wrapText="1"/>
    </xf>
    <xf numFmtId="166" fontId="21" fillId="3" borderId="17" xfId="5" applyFont="1" applyFill="1" applyBorder="1" applyAlignment="1">
      <alignment horizontal="center" vertical="center" wrapText="1"/>
    </xf>
    <xf numFmtId="166" fontId="21" fillId="3" borderId="20" xfId="5" applyFont="1" applyFill="1" applyBorder="1" applyAlignment="1">
      <alignment horizontal="center" vertical="center" wrapText="1"/>
    </xf>
    <xf numFmtId="166" fontId="21" fillId="3" borderId="18" xfId="5" applyFont="1" applyFill="1" applyBorder="1" applyAlignment="1">
      <alignment horizontal="center" vertical="center" wrapText="1"/>
    </xf>
    <xf numFmtId="37" fontId="21" fillId="0" borderId="17" xfId="8" applyNumberFormat="1" applyFont="1" applyBorder="1" applyAlignment="1">
      <alignment horizontal="center" vertical="center"/>
    </xf>
    <xf numFmtId="37" fontId="21" fillId="0" borderId="20" xfId="8" applyNumberFormat="1" applyFont="1" applyBorder="1" applyAlignment="1">
      <alignment horizontal="center" vertical="center"/>
    </xf>
    <xf numFmtId="37" fontId="21" fillId="0" borderId="18" xfId="8" applyNumberFormat="1" applyFont="1" applyBorder="1" applyAlignment="1">
      <alignment horizontal="center" vertical="center"/>
    </xf>
    <xf numFmtId="166" fontId="16" fillId="3" borderId="17" xfId="2" applyFont="1" applyFill="1" applyBorder="1" applyAlignment="1">
      <alignment horizontal="center" vertical="center"/>
    </xf>
    <xf numFmtId="166" fontId="16" fillId="3" borderId="20" xfId="2" applyFont="1" applyFill="1" applyBorder="1" applyAlignment="1">
      <alignment horizontal="center" vertical="center"/>
    </xf>
    <xf numFmtId="166" fontId="16" fillId="3" borderId="18" xfId="2" applyFont="1" applyFill="1" applyBorder="1" applyAlignment="1">
      <alignment horizontal="center" vertical="center"/>
    </xf>
    <xf numFmtId="9" fontId="21" fillId="3" borderId="17" xfId="5" applyNumberFormat="1" applyFont="1" applyFill="1" applyBorder="1" applyAlignment="1">
      <alignment horizontal="center" vertical="center" wrapText="1"/>
    </xf>
    <xf numFmtId="9" fontId="21" fillId="3" borderId="20" xfId="5" applyNumberFormat="1" applyFont="1" applyFill="1" applyBorder="1" applyAlignment="1">
      <alignment horizontal="center" vertical="center" wrapText="1"/>
    </xf>
    <xf numFmtId="9" fontId="21" fillId="3" borderId="18" xfId="5" applyNumberFormat="1" applyFont="1" applyFill="1" applyBorder="1" applyAlignment="1">
      <alignment horizontal="center" vertical="center" wrapText="1"/>
    </xf>
    <xf numFmtId="9" fontId="21" fillId="3" borderId="17" xfId="9" applyFont="1" applyFill="1" applyBorder="1" applyAlignment="1">
      <alignment horizontal="center" vertical="center"/>
    </xf>
    <xf numFmtId="9" fontId="21" fillId="3" borderId="20" xfId="9" applyFont="1" applyFill="1" applyBorder="1" applyAlignment="1">
      <alignment horizontal="center" vertical="center"/>
    </xf>
    <xf numFmtId="9" fontId="21" fillId="3" borderId="18" xfId="9" applyFont="1" applyFill="1" applyBorder="1" applyAlignment="1">
      <alignment horizontal="center" vertical="center"/>
    </xf>
    <xf numFmtId="166" fontId="21" fillId="0" borderId="17" xfId="5" applyFont="1" applyBorder="1" applyAlignment="1">
      <alignment horizontal="center" vertical="center"/>
    </xf>
    <xf numFmtId="166" fontId="21" fillId="0" borderId="20" xfId="5" applyFont="1" applyBorder="1" applyAlignment="1">
      <alignment horizontal="center" vertical="center"/>
    </xf>
    <xf numFmtId="166" fontId="21" fillId="0" borderId="18" xfId="5" applyFont="1" applyBorder="1" applyAlignment="1">
      <alignment horizontal="center" vertical="center"/>
    </xf>
    <xf numFmtId="166" fontId="21" fillId="3" borderId="17" xfId="5" applyFont="1" applyFill="1" applyBorder="1" applyAlignment="1">
      <alignment horizontal="center" vertical="center"/>
    </xf>
    <xf numFmtId="166" fontId="21" fillId="3" borderId="20" xfId="5" applyFont="1" applyFill="1" applyBorder="1" applyAlignment="1">
      <alignment horizontal="center" vertical="center"/>
    </xf>
    <xf numFmtId="166" fontId="21" fillId="3" borderId="18" xfId="5" applyFont="1" applyFill="1" applyBorder="1" applyAlignment="1">
      <alignment horizontal="center" vertical="center"/>
    </xf>
    <xf numFmtId="14" fontId="16" fillId="3" borderId="17" xfId="14" applyNumberFormat="1" applyFont="1" applyFill="1" applyBorder="1" applyAlignment="1">
      <alignment horizontal="center" vertical="center"/>
    </xf>
    <xf numFmtId="14" fontId="16" fillId="3" borderId="20" xfId="14" applyNumberFormat="1" applyFont="1" applyFill="1" applyBorder="1" applyAlignment="1">
      <alignment horizontal="center" vertical="center"/>
    </xf>
    <xf numFmtId="14" fontId="16" fillId="3" borderId="18" xfId="14" applyNumberFormat="1" applyFont="1" applyFill="1" applyBorder="1" applyAlignment="1">
      <alignment horizontal="center" vertical="center"/>
    </xf>
    <xf numFmtId="166" fontId="16" fillId="3" borderId="17" xfId="2" applyFont="1" applyFill="1" applyBorder="1" applyAlignment="1">
      <alignment horizontal="right" vertical="center"/>
    </xf>
    <xf numFmtId="166" fontId="16" fillId="3" borderId="20" xfId="2" applyFont="1" applyFill="1" applyBorder="1" applyAlignment="1">
      <alignment horizontal="right" vertical="center"/>
    </xf>
    <xf numFmtId="166" fontId="16" fillId="3" borderId="18" xfId="2" applyFont="1" applyFill="1" applyBorder="1" applyAlignment="1">
      <alignment horizontal="right" vertical="center"/>
    </xf>
    <xf numFmtId="14" fontId="21" fillId="3" borderId="17" xfId="9" applyNumberFormat="1" applyFont="1" applyFill="1" applyBorder="1" applyAlignment="1">
      <alignment horizontal="center" vertical="center"/>
    </xf>
    <xf numFmtId="14" fontId="21" fillId="3" borderId="20" xfId="9" applyNumberFormat="1" applyFont="1" applyFill="1" applyBorder="1" applyAlignment="1">
      <alignment horizontal="center" vertical="center"/>
    </xf>
    <xf numFmtId="14" fontId="21" fillId="3" borderId="18" xfId="9" applyNumberFormat="1" applyFont="1" applyFill="1" applyBorder="1" applyAlignment="1">
      <alignment horizontal="center" vertical="center"/>
    </xf>
    <xf numFmtId="166" fontId="20" fillId="8" borderId="15" xfId="5" applyFont="1" applyFill="1" applyBorder="1" applyAlignment="1">
      <alignment horizontal="left" vertical="center" wrapText="1"/>
    </xf>
    <xf numFmtId="166" fontId="20" fillId="8" borderId="16" xfId="5" applyFont="1" applyFill="1" applyBorder="1" applyAlignment="1">
      <alignment horizontal="left" vertical="center" wrapText="1"/>
    </xf>
    <xf numFmtId="166" fontId="20" fillId="8" borderId="10" xfId="5" applyFont="1" applyFill="1" applyBorder="1" applyAlignment="1">
      <alignment horizontal="left" vertical="center" wrapText="1"/>
    </xf>
    <xf numFmtId="166" fontId="20" fillId="8" borderId="9" xfId="5" applyFont="1" applyFill="1" applyBorder="1" applyAlignment="1">
      <alignment horizontal="left" vertical="center" wrapText="1"/>
    </xf>
    <xf numFmtId="166" fontId="17" fillId="9" borderId="6" xfId="5" applyFont="1" applyFill="1" applyBorder="1" applyAlignment="1">
      <alignment horizontal="left" vertical="center" wrapText="1"/>
    </xf>
    <xf numFmtId="166" fontId="17" fillId="9" borderId="7" xfId="5" applyFont="1" applyFill="1" applyBorder="1" applyAlignment="1">
      <alignment horizontal="left" vertical="center" wrapText="1"/>
    </xf>
    <xf numFmtId="166" fontId="17" fillId="9" borderId="8" xfId="5" applyFont="1" applyFill="1" applyBorder="1" applyAlignment="1">
      <alignment horizontal="left" vertical="center" wrapText="1"/>
    </xf>
    <xf numFmtId="166" fontId="20" fillId="8" borderId="5" xfId="5" applyFont="1" applyFill="1" applyBorder="1" applyAlignment="1">
      <alignment horizontal="left" vertical="center" wrapText="1"/>
    </xf>
    <xf numFmtId="166" fontId="20" fillId="8" borderId="5" xfId="5" applyFont="1" applyFill="1" applyBorder="1" applyAlignment="1">
      <alignment horizontal="left" vertical="center"/>
    </xf>
    <xf numFmtId="166" fontId="17" fillId="9" borderId="0" xfId="3" applyFont="1" applyFill="1" applyAlignment="1">
      <alignment horizontal="center" vertical="center"/>
    </xf>
    <xf numFmtId="166" fontId="17" fillId="9" borderId="0" xfId="3" applyFont="1" applyFill="1" applyAlignment="1">
      <alignment horizontal="center" vertical="top"/>
    </xf>
    <xf numFmtId="168" fontId="20" fillId="8" borderId="5" xfId="5" applyNumberFormat="1" applyFont="1" applyFill="1" applyBorder="1" applyAlignment="1">
      <alignment horizontal="center" vertical="center" wrapText="1"/>
    </xf>
    <xf numFmtId="166" fontId="20" fillId="8" borderId="5" xfId="5" applyFont="1" applyFill="1" applyBorder="1" applyAlignment="1">
      <alignment horizontal="center" vertical="center" wrapText="1"/>
    </xf>
    <xf numFmtId="166" fontId="20" fillId="8" borderId="14" xfId="5" applyFont="1" applyFill="1" applyBorder="1" applyAlignment="1">
      <alignment horizontal="center" vertical="center" wrapText="1"/>
    </xf>
    <xf numFmtId="166" fontId="20" fillId="8" borderId="10" xfId="5" applyFont="1" applyFill="1" applyBorder="1" applyAlignment="1">
      <alignment horizontal="center" vertical="center" wrapText="1"/>
    </xf>
    <xf numFmtId="166" fontId="17" fillId="9" borderId="6" xfId="5" applyFont="1" applyFill="1" applyBorder="1" applyAlignment="1">
      <alignment horizontal="center" vertical="center" wrapText="1"/>
    </xf>
    <xf numFmtId="166" fontId="17" fillId="9" borderId="7" xfId="5" applyFont="1" applyFill="1" applyBorder="1" applyAlignment="1">
      <alignment horizontal="center" vertical="center" wrapText="1"/>
    </xf>
    <xf numFmtId="166" fontId="17" fillId="9" borderId="8" xfId="5" applyFont="1" applyFill="1" applyBorder="1" applyAlignment="1">
      <alignment horizontal="center" vertical="center" wrapText="1"/>
    </xf>
    <xf numFmtId="166" fontId="20" fillId="7" borderId="5" xfId="5" applyFont="1" applyFill="1" applyBorder="1" applyAlignment="1">
      <alignment horizontal="left" vertical="center" wrapText="1"/>
    </xf>
    <xf numFmtId="166" fontId="20" fillId="8" borderId="17" xfId="5" applyFont="1" applyFill="1" applyBorder="1" applyAlignment="1">
      <alignment horizontal="center" vertical="center" wrapText="1"/>
    </xf>
    <xf numFmtId="167" fontId="20" fillId="8" borderId="5" xfId="4" applyNumberFormat="1" applyFont="1" applyFill="1" applyBorder="1" applyAlignment="1">
      <alignment horizontal="center" vertical="center" wrapText="1"/>
    </xf>
    <xf numFmtId="167" fontId="20" fillId="8" borderId="17" xfId="4" applyNumberFormat="1" applyFont="1" applyFill="1" applyBorder="1" applyAlignment="1">
      <alignment horizontal="center" vertical="center" wrapText="1"/>
    </xf>
    <xf numFmtId="166" fontId="16" fillId="7" borderId="13" xfId="2" applyFont="1" applyFill="1" applyBorder="1" applyAlignment="1">
      <alignment horizontal="left" vertical="center"/>
    </xf>
    <xf numFmtId="166" fontId="18" fillId="7" borderId="13" xfId="2" applyFont="1" applyFill="1" applyBorder="1" applyAlignment="1">
      <alignment horizontal="left" vertical="center"/>
    </xf>
    <xf numFmtId="166" fontId="21" fillId="7" borderId="13" xfId="5" applyFont="1" applyFill="1" applyBorder="1" applyAlignment="1">
      <alignment horizontal="left" vertical="center" wrapText="1"/>
    </xf>
    <xf numFmtId="166" fontId="18" fillId="7" borderId="5" xfId="2" applyFont="1" applyFill="1" applyBorder="1" applyAlignment="1">
      <alignment horizontal="left" vertical="center"/>
    </xf>
    <xf numFmtId="166" fontId="21" fillId="7" borderId="5" xfId="2" applyFont="1" applyFill="1" applyBorder="1" applyAlignment="1">
      <alignment horizontal="left" vertical="center"/>
    </xf>
    <xf numFmtId="168" fontId="20" fillId="8" borderId="15" xfId="5" applyNumberFormat="1" applyFont="1" applyFill="1" applyBorder="1" applyAlignment="1">
      <alignment horizontal="left" vertical="center" wrapText="1"/>
    </xf>
    <xf numFmtId="168" fontId="20" fillId="8" borderId="16" xfId="5" applyNumberFormat="1" applyFont="1" applyFill="1" applyBorder="1" applyAlignment="1">
      <alignment horizontal="left" vertical="center" wrapText="1"/>
    </xf>
    <xf numFmtId="168" fontId="20" fillId="8" borderId="10" xfId="5" applyNumberFormat="1" applyFont="1" applyFill="1" applyBorder="1" applyAlignment="1">
      <alignment horizontal="left" vertical="center" wrapText="1"/>
    </xf>
    <xf numFmtId="168" fontId="20" fillId="8" borderId="9" xfId="5" applyNumberFormat="1" applyFont="1" applyFill="1" applyBorder="1" applyAlignment="1">
      <alignment horizontal="left" vertical="center" wrapText="1"/>
    </xf>
    <xf numFmtId="166" fontId="20" fillId="8" borderId="17" xfId="5" applyFont="1" applyFill="1" applyBorder="1" applyAlignment="1">
      <alignment horizontal="left" vertical="center" wrapText="1"/>
    </xf>
    <xf numFmtId="166" fontId="20" fillId="8" borderId="18" xfId="5" applyFont="1" applyFill="1" applyBorder="1" applyAlignment="1">
      <alignment horizontal="left" vertical="center" wrapText="1"/>
    </xf>
    <xf numFmtId="166" fontId="16" fillId="3" borderId="15" xfId="2" applyFont="1" applyFill="1" applyBorder="1" applyAlignment="1">
      <alignment horizontal="left" vertical="center"/>
    </xf>
    <xf numFmtId="166" fontId="16" fillId="3" borderId="19" xfId="2" applyFont="1" applyFill="1" applyBorder="1" applyAlignment="1">
      <alignment horizontal="left" vertical="center"/>
    </xf>
    <xf numFmtId="168" fontId="20" fillId="8" borderId="5" xfId="5" applyNumberFormat="1" applyFont="1" applyFill="1" applyBorder="1" applyAlignment="1">
      <alignment horizontal="left" vertical="center" wrapText="1"/>
    </xf>
    <xf numFmtId="168" fontId="16" fillId="7" borderId="5" xfId="2" applyNumberFormat="1" applyFont="1" applyFill="1" applyBorder="1" applyAlignment="1">
      <alignment horizontal="left" vertical="center"/>
    </xf>
    <xf numFmtId="166" fontId="20" fillId="8" borderId="15" xfId="5" applyFont="1" applyFill="1" applyBorder="1" applyAlignment="1">
      <alignment horizontal="center" vertical="center" wrapText="1"/>
    </xf>
    <xf numFmtId="166" fontId="20" fillId="8" borderId="16" xfId="5" applyFont="1" applyFill="1" applyBorder="1" applyAlignment="1">
      <alignment horizontal="center" vertical="center" wrapText="1"/>
    </xf>
    <xf numFmtId="166" fontId="20" fillId="8" borderId="9" xfId="5" applyFont="1" applyFill="1" applyBorder="1" applyAlignment="1">
      <alignment horizontal="center" vertical="center" wrapText="1"/>
    </xf>
    <xf numFmtId="167" fontId="20" fillId="8" borderId="5" xfId="4" applyNumberFormat="1" applyFont="1" applyFill="1" applyBorder="1" applyAlignment="1">
      <alignment horizontal="left" vertical="center" wrapText="1"/>
    </xf>
    <xf numFmtId="166" fontId="20" fillId="8" borderId="5" xfId="5" applyFont="1" applyFill="1" applyBorder="1" applyAlignment="1">
      <alignment horizontal="center" vertical="center"/>
    </xf>
    <xf numFmtId="166" fontId="20" fillId="7" borderId="18" xfId="5" applyFont="1" applyFill="1" applyBorder="1" applyAlignment="1">
      <alignment horizontal="left" vertical="center" wrapText="1"/>
    </xf>
    <xf numFmtId="3" fontId="21" fillId="3" borderId="5" xfId="7" applyNumberFormat="1" applyFont="1" applyFill="1" applyBorder="1" applyAlignment="1">
      <alignment horizontal="left" vertical="center" wrapText="1"/>
    </xf>
    <xf numFmtId="166" fontId="21" fillId="3" borderId="5" xfId="5" applyFont="1" applyFill="1" applyBorder="1" applyAlignment="1">
      <alignment horizontal="center" vertical="center" wrapText="1"/>
    </xf>
    <xf numFmtId="167" fontId="21" fillId="3" borderId="17" xfId="4" applyNumberFormat="1" applyFont="1" applyFill="1" applyBorder="1" applyAlignment="1">
      <alignment horizontal="center" vertical="center" wrapText="1"/>
    </xf>
    <xf numFmtId="167" fontId="21" fillId="3" borderId="20" xfId="4" applyNumberFormat="1" applyFont="1" applyFill="1" applyBorder="1" applyAlignment="1">
      <alignment horizontal="center" vertical="center" wrapText="1"/>
    </xf>
    <xf numFmtId="167" fontId="21" fillId="3" borderId="18" xfId="4" applyNumberFormat="1" applyFont="1" applyFill="1" applyBorder="1" applyAlignment="1">
      <alignment horizontal="center" vertical="center" wrapText="1"/>
    </xf>
    <xf numFmtId="166" fontId="31" fillId="9" borderId="22" xfId="3" applyNumberFormat="1" applyFont="1" applyFill="1" applyBorder="1" applyAlignment="1">
      <alignment horizontal="left" vertical="center" wrapText="1"/>
    </xf>
    <xf numFmtId="166" fontId="10" fillId="0" borderId="23" xfId="3" applyNumberFormat="1" applyFont="1" applyBorder="1" applyAlignment="1">
      <alignment horizontal="left" vertical="center"/>
    </xf>
    <xf numFmtId="166" fontId="10" fillId="0" borderId="25" xfId="3" applyNumberFormat="1" applyFont="1" applyBorder="1" applyAlignment="1">
      <alignment horizontal="left" vertical="center"/>
    </xf>
    <xf numFmtId="166" fontId="10" fillId="0" borderId="24" xfId="3" applyNumberFormat="1" applyFont="1" applyBorder="1" applyAlignment="1">
      <alignment horizontal="left" vertical="center"/>
    </xf>
    <xf numFmtId="166" fontId="8" fillId="9" borderId="0" xfId="3" applyFont="1" applyFill="1" applyAlignment="1">
      <alignment horizontal="center" vertical="center" wrapText="1"/>
    </xf>
    <xf numFmtId="166" fontId="30" fillId="0" borderId="0" xfId="3" applyFont="1" applyAlignment="1">
      <alignment horizontal="center"/>
    </xf>
  </cellXfs>
  <cellStyles count="23">
    <cellStyle name="Comma [0]" xfId="1" builtinId="6"/>
    <cellStyle name="Comma [0] 2" xfId="8" xr:uid="{00000000-0005-0000-0000-000000000000}"/>
    <cellStyle name="Comma [0] 2 2" xfId="20" xr:uid="{00000000-0005-0000-0000-000000000000}"/>
    <cellStyle name="Comma [0] 3" xfId="18" xr:uid="{00000000-0005-0000-0000-00003F000000}"/>
    <cellStyle name="Comma 2" xfId="4" xr:uid="{00000000-0005-0000-0000-000001000000}"/>
    <cellStyle name="Comma 2 2" xfId="19" xr:uid="{00000000-0005-0000-0000-000001000000}"/>
    <cellStyle name="Comma 3" xfId="17" xr:uid="{00000000-0005-0000-0000-00003E000000}"/>
    <cellStyle name="Hyperlink" xfId="15" builtinId="8"/>
    <cellStyle name="Millares 2" xfId="21" xr:uid="{FAB7A3D4-DD2F-4E02-BE57-6F84B2125C5C}"/>
    <cellStyle name="Moneda 2" xfId="12" xr:uid="{00000000-0005-0000-0000-000005000000}"/>
    <cellStyle name="Moneda 2 2" xfId="22" xr:uid="{4F429E47-E0CA-44B9-8DB1-010F1CC9CF2A}"/>
    <cellStyle name="Normal" xfId="0" builtinId="0"/>
    <cellStyle name="Normal 10 2" xfId="11" xr:uid="{00000000-0005-0000-0000-000007000000}"/>
    <cellStyle name="Normal 2" xfId="3" xr:uid="{00000000-0005-0000-0000-000008000000}"/>
    <cellStyle name="Normal 2 2 2" xfId="5" xr:uid="{00000000-0005-0000-0000-000009000000}"/>
    <cellStyle name="Normal 3" xfId="16" xr:uid="{0A0309E6-1DB1-41EA-9BC8-29156ACFD0F9}"/>
    <cellStyle name="Normal 3 2 2" xfId="6" xr:uid="{00000000-0005-0000-0000-00000A000000}"/>
    <cellStyle name="Normal 7" xfId="7" xr:uid="{00000000-0005-0000-0000-00000B000000}"/>
    <cellStyle name="Normal 7 2" xfId="10" xr:uid="{00000000-0005-0000-0000-00000C000000}"/>
    <cellStyle name="Normal 9 2" xfId="2" xr:uid="{00000000-0005-0000-0000-00000D000000}"/>
    <cellStyle name="Normal_9. PA" xfId="14" xr:uid="{00000000-0005-0000-0000-00000E000000}"/>
    <cellStyle name="Normal_PA_1" xfId="13" xr:uid="{00000000-0005-0000-0000-00000F000000}"/>
    <cellStyle name="Percent" xfId="9" builtinId="5"/>
  </cellStyles>
  <dxfs count="0"/>
  <tableStyles count="0" defaultTableStyle="TableStyleMedium9" defaultPivotStyle="PivotStyleLight16"/>
  <colors>
    <mruColors>
      <color rgb="FF0000FF"/>
      <color rgb="FFFFFFCC"/>
      <color rgb="FF0000CC"/>
      <color rgb="FFCC0099"/>
      <color rgb="FF0033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342900</xdr:colOff>
      <xdr:row>13</xdr:row>
      <xdr:rowOff>876299</xdr:rowOff>
    </xdr:from>
    <xdr:to>
      <xdr:col>48</xdr:col>
      <xdr:colOff>0</xdr:colOff>
      <xdr:row>22</xdr:row>
      <xdr:rowOff>731256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58300" y="8877299"/>
          <a:ext cx="19773900" cy="6636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showGridLines="0" tabSelected="1" zoomScale="120" zoomScaleNormal="120" workbookViewId="0" xr3:uid="{AEA406A1-0E4B-5B11-9CD5-51D6E497D94C}">
      <selection activeCell="A4" sqref="A4:XFD7"/>
    </sheetView>
  </sheetViews>
  <sheetFormatPr defaultColWidth="9.140625" defaultRowHeight="14.45"/>
  <cols>
    <col min="1" max="1" width="20" customWidth="1"/>
    <col min="2" max="2" width="50.7109375" customWidth="1"/>
    <col min="3" max="3" width="37.42578125" customWidth="1"/>
  </cols>
  <sheetData>
    <row r="1" spans="1:3" ht="28.9" customHeight="1" thickBot="1">
      <c r="A1" s="197" t="s">
        <v>0</v>
      </c>
      <c r="B1" s="197"/>
      <c r="C1" s="197"/>
    </row>
    <row r="2" spans="1:3" s="1" customFormat="1" ht="15.6" thickTop="1" thickBot="1">
      <c r="A2" s="183" t="s">
        <v>1</v>
      </c>
      <c r="B2" s="183" t="s">
        <v>2</v>
      </c>
      <c r="C2" s="183" t="s">
        <v>3</v>
      </c>
    </row>
    <row r="3" spans="1:3" s="1" customFormat="1" ht="15.6" thickTop="1" thickBot="1">
      <c r="A3" s="2" t="s">
        <v>4</v>
      </c>
      <c r="B3" s="181" t="s">
        <v>5</v>
      </c>
      <c r="C3" s="182"/>
    </row>
    <row r="4" spans="1:3" ht="15.6" thickTop="1" thickBot="1">
      <c r="A4" s="2" t="s">
        <v>6</v>
      </c>
      <c r="B4" s="181" t="s">
        <v>7</v>
      </c>
      <c r="C4" s="182"/>
    </row>
    <row r="5" spans="1:3" ht="15.6" thickTop="1" thickBot="1">
      <c r="A5" s="2" t="s">
        <v>8</v>
      </c>
      <c r="B5" s="181" t="s">
        <v>9</v>
      </c>
      <c r="C5" s="181"/>
    </row>
    <row r="6" spans="1:3" ht="15.6" thickTop="1" thickBot="1">
      <c r="A6" s="2" t="s">
        <v>10</v>
      </c>
      <c r="B6" s="181" t="s">
        <v>11</v>
      </c>
      <c r="C6" s="181"/>
    </row>
    <row r="7" spans="1:3" ht="15" thickTop="1"/>
  </sheetData>
  <mergeCells count="1">
    <mergeCell ref="A1:C1"/>
  </mergeCells>
  <hyperlinks>
    <hyperlink ref="B5" location="PA!A1" display="Plan de Adquisiciones" xr:uid="{00000000-0004-0000-0000-000002000000}"/>
    <hyperlink ref="B6" location="PAI!A1" display="Plan de Adquisición Inicial" xr:uid="{00000000-0004-0000-0000-000003000000}"/>
    <hyperlink ref="B4" location="Estructura!A1" display="Estrutura del Proyecto" xr:uid="{102FE3FC-C02D-4A50-8968-E4BAEC46A145}"/>
    <hyperlink ref="B3" location="'CC detallado'!A1" display="Cuadro de Costo Detallado" xr:uid="{6719A6D0-96F2-4BAF-9F25-E5241934B029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83"/>
  <sheetViews>
    <sheetView showGridLines="0" zoomScale="70" zoomScaleNormal="70" workbookViewId="0" xr3:uid="{F9CF3CF3-643B-5BE6-8B46-32C596A47465}">
      <pane xSplit="7" ySplit="4" topLeftCell="M5" activePane="bottomRight" state="frozen"/>
      <selection pane="bottomRight" activeCell="A63" sqref="A63"/>
      <selection pane="bottomLeft" activeCell="V21" sqref="V21"/>
      <selection pane="topRight" activeCell="V21" sqref="V21"/>
    </sheetView>
  </sheetViews>
  <sheetFormatPr defaultColWidth="10" defaultRowHeight="17.45" customHeight="1" outlineLevelRow="1" outlineLevelCol="1"/>
  <cols>
    <col min="1" max="1" width="8.42578125" style="137" bestFit="1" customWidth="1"/>
    <col min="2" max="2" width="11" style="138" hidden="1" customWidth="1" outlineLevel="1"/>
    <col min="3" max="3" width="8" style="138" hidden="1" customWidth="1" outlineLevel="1"/>
    <col min="4" max="4" width="10.7109375" style="138" hidden="1" customWidth="1" outlineLevel="1"/>
    <col min="5" max="5" width="13.7109375" style="138" hidden="1" customWidth="1" outlineLevel="1"/>
    <col min="6" max="6" width="10.85546875" style="138" hidden="1" customWidth="1" outlineLevel="1"/>
    <col min="7" max="7" width="62.28515625" style="139" customWidth="1" collapsed="1"/>
    <col min="8" max="8" width="10" style="140" hidden="1" customWidth="1" outlineLevel="1"/>
    <col min="9" max="9" width="10" style="138" hidden="1" customWidth="1" outlineLevel="1"/>
    <col min="10" max="11" width="10" style="140" hidden="1" customWidth="1" outlineLevel="1"/>
    <col min="12" max="12" width="11" style="141" hidden="1" customWidth="1" outlineLevel="1"/>
    <col min="13" max="13" width="17" style="141" customWidth="1" collapsed="1"/>
    <col min="14" max="14" width="14.85546875" style="111" bestFit="1" customWidth="1"/>
    <col min="15" max="15" width="16.7109375" style="89" customWidth="1"/>
    <col min="16" max="16" width="10" style="89"/>
    <col min="17" max="17" width="4.85546875" style="89" customWidth="1"/>
    <col min="18" max="18" width="11.28515625" style="89" bestFit="1" customWidth="1"/>
    <col min="19" max="19" width="12.140625" style="89" bestFit="1" customWidth="1"/>
    <col min="20" max="26" width="10" style="89"/>
    <col min="27" max="16384" width="10" style="90"/>
  </cols>
  <sheetData>
    <row r="1" spans="1:26" s="82" customFormat="1" ht="17.45" customHeight="1">
      <c r="A1" s="200" t="str">
        <f>INDICE!A1</f>
        <v>PROGRAMA DE REHABILITACIÓN Y MODERNIZACIÓN DE LA CENTRAL HIDROELÉCTRICA DE ACARAY PR-L1156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26" s="88" customFormat="1" ht="17.45" customHeight="1">
      <c r="A2" s="83"/>
      <c r="B2" s="84"/>
      <c r="C2" s="84"/>
      <c r="D2" s="84"/>
      <c r="E2" s="85"/>
      <c r="F2" s="85"/>
      <c r="G2" s="85" t="s">
        <v>12</v>
      </c>
      <c r="H2" s="85"/>
      <c r="I2" s="85"/>
      <c r="J2" s="85"/>
      <c r="K2" s="85"/>
      <c r="L2" s="86"/>
      <c r="M2" s="86" t="s">
        <v>13</v>
      </c>
      <c r="N2" s="87"/>
    </row>
    <row r="3" spans="1:26" ht="17.45" customHeight="1">
      <c r="A3" s="198" t="s">
        <v>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26" s="97" customFormat="1" ht="17.45" customHeight="1">
      <c r="A4" s="91" t="s">
        <v>14</v>
      </c>
      <c r="B4" s="91" t="s">
        <v>15</v>
      </c>
      <c r="C4" s="91" t="s">
        <v>16</v>
      </c>
      <c r="D4" s="91" t="s">
        <v>17</v>
      </c>
      <c r="E4" s="91" t="s">
        <v>18</v>
      </c>
      <c r="F4" s="91" t="s">
        <v>19</v>
      </c>
      <c r="G4" s="92" t="str">
        <f>A1</f>
        <v>PROGRAMA DE REHABILITACIÓN Y MODERNIZACIÓN DE LA CENTRAL HIDROELÉCTRICA DE ACARAY PR-L1156</v>
      </c>
      <c r="H4" s="91" t="s">
        <v>20</v>
      </c>
      <c r="I4" s="91" t="s">
        <v>21</v>
      </c>
      <c r="J4" s="93" t="s">
        <v>22</v>
      </c>
      <c r="K4" s="91" t="s">
        <v>21</v>
      </c>
      <c r="L4" s="94" t="s">
        <v>23</v>
      </c>
      <c r="M4" s="95" t="s">
        <v>24</v>
      </c>
      <c r="N4" s="95" t="s">
        <v>25</v>
      </c>
      <c r="O4" s="95" t="s">
        <v>26</v>
      </c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s="97" customFormat="1" ht="17.45" customHeight="1">
      <c r="A5" s="98">
        <v>1</v>
      </c>
      <c r="B5" s="99" t="s">
        <v>27</v>
      </c>
      <c r="C5" s="100" t="s">
        <v>28</v>
      </c>
      <c r="D5" s="99" t="s">
        <v>28</v>
      </c>
      <c r="E5" s="100" t="s">
        <v>28</v>
      </c>
      <c r="F5" s="100" t="s">
        <v>28</v>
      </c>
      <c r="G5" s="101" t="s">
        <v>29</v>
      </c>
      <c r="H5" s="102"/>
      <c r="I5" s="102"/>
      <c r="J5" s="102"/>
      <c r="K5" s="102"/>
      <c r="L5" s="103"/>
      <c r="M5" s="104">
        <f>M6+M23+M25+M27+M34+M36+M38+M40+M42+M44+M46+M48+M50</f>
        <v>115000000</v>
      </c>
      <c r="N5" s="104">
        <f>N6+N23+N25+N27+N34+N36+N38+N40+N42+N44+N46+N48+N50</f>
        <v>18807200</v>
      </c>
      <c r="O5" s="104">
        <f>O6+O23+O25+O27+O34+O36+O38+O40+O42+O44+O46+O48+O50</f>
        <v>133807200</v>
      </c>
      <c r="P5" s="105">
        <f>O5/$O$79</f>
        <v>0.92153515915116435</v>
      </c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6" ht="17.45" customHeight="1">
      <c r="A6" s="106" t="s">
        <v>30</v>
      </c>
      <c r="B6" s="107" t="s">
        <v>31</v>
      </c>
      <c r="C6" s="107" t="s">
        <v>28</v>
      </c>
      <c r="D6" s="107" t="s">
        <v>28</v>
      </c>
      <c r="E6" s="107" t="s">
        <v>28</v>
      </c>
      <c r="F6" s="107" t="s">
        <v>28</v>
      </c>
      <c r="G6" s="108" t="s">
        <v>32</v>
      </c>
      <c r="H6" s="109"/>
      <c r="I6" s="109"/>
      <c r="J6" s="109"/>
      <c r="K6" s="109"/>
      <c r="L6" s="110"/>
      <c r="M6" s="110">
        <f>M7+M9+M15+M21</f>
        <v>11500000</v>
      </c>
      <c r="N6" s="110">
        <f>N7+N9+N15+N21</f>
        <v>1150000</v>
      </c>
      <c r="O6" s="110">
        <f>O7+O9+O15+O21</f>
        <v>12650000</v>
      </c>
      <c r="P6" s="111"/>
    </row>
    <row r="7" spans="1:26" ht="17.45" hidden="1" customHeight="1" outlineLevel="1">
      <c r="A7" s="112" t="s">
        <v>33</v>
      </c>
      <c r="B7" s="113" t="s">
        <v>31</v>
      </c>
      <c r="C7" s="113" t="s">
        <v>28</v>
      </c>
      <c r="D7" s="113" t="s">
        <v>28</v>
      </c>
      <c r="E7" s="113" t="s">
        <v>28</v>
      </c>
      <c r="F7" s="113" t="s">
        <v>28</v>
      </c>
      <c r="G7" s="114" t="s">
        <v>34</v>
      </c>
      <c r="H7" s="115"/>
      <c r="I7" s="115"/>
      <c r="J7" s="115"/>
      <c r="K7" s="115"/>
      <c r="L7" s="116"/>
      <c r="M7" s="116">
        <f>SUM(M8)</f>
        <v>750000</v>
      </c>
      <c r="N7" s="116">
        <f>SUM(N8)</f>
        <v>75000</v>
      </c>
      <c r="O7" s="116">
        <f>SUM(O8)</f>
        <v>825000</v>
      </c>
      <c r="P7" s="111"/>
    </row>
    <row r="8" spans="1:26" s="123" customFormat="1" ht="17.45" hidden="1" customHeight="1" outlineLevel="1">
      <c r="A8" s="117" t="s">
        <v>35</v>
      </c>
      <c r="B8" s="118" t="s">
        <v>31</v>
      </c>
      <c r="C8" s="118">
        <v>260</v>
      </c>
      <c r="D8" s="118" t="s">
        <v>36</v>
      </c>
      <c r="E8" s="118" t="s">
        <v>37</v>
      </c>
      <c r="F8" s="118" t="s">
        <v>38</v>
      </c>
      <c r="G8" s="119" t="s">
        <v>39</v>
      </c>
      <c r="H8" s="120">
        <v>1</v>
      </c>
      <c r="I8" s="120" t="s">
        <v>40</v>
      </c>
      <c r="J8" s="120">
        <v>18</v>
      </c>
      <c r="K8" s="120" t="s">
        <v>41</v>
      </c>
      <c r="L8" s="121">
        <v>750000</v>
      </c>
      <c r="M8" s="121">
        <f>H8*L8</f>
        <v>750000</v>
      </c>
      <c r="N8" s="121">
        <f>M8*10%</f>
        <v>75000</v>
      </c>
      <c r="O8" s="121">
        <f>M8+N8</f>
        <v>825000</v>
      </c>
      <c r="P8" s="111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spans="1:26" ht="17.45" hidden="1" customHeight="1" outlineLevel="1">
      <c r="A9" s="112" t="s">
        <v>42</v>
      </c>
      <c r="B9" s="113" t="s">
        <v>31</v>
      </c>
      <c r="C9" s="113" t="s">
        <v>28</v>
      </c>
      <c r="D9" s="113" t="s">
        <v>28</v>
      </c>
      <c r="E9" s="113" t="s">
        <v>28</v>
      </c>
      <c r="F9" s="113" t="s">
        <v>28</v>
      </c>
      <c r="G9" s="114" t="s">
        <v>43</v>
      </c>
      <c r="H9" s="115"/>
      <c r="I9" s="115"/>
      <c r="J9" s="115"/>
      <c r="K9" s="115"/>
      <c r="L9" s="116"/>
      <c r="M9" s="116">
        <f>SUM(M10:M14)</f>
        <v>5900000</v>
      </c>
      <c r="N9" s="116">
        <f>SUM(N10:N14)</f>
        <v>590000</v>
      </c>
      <c r="O9" s="116">
        <f>SUM(O10:O14)</f>
        <v>6490000</v>
      </c>
      <c r="P9" s="111"/>
    </row>
    <row r="10" spans="1:26" s="123" customFormat="1" ht="17.45" hidden="1" customHeight="1" outlineLevel="1">
      <c r="A10" s="117" t="s">
        <v>44</v>
      </c>
      <c r="B10" s="118" t="s">
        <v>31</v>
      </c>
      <c r="C10" s="118">
        <v>260</v>
      </c>
      <c r="D10" s="118" t="s">
        <v>36</v>
      </c>
      <c r="E10" s="118" t="s">
        <v>37</v>
      </c>
      <c r="F10" s="118" t="s">
        <v>38</v>
      </c>
      <c r="G10" s="119" t="s">
        <v>45</v>
      </c>
      <c r="H10" s="120">
        <v>1</v>
      </c>
      <c r="I10" s="120" t="s">
        <v>40</v>
      </c>
      <c r="J10" s="120">
        <v>8</v>
      </c>
      <c r="K10" s="120" t="s">
        <v>41</v>
      </c>
      <c r="L10" s="121">
        <v>2200000</v>
      </c>
      <c r="M10" s="121">
        <f>H10*L10</f>
        <v>2200000</v>
      </c>
      <c r="N10" s="121">
        <f>M10*10%</f>
        <v>220000</v>
      </c>
      <c r="O10" s="121">
        <f>M10+N10</f>
        <v>2420000</v>
      </c>
      <c r="P10" s="111"/>
      <c r="Q10" s="122"/>
      <c r="R10" s="122"/>
      <c r="S10" s="122"/>
      <c r="T10" s="122"/>
      <c r="U10" s="122"/>
      <c r="V10" s="122"/>
      <c r="W10" s="122"/>
      <c r="X10" s="122"/>
      <c r="Y10" s="122"/>
      <c r="Z10" s="122"/>
    </row>
    <row r="11" spans="1:26" s="123" customFormat="1" ht="17.45" hidden="1" customHeight="1" outlineLevel="1">
      <c r="A11" s="117" t="s">
        <v>46</v>
      </c>
      <c r="B11" s="118" t="s">
        <v>31</v>
      </c>
      <c r="C11" s="118">
        <v>260</v>
      </c>
      <c r="D11" s="118" t="s">
        <v>36</v>
      </c>
      <c r="E11" s="118" t="s">
        <v>37</v>
      </c>
      <c r="F11" s="118" t="s">
        <v>38</v>
      </c>
      <c r="G11" s="119" t="s">
        <v>47</v>
      </c>
      <c r="H11" s="120">
        <v>1</v>
      </c>
      <c r="I11" s="120" t="s">
        <v>40</v>
      </c>
      <c r="J11" s="120">
        <v>8</v>
      </c>
      <c r="K11" s="120" t="s">
        <v>41</v>
      </c>
      <c r="L11" s="121">
        <v>500000</v>
      </c>
      <c r="M11" s="121">
        <f>H11*L11</f>
        <v>500000</v>
      </c>
      <c r="N11" s="121">
        <f>M11*10%</f>
        <v>50000</v>
      </c>
      <c r="O11" s="121">
        <f>M11+N11</f>
        <v>550000</v>
      </c>
      <c r="P11" s="111"/>
      <c r="Q11" s="122"/>
      <c r="R11" s="122"/>
      <c r="S11" s="122"/>
      <c r="T11" s="122"/>
      <c r="U11" s="122"/>
      <c r="V11" s="122"/>
      <c r="W11" s="122"/>
      <c r="X11" s="122"/>
      <c r="Y11" s="122"/>
      <c r="Z11" s="122"/>
    </row>
    <row r="12" spans="1:26" s="123" customFormat="1" ht="17.45" hidden="1" customHeight="1" outlineLevel="1">
      <c r="A12" s="117" t="s">
        <v>48</v>
      </c>
      <c r="B12" s="118" t="s">
        <v>31</v>
      </c>
      <c r="C12" s="118">
        <v>260</v>
      </c>
      <c r="D12" s="118" t="s">
        <v>36</v>
      </c>
      <c r="E12" s="118" t="s">
        <v>37</v>
      </c>
      <c r="F12" s="118" t="s">
        <v>38</v>
      </c>
      <c r="G12" s="119" t="s">
        <v>49</v>
      </c>
      <c r="H12" s="120">
        <v>1</v>
      </c>
      <c r="I12" s="120" t="s">
        <v>40</v>
      </c>
      <c r="J12" s="120">
        <v>8</v>
      </c>
      <c r="K12" s="120" t="s">
        <v>41</v>
      </c>
      <c r="L12" s="121">
        <v>1100000</v>
      </c>
      <c r="M12" s="121">
        <f>H12*L12</f>
        <v>1100000</v>
      </c>
      <c r="N12" s="121">
        <f>M12*10%</f>
        <v>110000</v>
      </c>
      <c r="O12" s="121">
        <f>M12+N12</f>
        <v>1210000</v>
      </c>
      <c r="P12" s="111"/>
      <c r="Q12" s="122"/>
      <c r="R12" s="122"/>
      <c r="S12" s="122"/>
      <c r="T12" s="122"/>
      <c r="U12" s="122"/>
      <c r="V12" s="122"/>
      <c r="W12" s="122"/>
      <c r="X12" s="122"/>
      <c r="Y12" s="122"/>
      <c r="Z12" s="122"/>
    </row>
    <row r="13" spans="1:26" s="123" customFormat="1" ht="17.45" hidden="1" customHeight="1" outlineLevel="1">
      <c r="A13" s="117" t="s">
        <v>50</v>
      </c>
      <c r="B13" s="118" t="s">
        <v>31</v>
      </c>
      <c r="C13" s="118">
        <v>260</v>
      </c>
      <c r="D13" s="118" t="s">
        <v>36</v>
      </c>
      <c r="E13" s="118" t="s">
        <v>37</v>
      </c>
      <c r="F13" s="118" t="s">
        <v>38</v>
      </c>
      <c r="G13" s="119" t="s">
        <v>51</v>
      </c>
      <c r="H13" s="120">
        <v>1</v>
      </c>
      <c r="I13" s="120" t="s">
        <v>40</v>
      </c>
      <c r="J13" s="120">
        <v>8</v>
      </c>
      <c r="K13" s="120" t="s">
        <v>41</v>
      </c>
      <c r="L13" s="121">
        <v>600000</v>
      </c>
      <c r="M13" s="121">
        <f>H13*L13</f>
        <v>600000</v>
      </c>
      <c r="N13" s="121">
        <f>M13*10%</f>
        <v>60000</v>
      </c>
      <c r="O13" s="121">
        <f>M13+N13</f>
        <v>660000</v>
      </c>
      <c r="P13" s="111"/>
      <c r="Q13" s="122"/>
      <c r="R13" s="122"/>
      <c r="S13" s="122"/>
      <c r="T13" s="122"/>
      <c r="U13" s="122"/>
      <c r="V13" s="122"/>
      <c r="W13" s="122"/>
      <c r="X13" s="122"/>
      <c r="Y13" s="122"/>
      <c r="Z13" s="122"/>
    </row>
    <row r="14" spans="1:26" s="123" customFormat="1" ht="17.45" hidden="1" customHeight="1" outlineLevel="1">
      <c r="A14" s="117" t="s">
        <v>52</v>
      </c>
      <c r="B14" s="118" t="s">
        <v>31</v>
      </c>
      <c r="C14" s="118">
        <v>260</v>
      </c>
      <c r="D14" s="118" t="s">
        <v>36</v>
      </c>
      <c r="E14" s="118" t="s">
        <v>37</v>
      </c>
      <c r="F14" s="118" t="s">
        <v>38</v>
      </c>
      <c r="G14" s="119" t="s">
        <v>53</v>
      </c>
      <c r="H14" s="120">
        <v>1</v>
      </c>
      <c r="I14" s="120" t="s">
        <v>40</v>
      </c>
      <c r="J14" s="120">
        <v>8</v>
      </c>
      <c r="K14" s="120" t="s">
        <v>41</v>
      </c>
      <c r="L14" s="121">
        <v>1500000</v>
      </c>
      <c r="M14" s="121">
        <f>H14*L14</f>
        <v>1500000</v>
      </c>
      <c r="N14" s="121">
        <f>M14*10%</f>
        <v>150000</v>
      </c>
      <c r="O14" s="121">
        <f>M14+N14</f>
        <v>1650000</v>
      </c>
      <c r="P14" s="111"/>
      <c r="Q14" s="122"/>
      <c r="R14" s="122"/>
      <c r="S14" s="122"/>
      <c r="T14" s="122"/>
      <c r="U14" s="122"/>
      <c r="V14" s="122"/>
      <c r="W14" s="122"/>
      <c r="X14" s="122"/>
      <c r="Y14" s="122"/>
      <c r="Z14" s="122"/>
    </row>
    <row r="15" spans="1:26" ht="17.45" hidden="1" customHeight="1" outlineLevel="1">
      <c r="A15" s="112" t="s">
        <v>54</v>
      </c>
      <c r="B15" s="113" t="s">
        <v>31</v>
      </c>
      <c r="C15" s="113" t="s">
        <v>28</v>
      </c>
      <c r="D15" s="113" t="s">
        <v>28</v>
      </c>
      <c r="E15" s="113" t="s">
        <v>28</v>
      </c>
      <c r="F15" s="113" t="s">
        <v>28</v>
      </c>
      <c r="G15" s="114" t="s">
        <v>55</v>
      </c>
      <c r="H15" s="115"/>
      <c r="I15" s="115"/>
      <c r="J15" s="115"/>
      <c r="K15" s="115"/>
      <c r="L15" s="116"/>
      <c r="M15" s="116">
        <f>SUM(M16:M20)</f>
        <v>1950000</v>
      </c>
      <c r="N15" s="116">
        <f>SUM(N16:N20)</f>
        <v>195000</v>
      </c>
      <c r="O15" s="116">
        <f>SUM(O16:O20)</f>
        <v>2145000</v>
      </c>
      <c r="P15" s="111"/>
    </row>
    <row r="16" spans="1:26" s="123" customFormat="1" ht="17.45" hidden="1" customHeight="1" outlineLevel="1">
      <c r="A16" s="117" t="s">
        <v>56</v>
      </c>
      <c r="B16" s="118" t="s">
        <v>31</v>
      </c>
      <c r="C16" s="118">
        <v>260</v>
      </c>
      <c r="D16" s="118" t="s">
        <v>36</v>
      </c>
      <c r="E16" s="118" t="s">
        <v>37</v>
      </c>
      <c r="F16" s="118" t="s">
        <v>38</v>
      </c>
      <c r="G16" s="119" t="s">
        <v>57</v>
      </c>
      <c r="H16" s="120">
        <v>1</v>
      </c>
      <c r="I16" s="120" t="s">
        <v>40</v>
      </c>
      <c r="J16" s="120">
        <v>8</v>
      </c>
      <c r="K16" s="120" t="s">
        <v>41</v>
      </c>
      <c r="L16" s="121">
        <v>400000</v>
      </c>
      <c r="M16" s="121">
        <f>H16*L16</f>
        <v>400000</v>
      </c>
      <c r="N16" s="121">
        <f>M16*10%</f>
        <v>40000</v>
      </c>
      <c r="O16" s="121">
        <f>M16+N16</f>
        <v>440000</v>
      </c>
      <c r="P16" s="111"/>
      <c r="Q16" s="122"/>
      <c r="R16" s="122"/>
      <c r="S16" s="122"/>
      <c r="T16" s="122"/>
      <c r="U16" s="122"/>
      <c r="V16" s="122"/>
      <c r="W16" s="122"/>
      <c r="X16" s="122"/>
      <c r="Y16" s="122"/>
      <c r="Z16" s="122"/>
    </row>
    <row r="17" spans="1:26" s="123" customFormat="1" ht="17.45" hidden="1" customHeight="1" outlineLevel="1">
      <c r="A17" s="117" t="s">
        <v>58</v>
      </c>
      <c r="B17" s="118" t="s">
        <v>31</v>
      </c>
      <c r="C17" s="118">
        <v>260</v>
      </c>
      <c r="D17" s="118" t="s">
        <v>36</v>
      </c>
      <c r="E17" s="118" t="s">
        <v>37</v>
      </c>
      <c r="F17" s="118" t="s">
        <v>38</v>
      </c>
      <c r="G17" s="119" t="s">
        <v>59</v>
      </c>
      <c r="H17" s="120">
        <v>1</v>
      </c>
      <c r="I17" s="120" t="s">
        <v>40</v>
      </c>
      <c r="J17" s="120">
        <v>8</v>
      </c>
      <c r="K17" s="120" t="s">
        <v>41</v>
      </c>
      <c r="L17" s="121">
        <v>250000</v>
      </c>
      <c r="M17" s="121">
        <f>H17*L17</f>
        <v>250000</v>
      </c>
      <c r="N17" s="121">
        <f>M17*10%</f>
        <v>25000</v>
      </c>
      <c r="O17" s="121">
        <f>M17+N17</f>
        <v>275000</v>
      </c>
      <c r="P17" s="111"/>
      <c r="Q17" s="122"/>
      <c r="R17" s="122"/>
      <c r="S17" s="122"/>
      <c r="T17" s="122"/>
      <c r="U17" s="122"/>
      <c r="V17" s="122"/>
      <c r="W17" s="122"/>
      <c r="X17" s="122"/>
      <c r="Y17" s="122"/>
      <c r="Z17" s="122"/>
    </row>
    <row r="18" spans="1:26" s="123" customFormat="1" ht="17.45" hidden="1" customHeight="1" outlineLevel="1">
      <c r="A18" s="117" t="s">
        <v>60</v>
      </c>
      <c r="B18" s="118" t="s">
        <v>31</v>
      </c>
      <c r="C18" s="118">
        <v>260</v>
      </c>
      <c r="D18" s="118" t="s">
        <v>36</v>
      </c>
      <c r="E18" s="118" t="s">
        <v>37</v>
      </c>
      <c r="F18" s="118" t="s">
        <v>38</v>
      </c>
      <c r="G18" s="119" t="s">
        <v>61</v>
      </c>
      <c r="H18" s="120">
        <v>1</v>
      </c>
      <c r="I18" s="120" t="s">
        <v>40</v>
      </c>
      <c r="J18" s="120">
        <v>8</v>
      </c>
      <c r="K18" s="120" t="s">
        <v>41</v>
      </c>
      <c r="L18" s="121">
        <v>750000</v>
      </c>
      <c r="M18" s="121">
        <f>H18*L18</f>
        <v>750000</v>
      </c>
      <c r="N18" s="121">
        <f>M18*10%</f>
        <v>75000</v>
      </c>
      <c r="O18" s="121">
        <f>M18+N18</f>
        <v>825000</v>
      </c>
      <c r="P18" s="111"/>
      <c r="Q18" s="122"/>
      <c r="R18" s="122"/>
      <c r="S18" s="122"/>
      <c r="T18" s="122"/>
      <c r="U18" s="122"/>
      <c r="V18" s="122"/>
      <c r="W18" s="122"/>
      <c r="X18" s="122"/>
      <c r="Y18" s="122"/>
      <c r="Z18" s="122"/>
    </row>
    <row r="19" spans="1:26" s="123" customFormat="1" ht="17.45" hidden="1" customHeight="1" outlineLevel="1">
      <c r="A19" s="117" t="s">
        <v>62</v>
      </c>
      <c r="B19" s="118" t="s">
        <v>31</v>
      </c>
      <c r="C19" s="118">
        <v>260</v>
      </c>
      <c r="D19" s="118" t="s">
        <v>36</v>
      </c>
      <c r="E19" s="118" t="s">
        <v>37</v>
      </c>
      <c r="F19" s="118" t="s">
        <v>38</v>
      </c>
      <c r="G19" s="119" t="s">
        <v>63</v>
      </c>
      <c r="H19" s="120">
        <v>1</v>
      </c>
      <c r="I19" s="120" t="s">
        <v>40</v>
      </c>
      <c r="J19" s="120">
        <v>8</v>
      </c>
      <c r="K19" s="120" t="s">
        <v>41</v>
      </c>
      <c r="L19" s="121">
        <v>250000</v>
      </c>
      <c r="M19" s="121">
        <f>H19*L19</f>
        <v>250000</v>
      </c>
      <c r="N19" s="121">
        <f>M19*10%</f>
        <v>25000</v>
      </c>
      <c r="O19" s="121">
        <f>M19+N19</f>
        <v>275000</v>
      </c>
      <c r="P19" s="111"/>
      <c r="Q19" s="122"/>
      <c r="R19" s="122"/>
      <c r="S19" s="122"/>
      <c r="T19" s="122"/>
      <c r="U19" s="122"/>
      <c r="V19" s="122"/>
      <c r="W19" s="122"/>
      <c r="X19" s="122"/>
      <c r="Y19" s="122"/>
      <c r="Z19" s="122"/>
    </row>
    <row r="20" spans="1:26" s="123" customFormat="1" ht="17.45" hidden="1" customHeight="1" outlineLevel="1">
      <c r="A20" s="117" t="s">
        <v>64</v>
      </c>
      <c r="B20" s="118" t="s">
        <v>31</v>
      </c>
      <c r="C20" s="118">
        <v>260</v>
      </c>
      <c r="D20" s="118" t="s">
        <v>36</v>
      </c>
      <c r="E20" s="118" t="s">
        <v>37</v>
      </c>
      <c r="F20" s="118" t="s">
        <v>38</v>
      </c>
      <c r="G20" s="119" t="s">
        <v>65</v>
      </c>
      <c r="H20" s="120">
        <v>1</v>
      </c>
      <c r="I20" s="120" t="s">
        <v>40</v>
      </c>
      <c r="J20" s="120">
        <v>8</v>
      </c>
      <c r="K20" s="120" t="s">
        <v>41</v>
      </c>
      <c r="L20" s="121">
        <v>300000</v>
      </c>
      <c r="M20" s="121">
        <f>H20*L20</f>
        <v>300000</v>
      </c>
      <c r="N20" s="121">
        <f>M20*10%</f>
        <v>30000</v>
      </c>
      <c r="O20" s="121">
        <f>M20+N20</f>
        <v>330000</v>
      </c>
      <c r="P20" s="111"/>
      <c r="Q20" s="122"/>
      <c r="R20" s="122"/>
      <c r="S20" s="122"/>
      <c r="T20" s="122"/>
      <c r="U20" s="122"/>
      <c r="V20" s="122"/>
      <c r="W20" s="122"/>
      <c r="X20" s="122"/>
      <c r="Y20" s="122"/>
      <c r="Z20" s="122"/>
    </row>
    <row r="21" spans="1:26" ht="17.45" hidden="1" customHeight="1" outlineLevel="1">
      <c r="A21" s="112" t="s">
        <v>66</v>
      </c>
      <c r="B21" s="113" t="s">
        <v>31</v>
      </c>
      <c r="C21" s="113" t="s">
        <v>28</v>
      </c>
      <c r="D21" s="113" t="s">
        <v>28</v>
      </c>
      <c r="E21" s="113" t="s">
        <v>28</v>
      </c>
      <c r="F21" s="113" t="s">
        <v>28</v>
      </c>
      <c r="G21" s="114" t="s">
        <v>67</v>
      </c>
      <c r="H21" s="115"/>
      <c r="I21" s="115"/>
      <c r="J21" s="115"/>
      <c r="K21" s="115"/>
      <c r="L21" s="116"/>
      <c r="M21" s="116">
        <f>SUM(M22)</f>
        <v>2900000</v>
      </c>
      <c r="N21" s="116">
        <f>SUM(N22)</f>
        <v>290000</v>
      </c>
      <c r="O21" s="116">
        <f>SUM(O22)</f>
        <v>3190000</v>
      </c>
      <c r="P21" s="111"/>
    </row>
    <row r="22" spans="1:26" s="123" customFormat="1" ht="17.45" hidden="1" customHeight="1" outlineLevel="1">
      <c r="A22" s="117" t="s">
        <v>68</v>
      </c>
      <c r="B22" s="118" t="s">
        <v>31</v>
      </c>
      <c r="C22" s="118">
        <v>260</v>
      </c>
      <c r="D22" s="118" t="s">
        <v>36</v>
      </c>
      <c r="E22" s="118" t="s">
        <v>37</v>
      </c>
      <c r="F22" s="118" t="s">
        <v>38</v>
      </c>
      <c r="G22" s="119" t="s">
        <v>39</v>
      </c>
      <c r="H22" s="120">
        <v>1</v>
      </c>
      <c r="I22" s="120" t="s">
        <v>40</v>
      </c>
      <c r="J22" s="120">
        <v>48</v>
      </c>
      <c r="K22" s="120" t="s">
        <v>41</v>
      </c>
      <c r="L22" s="121">
        <v>2900000</v>
      </c>
      <c r="M22" s="121">
        <f>H22*L22</f>
        <v>2900000</v>
      </c>
      <c r="N22" s="121">
        <f>M22*10%</f>
        <v>290000</v>
      </c>
      <c r="O22" s="121">
        <f>M22+N22</f>
        <v>3190000</v>
      </c>
      <c r="P22" s="111"/>
      <c r="Q22" s="122"/>
      <c r="R22" s="122"/>
      <c r="S22" s="122"/>
      <c r="T22" s="122"/>
      <c r="U22" s="122"/>
      <c r="V22" s="122"/>
      <c r="W22" s="122"/>
      <c r="X22" s="122"/>
      <c r="Y22" s="122"/>
      <c r="Z22" s="122"/>
    </row>
    <row r="23" spans="1:26" ht="17.45" customHeight="1" collapsed="1">
      <c r="A23" s="106" t="s">
        <v>69</v>
      </c>
      <c r="B23" s="107" t="s">
        <v>70</v>
      </c>
      <c r="C23" s="107" t="s">
        <v>28</v>
      </c>
      <c r="D23" s="107" t="s">
        <v>28</v>
      </c>
      <c r="E23" s="107" t="s">
        <v>28</v>
      </c>
      <c r="F23" s="107" t="s">
        <v>28</v>
      </c>
      <c r="G23" s="108" t="s">
        <v>71</v>
      </c>
      <c r="H23" s="109"/>
      <c r="I23" s="109"/>
      <c r="J23" s="109"/>
      <c r="K23" s="109"/>
      <c r="L23" s="110"/>
      <c r="M23" s="110">
        <f>SUM(M24)</f>
        <v>7200000</v>
      </c>
      <c r="N23" s="110">
        <f>SUM(N24)</f>
        <v>1296000</v>
      </c>
      <c r="O23" s="110">
        <f>SUM(O24)</f>
        <v>8496000</v>
      </c>
      <c r="P23" s="111"/>
    </row>
    <row r="24" spans="1:26" s="89" customFormat="1" ht="17.45" hidden="1" customHeight="1" outlineLevel="1">
      <c r="A24" s="117" t="s">
        <v>72</v>
      </c>
      <c r="B24" s="118" t="s">
        <v>70</v>
      </c>
      <c r="C24" s="118">
        <v>530</v>
      </c>
      <c r="D24" s="118" t="s">
        <v>73</v>
      </c>
      <c r="E24" s="118" t="s">
        <v>74</v>
      </c>
      <c r="F24" s="118" t="s">
        <v>75</v>
      </c>
      <c r="G24" s="124" t="s">
        <v>76</v>
      </c>
      <c r="H24" s="120">
        <v>2</v>
      </c>
      <c r="I24" s="120" t="s">
        <v>77</v>
      </c>
      <c r="J24" s="120">
        <v>38</v>
      </c>
      <c r="K24" s="120" t="s">
        <v>41</v>
      </c>
      <c r="L24" s="121">
        <f>7200000/2</f>
        <v>3600000</v>
      </c>
      <c r="M24" s="121">
        <f>H24*L24</f>
        <v>7200000</v>
      </c>
      <c r="N24" s="121">
        <f>M24*18%</f>
        <v>1296000</v>
      </c>
      <c r="O24" s="121">
        <f>M24+N24</f>
        <v>8496000</v>
      </c>
      <c r="P24" s="111"/>
    </row>
    <row r="25" spans="1:26" ht="17.45" customHeight="1" collapsed="1">
      <c r="A25" s="106" t="s">
        <v>78</v>
      </c>
      <c r="B25" s="107" t="s">
        <v>70</v>
      </c>
      <c r="C25" s="107" t="s">
        <v>28</v>
      </c>
      <c r="D25" s="107" t="s">
        <v>28</v>
      </c>
      <c r="E25" s="107" t="s">
        <v>28</v>
      </c>
      <c r="F25" s="107" t="s">
        <v>28</v>
      </c>
      <c r="G25" s="108" t="s">
        <v>79</v>
      </c>
      <c r="H25" s="109"/>
      <c r="I25" s="109"/>
      <c r="J25" s="109"/>
      <c r="K25" s="109"/>
      <c r="L25" s="110"/>
      <c r="M25" s="110">
        <f>SUM(M26)</f>
        <v>3500000</v>
      </c>
      <c r="N25" s="110">
        <f>SUM(N26)</f>
        <v>630000</v>
      </c>
      <c r="O25" s="110">
        <f>SUM(O26)</f>
        <v>4130000</v>
      </c>
      <c r="P25" s="111"/>
    </row>
    <row r="26" spans="1:26" s="89" customFormat="1" ht="17.45" hidden="1" customHeight="1" outlineLevel="1">
      <c r="A26" s="117" t="s">
        <v>80</v>
      </c>
      <c r="B26" s="118" t="s">
        <v>70</v>
      </c>
      <c r="C26" s="118">
        <v>530</v>
      </c>
      <c r="D26" s="118" t="s">
        <v>73</v>
      </c>
      <c r="E26" s="118" t="s">
        <v>74</v>
      </c>
      <c r="F26" s="118" t="s">
        <v>75</v>
      </c>
      <c r="G26" s="124" t="s">
        <v>81</v>
      </c>
      <c r="H26" s="120">
        <v>4</v>
      </c>
      <c r="I26" s="120" t="s">
        <v>77</v>
      </c>
      <c r="J26" s="120">
        <v>38</v>
      </c>
      <c r="K26" s="120" t="s">
        <v>41</v>
      </c>
      <c r="L26" s="121">
        <f>3500000/4</f>
        <v>875000</v>
      </c>
      <c r="M26" s="121">
        <f>H26*L26</f>
        <v>3500000</v>
      </c>
      <c r="N26" s="121">
        <f>M26*18%</f>
        <v>630000</v>
      </c>
      <c r="O26" s="121">
        <f>M26+N26</f>
        <v>4130000</v>
      </c>
      <c r="P26" s="111"/>
    </row>
    <row r="27" spans="1:26" ht="17.45" customHeight="1" collapsed="1">
      <c r="A27" s="106" t="s">
        <v>82</v>
      </c>
      <c r="B27" s="107" t="s">
        <v>70</v>
      </c>
      <c r="C27" s="107" t="s">
        <v>28</v>
      </c>
      <c r="D27" s="107" t="s">
        <v>28</v>
      </c>
      <c r="E27" s="107" t="s">
        <v>28</v>
      </c>
      <c r="F27" s="107" t="s">
        <v>28</v>
      </c>
      <c r="G27" s="108" t="s">
        <v>83</v>
      </c>
      <c r="H27" s="109"/>
      <c r="I27" s="109"/>
      <c r="J27" s="109"/>
      <c r="K27" s="109"/>
      <c r="L27" s="110"/>
      <c r="M27" s="110">
        <f>M28+M30+M32</f>
        <v>39500000</v>
      </c>
      <c r="N27" s="110">
        <f>N28+N30+N32</f>
        <v>7110000</v>
      </c>
      <c r="O27" s="110">
        <f>O28+O30+O32</f>
        <v>46610000</v>
      </c>
      <c r="P27" s="111"/>
    </row>
    <row r="28" spans="1:26" ht="17.45" hidden="1" customHeight="1" outlineLevel="1">
      <c r="A28" s="112" t="s">
        <v>84</v>
      </c>
      <c r="B28" s="113" t="s">
        <v>70</v>
      </c>
      <c r="C28" s="113" t="s">
        <v>28</v>
      </c>
      <c r="D28" s="113" t="s">
        <v>28</v>
      </c>
      <c r="E28" s="113" t="s">
        <v>28</v>
      </c>
      <c r="F28" s="113" t="s">
        <v>28</v>
      </c>
      <c r="G28" s="114" t="s">
        <v>85</v>
      </c>
      <c r="H28" s="115"/>
      <c r="I28" s="115"/>
      <c r="J28" s="115"/>
      <c r="K28" s="115"/>
      <c r="L28" s="116"/>
      <c r="M28" s="116">
        <f>SUM(M29)</f>
        <v>16000000</v>
      </c>
      <c r="N28" s="116">
        <f>SUM(N29)</f>
        <v>2880000</v>
      </c>
      <c r="O28" s="116">
        <f>SUM(O29)</f>
        <v>18880000</v>
      </c>
      <c r="P28" s="111"/>
    </row>
    <row r="29" spans="1:26" s="89" customFormat="1" ht="17.45" hidden="1" customHeight="1" outlineLevel="1">
      <c r="A29" s="117" t="s">
        <v>86</v>
      </c>
      <c r="B29" s="118" t="s">
        <v>70</v>
      </c>
      <c r="C29" s="118">
        <v>530</v>
      </c>
      <c r="D29" s="118" t="s">
        <v>73</v>
      </c>
      <c r="E29" s="118" t="s">
        <v>74</v>
      </c>
      <c r="F29" s="118" t="s">
        <v>75</v>
      </c>
      <c r="G29" s="124" t="s">
        <v>87</v>
      </c>
      <c r="H29" s="120">
        <v>2</v>
      </c>
      <c r="I29" s="120" t="s">
        <v>77</v>
      </c>
      <c r="J29" s="120">
        <v>38</v>
      </c>
      <c r="K29" s="120" t="s">
        <v>41</v>
      </c>
      <c r="L29" s="121">
        <v>8000000</v>
      </c>
      <c r="M29" s="121">
        <f>H29*L29</f>
        <v>16000000</v>
      </c>
      <c r="N29" s="121">
        <f>M29*18%</f>
        <v>2880000</v>
      </c>
      <c r="O29" s="121">
        <f>M29+N29</f>
        <v>18880000</v>
      </c>
      <c r="P29" s="111"/>
    </row>
    <row r="30" spans="1:26" ht="17.45" hidden="1" customHeight="1" outlineLevel="1">
      <c r="A30" s="112" t="s">
        <v>88</v>
      </c>
      <c r="B30" s="113" t="s">
        <v>70</v>
      </c>
      <c r="C30" s="113" t="s">
        <v>28</v>
      </c>
      <c r="D30" s="113" t="s">
        <v>28</v>
      </c>
      <c r="E30" s="113" t="s">
        <v>28</v>
      </c>
      <c r="F30" s="113" t="s">
        <v>28</v>
      </c>
      <c r="G30" s="114" t="s">
        <v>89</v>
      </c>
      <c r="H30" s="115"/>
      <c r="I30" s="115"/>
      <c r="J30" s="115"/>
      <c r="K30" s="115"/>
      <c r="L30" s="116"/>
      <c r="M30" s="116">
        <f>SUM(M31)</f>
        <v>18500000</v>
      </c>
      <c r="N30" s="116">
        <f>SUM(N31)</f>
        <v>3330000</v>
      </c>
      <c r="O30" s="116">
        <f>SUM(O31)</f>
        <v>21830000</v>
      </c>
      <c r="P30" s="111"/>
    </row>
    <row r="31" spans="1:26" s="89" customFormat="1" ht="17.45" hidden="1" customHeight="1" outlineLevel="1">
      <c r="A31" s="117" t="s">
        <v>90</v>
      </c>
      <c r="B31" s="118" t="s">
        <v>70</v>
      </c>
      <c r="C31" s="118">
        <v>530</v>
      </c>
      <c r="D31" s="118" t="s">
        <v>73</v>
      </c>
      <c r="E31" s="118" t="s">
        <v>74</v>
      </c>
      <c r="F31" s="118" t="s">
        <v>75</v>
      </c>
      <c r="G31" s="124" t="s">
        <v>91</v>
      </c>
      <c r="H31" s="120">
        <v>2</v>
      </c>
      <c r="I31" s="120" t="s">
        <v>77</v>
      </c>
      <c r="J31" s="120">
        <v>38</v>
      </c>
      <c r="K31" s="120" t="s">
        <v>41</v>
      </c>
      <c r="L31" s="121">
        <v>9250000</v>
      </c>
      <c r="M31" s="121">
        <f>H31*L31</f>
        <v>18500000</v>
      </c>
      <c r="N31" s="121">
        <f>M31*18%</f>
        <v>3330000</v>
      </c>
      <c r="O31" s="121">
        <f>M31+N31</f>
        <v>21830000</v>
      </c>
      <c r="P31" s="111"/>
    </row>
    <row r="32" spans="1:26" ht="17.45" hidden="1" customHeight="1" outlineLevel="1">
      <c r="A32" s="112" t="s">
        <v>92</v>
      </c>
      <c r="B32" s="113" t="s">
        <v>70</v>
      </c>
      <c r="C32" s="113" t="s">
        <v>28</v>
      </c>
      <c r="D32" s="113" t="s">
        <v>28</v>
      </c>
      <c r="E32" s="113" t="s">
        <v>28</v>
      </c>
      <c r="F32" s="113" t="s">
        <v>28</v>
      </c>
      <c r="G32" s="114" t="s">
        <v>93</v>
      </c>
      <c r="H32" s="115"/>
      <c r="I32" s="115"/>
      <c r="J32" s="115"/>
      <c r="K32" s="115"/>
      <c r="L32" s="116"/>
      <c r="M32" s="116">
        <f>SUM(M33)</f>
        <v>5000000</v>
      </c>
      <c r="N32" s="116">
        <f>SUM(N33)</f>
        <v>900000</v>
      </c>
      <c r="O32" s="116">
        <f>SUM(O33)</f>
        <v>5900000</v>
      </c>
      <c r="P32" s="111"/>
    </row>
    <row r="33" spans="1:16" s="89" customFormat="1" ht="17.45" hidden="1" customHeight="1" outlineLevel="1">
      <c r="A33" s="117" t="s">
        <v>94</v>
      </c>
      <c r="B33" s="118" t="s">
        <v>70</v>
      </c>
      <c r="C33" s="118">
        <v>530</v>
      </c>
      <c r="D33" s="118" t="s">
        <v>73</v>
      </c>
      <c r="E33" s="118" t="s">
        <v>74</v>
      </c>
      <c r="F33" s="118" t="s">
        <v>75</v>
      </c>
      <c r="G33" s="124" t="s">
        <v>95</v>
      </c>
      <c r="H33" s="120">
        <v>2</v>
      </c>
      <c r="I33" s="120" t="s">
        <v>77</v>
      </c>
      <c r="J33" s="120">
        <v>38</v>
      </c>
      <c r="K33" s="120" t="s">
        <v>41</v>
      </c>
      <c r="L33" s="121">
        <v>2500000</v>
      </c>
      <c r="M33" s="121">
        <f>H33*L33</f>
        <v>5000000</v>
      </c>
      <c r="N33" s="121">
        <f>M33*18%</f>
        <v>900000</v>
      </c>
      <c r="O33" s="121">
        <f>M33+N33</f>
        <v>5900000</v>
      </c>
      <c r="P33" s="111"/>
    </row>
    <row r="34" spans="1:16" ht="17.45" customHeight="1" collapsed="1">
      <c r="A34" s="106" t="s">
        <v>96</v>
      </c>
      <c r="B34" s="107" t="s">
        <v>70</v>
      </c>
      <c r="C34" s="107" t="s">
        <v>28</v>
      </c>
      <c r="D34" s="107" t="s">
        <v>28</v>
      </c>
      <c r="E34" s="107" t="s">
        <v>28</v>
      </c>
      <c r="F34" s="107" t="s">
        <v>28</v>
      </c>
      <c r="G34" s="108" t="s">
        <v>97</v>
      </c>
      <c r="H34" s="109"/>
      <c r="I34" s="109"/>
      <c r="J34" s="109"/>
      <c r="K34" s="109"/>
      <c r="L34" s="110"/>
      <c r="M34" s="110">
        <f>SUM(M35)</f>
        <v>7100000</v>
      </c>
      <c r="N34" s="110">
        <f>SUM(N35)</f>
        <v>1278000</v>
      </c>
      <c r="O34" s="110">
        <f>SUM(O35)</f>
        <v>8378000</v>
      </c>
      <c r="P34" s="111"/>
    </row>
    <row r="35" spans="1:16" s="89" customFormat="1" ht="17.45" hidden="1" customHeight="1" outlineLevel="1">
      <c r="A35" s="117" t="s">
        <v>98</v>
      </c>
      <c r="B35" s="118" t="s">
        <v>70</v>
      </c>
      <c r="C35" s="118">
        <v>530</v>
      </c>
      <c r="D35" s="118" t="s">
        <v>73</v>
      </c>
      <c r="E35" s="118" t="s">
        <v>74</v>
      </c>
      <c r="F35" s="118" t="s">
        <v>75</v>
      </c>
      <c r="G35" s="124" t="s">
        <v>99</v>
      </c>
      <c r="H35" s="120">
        <v>4</v>
      </c>
      <c r="I35" s="120" t="s">
        <v>77</v>
      </c>
      <c r="J35" s="120">
        <v>38</v>
      </c>
      <c r="K35" s="120" t="s">
        <v>41</v>
      </c>
      <c r="L35" s="121">
        <f>7100000/4</f>
        <v>1775000</v>
      </c>
      <c r="M35" s="121">
        <f>H35*L35</f>
        <v>7100000</v>
      </c>
      <c r="N35" s="121">
        <f>M35*18%</f>
        <v>1278000</v>
      </c>
      <c r="O35" s="121">
        <f>M35+N35</f>
        <v>8378000</v>
      </c>
      <c r="P35" s="111"/>
    </row>
    <row r="36" spans="1:16" ht="17.45" customHeight="1" collapsed="1">
      <c r="A36" s="106" t="s">
        <v>100</v>
      </c>
      <c r="B36" s="107" t="s">
        <v>70</v>
      </c>
      <c r="C36" s="107" t="s">
        <v>28</v>
      </c>
      <c r="D36" s="107" t="s">
        <v>28</v>
      </c>
      <c r="E36" s="107" t="s">
        <v>28</v>
      </c>
      <c r="F36" s="107" t="s">
        <v>28</v>
      </c>
      <c r="G36" s="108" t="s">
        <v>101</v>
      </c>
      <c r="H36" s="109"/>
      <c r="I36" s="109"/>
      <c r="J36" s="109"/>
      <c r="K36" s="109"/>
      <c r="L36" s="110"/>
      <c r="M36" s="110">
        <f>SUM(M37)</f>
        <v>5000000</v>
      </c>
      <c r="N36" s="110">
        <f>SUM(N37)</f>
        <v>900000</v>
      </c>
      <c r="O36" s="110">
        <f>SUM(O37)</f>
        <v>5900000</v>
      </c>
      <c r="P36" s="111"/>
    </row>
    <row r="37" spans="1:16" s="89" customFormat="1" ht="17.45" hidden="1" customHeight="1" outlineLevel="1">
      <c r="A37" s="117" t="s">
        <v>102</v>
      </c>
      <c r="B37" s="118" t="s">
        <v>70</v>
      </c>
      <c r="C37" s="118">
        <v>530</v>
      </c>
      <c r="D37" s="118" t="s">
        <v>73</v>
      </c>
      <c r="E37" s="118" t="s">
        <v>74</v>
      </c>
      <c r="F37" s="118" t="s">
        <v>75</v>
      </c>
      <c r="G37" s="124" t="s">
        <v>103</v>
      </c>
      <c r="H37" s="120">
        <v>1</v>
      </c>
      <c r="I37" s="120" t="s">
        <v>104</v>
      </c>
      <c r="J37" s="120">
        <v>38</v>
      </c>
      <c r="K37" s="120" t="s">
        <v>41</v>
      </c>
      <c r="L37" s="121">
        <v>5000000</v>
      </c>
      <c r="M37" s="121">
        <f>H37*L37</f>
        <v>5000000</v>
      </c>
      <c r="N37" s="121">
        <f>M37*18%</f>
        <v>900000</v>
      </c>
      <c r="O37" s="121">
        <f>M37+N37</f>
        <v>5900000</v>
      </c>
      <c r="P37" s="111"/>
    </row>
    <row r="38" spans="1:16" ht="17.45" customHeight="1" collapsed="1">
      <c r="A38" s="106" t="s">
        <v>105</v>
      </c>
      <c r="B38" s="107" t="s">
        <v>70</v>
      </c>
      <c r="C38" s="107" t="s">
        <v>28</v>
      </c>
      <c r="D38" s="107" t="s">
        <v>28</v>
      </c>
      <c r="E38" s="107" t="s">
        <v>28</v>
      </c>
      <c r="F38" s="107" t="s">
        <v>28</v>
      </c>
      <c r="G38" s="108" t="s">
        <v>106</v>
      </c>
      <c r="H38" s="109"/>
      <c r="I38" s="109"/>
      <c r="J38" s="109"/>
      <c r="K38" s="109"/>
      <c r="L38" s="110"/>
      <c r="M38" s="110">
        <f>SUM(M39)</f>
        <v>15000000</v>
      </c>
      <c r="N38" s="110">
        <f>SUM(N39)</f>
        <v>2700000</v>
      </c>
      <c r="O38" s="110">
        <f>SUM(O39)</f>
        <v>17700000</v>
      </c>
      <c r="P38" s="111"/>
    </row>
    <row r="39" spans="1:16" s="89" customFormat="1" ht="17.45" hidden="1" customHeight="1" outlineLevel="1">
      <c r="A39" s="117" t="s">
        <v>107</v>
      </c>
      <c r="B39" s="118" t="s">
        <v>70</v>
      </c>
      <c r="C39" s="118">
        <v>530</v>
      </c>
      <c r="D39" s="118" t="s">
        <v>73</v>
      </c>
      <c r="E39" s="118" t="s">
        <v>74</v>
      </c>
      <c r="F39" s="118" t="s">
        <v>75</v>
      </c>
      <c r="G39" s="124" t="s">
        <v>108</v>
      </c>
      <c r="H39" s="120">
        <v>1</v>
      </c>
      <c r="I39" s="120" t="s">
        <v>109</v>
      </c>
      <c r="J39" s="120">
        <v>38</v>
      </c>
      <c r="K39" s="120" t="s">
        <v>41</v>
      </c>
      <c r="L39" s="121">
        <v>15000000</v>
      </c>
      <c r="M39" s="121">
        <f>H39*L39</f>
        <v>15000000</v>
      </c>
      <c r="N39" s="121">
        <f>M39*18%</f>
        <v>2700000</v>
      </c>
      <c r="O39" s="121">
        <f>M39+N39</f>
        <v>17700000</v>
      </c>
      <c r="P39" s="111"/>
    </row>
    <row r="40" spans="1:16" ht="17.45" customHeight="1" collapsed="1">
      <c r="A40" s="106" t="s">
        <v>110</v>
      </c>
      <c r="B40" s="107" t="s">
        <v>111</v>
      </c>
      <c r="C40" s="107" t="s">
        <v>28</v>
      </c>
      <c r="D40" s="107" t="s">
        <v>28</v>
      </c>
      <c r="E40" s="107" t="s">
        <v>28</v>
      </c>
      <c r="F40" s="107" t="s">
        <v>28</v>
      </c>
      <c r="G40" s="108" t="s">
        <v>112</v>
      </c>
      <c r="H40" s="109"/>
      <c r="I40" s="109"/>
      <c r="J40" s="109"/>
      <c r="K40" s="109"/>
      <c r="L40" s="110"/>
      <c r="M40" s="110">
        <f>SUM(M41)</f>
        <v>3000000</v>
      </c>
      <c r="N40" s="110">
        <f>SUM(N41)</f>
        <v>300000</v>
      </c>
      <c r="O40" s="110">
        <f>SUM(O41)</f>
        <v>3300000</v>
      </c>
      <c r="P40" s="111"/>
    </row>
    <row r="41" spans="1:16" s="89" customFormat="1" ht="17.45" hidden="1" customHeight="1" outlineLevel="1">
      <c r="A41" s="117" t="s">
        <v>113</v>
      </c>
      <c r="B41" s="118" t="s">
        <v>111</v>
      </c>
      <c r="C41" s="118">
        <v>520</v>
      </c>
      <c r="D41" s="118" t="s">
        <v>114</v>
      </c>
      <c r="E41" s="118" t="s">
        <v>74</v>
      </c>
      <c r="F41" s="118" t="s">
        <v>115</v>
      </c>
      <c r="G41" s="124" t="s">
        <v>116</v>
      </c>
      <c r="H41" s="120">
        <v>1</v>
      </c>
      <c r="I41" s="120" t="s">
        <v>117</v>
      </c>
      <c r="J41" s="120">
        <v>36</v>
      </c>
      <c r="K41" s="120" t="s">
        <v>41</v>
      </c>
      <c r="L41" s="121">
        <v>3000000</v>
      </c>
      <c r="M41" s="121">
        <f>H41*L41</f>
        <v>3000000</v>
      </c>
      <c r="N41" s="121">
        <f>M41*10%</f>
        <v>300000</v>
      </c>
      <c r="O41" s="121">
        <f>M41+N41</f>
        <v>3300000</v>
      </c>
      <c r="P41" s="125"/>
    </row>
    <row r="42" spans="1:16" ht="17.45" customHeight="1" collapsed="1">
      <c r="A42" s="106" t="s">
        <v>118</v>
      </c>
      <c r="B42" s="107" t="s">
        <v>111</v>
      </c>
      <c r="C42" s="107" t="s">
        <v>28</v>
      </c>
      <c r="D42" s="107" t="s">
        <v>28</v>
      </c>
      <c r="E42" s="107" t="s">
        <v>28</v>
      </c>
      <c r="F42" s="107" t="s">
        <v>28</v>
      </c>
      <c r="G42" s="108" t="s">
        <v>119</v>
      </c>
      <c r="H42" s="109"/>
      <c r="I42" s="109"/>
      <c r="J42" s="109"/>
      <c r="K42" s="109"/>
      <c r="L42" s="110"/>
      <c r="M42" s="110">
        <f>SUM(M43)</f>
        <v>3000000</v>
      </c>
      <c r="N42" s="110">
        <f>SUM(N43)</f>
        <v>300000</v>
      </c>
      <c r="O42" s="110">
        <f>SUM(O43)</f>
        <v>3300000</v>
      </c>
      <c r="P42" s="111"/>
    </row>
    <row r="43" spans="1:16" s="89" customFormat="1" ht="17.45" hidden="1" customHeight="1" outlineLevel="1">
      <c r="A43" s="117" t="s">
        <v>120</v>
      </c>
      <c r="B43" s="118" t="s">
        <v>111</v>
      </c>
      <c r="C43" s="118">
        <v>520</v>
      </c>
      <c r="D43" s="118" t="s">
        <v>114</v>
      </c>
      <c r="E43" s="118" t="s">
        <v>74</v>
      </c>
      <c r="F43" s="118" t="s">
        <v>115</v>
      </c>
      <c r="G43" s="124" t="s">
        <v>121</v>
      </c>
      <c r="H43" s="120">
        <v>1</v>
      </c>
      <c r="I43" s="120" t="s">
        <v>117</v>
      </c>
      <c r="J43" s="120">
        <v>36</v>
      </c>
      <c r="K43" s="120" t="s">
        <v>41</v>
      </c>
      <c r="L43" s="121">
        <v>3000000</v>
      </c>
      <c r="M43" s="121">
        <f>H43*L43</f>
        <v>3000000</v>
      </c>
      <c r="N43" s="121">
        <f>M43*10%</f>
        <v>300000</v>
      </c>
      <c r="O43" s="121">
        <f>M43+N43</f>
        <v>3300000</v>
      </c>
      <c r="P43" s="125"/>
    </row>
    <row r="44" spans="1:16" ht="17.45" customHeight="1" collapsed="1">
      <c r="A44" s="106" t="s">
        <v>122</v>
      </c>
      <c r="B44" s="107" t="s">
        <v>111</v>
      </c>
      <c r="C44" s="107" t="s">
        <v>28</v>
      </c>
      <c r="D44" s="107" t="s">
        <v>28</v>
      </c>
      <c r="E44" s="107" t="s">
        <v>28</v>
      </c>
      <c r="F44" s="107" t="s">
        <v>28</v>
      </c>
      <c r="G44" s="108" t="s">
        <v>123</v>
      </c>
      <c r="H44" s="109"/>
      <c r="I44" s="109"/>
      <c r="J44" s="109"/>
      <c r="K44" s="109"/>
      <c r="L44" s="110"/>
      <c r="M44" s="110">
        <f>SUM(M45)</f>
        <v>5000000</v>
      </c>
      <c r="N44" s="110">
        <f>SUM(N45)</f>
        <v>500000</v>
      </c>
      <c r="O44" s="110">
        <f>SUM(O45)</f>
        <v>5500000</v>
      </c>
      <c r="P44" s="111"/>
    </row>
    <row r="45" spans="1:16" s="89" customFormat="1" ht="17.45" hidden="1" customHeight="1" outlineLevel="1">
      <c r="A45" s="117" t="s">
        <v>124</v>
      </c>
      <c r="B45" s="118" t="s">
        <v>111</v>
      </c>
      <c r="C45" s="118">
        <v>520</v>
      </c>
      <c r="D45" s="118" t="s">
        <v>114</v>
      </c>
      <c r="E45" s="118" t="s">
        <v>74</v>
      </c>
      <c r="F45" s="118" t="s">
        <v>115</v>
      </c>
      <c r="G45" s="124" t="s">
        <v>125</v>
      </c>
      <c r="H45" s="120">
        <v>1</v>
      </c>
      <c r="I45" s="120" t="s">
        <v>117</v>
      </c>
      <c r="J45" s="120">
        <v>36</v>
      </c>
      <c r="K45" s="120" t="s">
        <v>41</v>
      </c>
      <c r="L45" s="121">
        <v>5000000</v>
      </c>
      <c r="M45" s="121">
        <f>H45*L45</f>
        <v>5000000</v>
      </c>
      <c r="N45" s="121">
        <f>M45*10%</f>
        <v>500000</v>
      </c>
      <c r="O45" s="121">
        <f>M45+N45</f>
        <v>5500000</v>
      </c>
      <c r="P45" s="125"/>
    </row>
    <row r="46" spans="1:16" ht="17.45" customHeight="1" collapsed="1">
      <c r="A46" s="106" t="s">
        <v>126</v>
      </c>
      <c r="B46" s="107" t="s">
        <v>111</v>
      </c>
      <c r="C46" s="107" t="s">
        <v>28</v>
      </c>
      <c r="D46" s="107" t="s">
        <v>28</v>
      </c>
      <c r="E46" s="107" t="s">
        <v>28</v>
      </c>
      <c r="F46" s="107" t="s">
        <v>28</v>
      </c>
      <c r="G46" s="108" t="s">
        <v>127</v>
      </c>
      <c r="H46" s="109"/>
      <c r="I46" s="109"/>
      <c r="J46" s="109"/>
      <c r="K46" s="109"/>
      <c r="L46" s="110"/>
      <c r="M46" s="110">
        <f>SUM(M47)</f>
        <v>1000000</v>
      </c>
      <c r="N46" s="110">
        <f>SUM(N47)</f>
        <v>100000</v>
      </c>
      <c r="O46" s="110">
        <f>SUM(O47)</f>
        <v>1100000</v>
      </c>
      <c r="P46" s="111"/>
    </row>
    <row r="47" spans="1:16" s="89" customFormat="1" ht="17.45" hidden="1" customHeight="1" outlineLevel="1">
      <c r="A47" s="117" t="s">
        <v>128</v>
      </c>
      <c r="B47" s="118" t="s">
        <v>111</v>
      </c>
      <c r="C47" s="118">
        <v>520</v>
      </c>
      <c r="D47" s="118" t="s">
        <v>114</v>
      </c>
      <c r="E47" s="118" t="s">
        <v>74</v>
      </c>
      <c r="F47" s="118" t="s">
        <v>115</v>
      </c>
      <c r="G47" s="124" t="s">
        <v>129</v>
      </c>
      <c r="H47" s="120">
        <v>1</v>
      </c>
      <c r="I47" s="120" t="s">
        <v>117</v>
      </c>
      <c r="J47" s="120">
        <v>36</v>
      </c>
      <c r="K47" s="120" t="s">
        <v>41</v>
      </c>
      <c r="L47" s="121">
        <v>1000000</v>
      </c>
      <c r="M47" s="121">
        <f>H47*L47</f>
        <v>1000000</v>
      </c>
      <c r="N47" s="121">
        <f>M47*10%</f>
        <v>100000</v>
      </c>
      <c r="O47" s="121">
        <f>M47+N47</f>
        <v>1100000</v>
      </c>
      <c r="P47" s="125"/>
    </row>
    <row r="48" spans="1:16" ht="17.45" customHeight="1" collapsed="1">
      <c r="A48" s="106" t="s">
        <v>130</v>
      </c>
      <c r="B48" s="107" t="s">
        <v>111</v>
      </c>
      <c r="C48" s="107" t="s">
        <v>28</v>
      </c>
      <c r="D48" s="107" t="s">
        <v>28</v>
      </c>
      <c r="E48" s="107" t="s">
        <v>28</v>
      </c>
      <c r="F48" s="107" t="s">
        <v>28</v>
      </c>
      <c r="G48" s="108" t="s">
        <v>131</v>
      </c>
      <c r="H48" s="109"/>
      <c r="I48" s="109"/>
      <c r="J48" s="109"/>
      <c r="K48" s="109"/>
      <c r="L48" s="110"/>
      <c r="M48" s="110">
        <f>SUM(M49)</f>
        <v>2500000</v>
      </c>
      <c r="N48" s="110">
        <f>SUM(N49)</f>
        <v>250000</v>
      </c>
      <c r="O48" s="110">
        <f>SUM(O49)</f>
        <v>2750000</v>
      </c>
      <c r="P48" s="111"/>
    </row>
    <row r="49" spans="1:26" s="89" customFormat="1" ht="17.45" hidden="1" customHeight="1" outlineLevel="1">
      <c r="A49" s="117" t="s">
        <v>132</v>
      </c>
      <c r="B49" s="118" t="s">
        <v>111</v>
      </c>
      <c r="C49" s="118">
        <v>520</v>
      </c>
      <c r="D49" s="118" t="s">
        <v>114</v>
      </c>
      <c r="E49" s="118" t="s">
        <v>74</v>
      </c>
      <c r="F49" s="118" t="s">
        <v>115</v>
      </c>
      <c r="G49" s="124" t="s">
        <v>133</v>
      </c>
      <c r="H49" s="120">
        <v>1</v>
      </c>
      <c r="I49" s="120" t="s">
        <v>117</v>
      </c>
      <c r="J49" s="120">
        <v>36</v>
      </c>
      <c r="K49" s="120" t="s">
        <v>41</v>
      </c>
      <c r="L49" s="121">
        <v>2500000</v>
      </c>
      <c r="M49" s="121">
        <f>H49*L49</f>
        <v>2500000</v>
      </c>
      <c r="N49" s="121">
        <f>M49*10%</f>
        <v>250000</v>
      </c>
      <c r="O49" s="121">
        <f>M49+N49</f>
        <v>2750000</v>
      </c>
      <c r="P49" s="125"/>
    </row>
    <row r="50" spans="1:26" ht="17.45" customHeight="1" collapsed="1">
      <c r="A50" s="106" t="s">
        <v>134</v>
      </c>
      <c r="B50" s="107" t="s">
        <v>70</v>
      </c>
      <c r="C50" s="107" t="s">
        <v>28</v>
      </c>
      <c r="D50" s="107" t="s">
        <v>28</v>
      </c>
      <c r="E50" s="107" t="s">
        <v>28</v>
      </c>
      <c r="F50" s="107" t="s">
        <v>28</v>
      </c>
      <c r="G50" s="108" t="s">
        <v>135</v>
      </c>
      <c r="H50" s="109"/>
      <c r="I50" s="109"/>
      <c r="J50" s="109"/>
      <c r="K50" s="109"/>
      <c r="L50" s="110"/>
      <c r="M50" s="110">
        <f>SUM(M51)</f>
        <v>11700000</v>
      </c>
      <c r="N50" s="110">
        <f>SUM(N51)</f>
        <v>2293200</v>
      </c>
      <c r="O50" s="110">
        <f>SUM(O51)</f>
        <v>13993200</v>
      </c>
      <c r="P50" s="111"/>
    </row>
    <row r="51" spans="1:26" s="123" customFormat="1" ht="17.45" hidden="1" customHeight="1" outlineLevel="1">
      <c r="A51" s="117" t="s">
        <v>136</v>
      </c>
      <c r="B51" s="118" t="s">
        <v>70</v>
      </c>
      <c r="C51" s="118" t="s">
        <v>28</v>
      </c>
      <c r="D51" s="118" t="s">
        <v>28</v>
      </c>
      <c r="E51" s="118" t="s">
        <v>28</v>
      </c>
      <c r="F51" s="118" t="s">
        <v>28</v>
      </c>
      <c r="G51" s="119" t="s">
        <v>137</v>
      </c>
      <c r="H51" s="120">
        <v>1</v>
      </c>
      <c r="I51" s="120"/>
      <c r="J51" s="120"/>
      <c r="K51" s="120"/>
      <c r="L51" s="121">
        <v>11700000</v>
      </c>
      <c r="M51" s="121">
        <f>H51*L51</f>
        <v>11700000</v>
      </c>
      <c r="N51" s="121">
        <f>18807200-16514000</f>
        <v>2293200</v>
      </c>
      <c r="O51" s="121">
        <f>M51+N51</f>
        <v>13993200</v>
      </c>
      <c r="P51" s="111"/>
      <c r="Q51" s="122"/>
      <c r="R51" s="122"/>
      <c r="S51" s="122"/>
      <c r="T51" s="122"/>
      <c r="U51" s="122"/>
      <c r="V51" s="122"/>
      <c r="W51" s="122"/>
      <c r="X51" s="122"/>
      <c r="Y51" s="122"/>
      <c r="Z51" s="122"/>
    </row>
    <row r="52" spans="1:26" s="97" customFormat="1" ht="17.45" customHeight="1" collapsed="1">
      <c r="A52" s="98">
        <v>2</v>
      </c>
      <c r="B52" s="99" t="s">
        <v>138</v>
      </c>
      <c r="C52" s="100" t="s">
        <v>28</v>
      </c>
      <c r="D52" s="99" t="s">
        <v>28</v>
      </c>
      <c r="E52" s="100" t="s">
        <v>28</v>
      </c>
      <c r="F52" s="100" t="s">
        <v>28</v>
      </c>
      <c r="G52" s="101" t="s">
        <v>139</v>
      </c>
      <c r="H52" s="102"/>
      <c r="I52" s="102"/>
      <c r="J52" s="102"/>
      <c r="K52" s="102"/>
      <c r="L52" s="103"/>
      <c r="M52" s="104">
        <f>M53+M56+M58+M60+M62+M64</f>
        <v>8100000</v>
      </c>
      <c r="N52" s="104">
        <f>N53+N56+N58+N60+N62+N64</f>
        <v>1203120</v>
      </c>
      <c r="O52" s="104">
        <f>O53+O56+O58+O60+O62+O64</f>
        <v>9303120</v>
      </c>
      <c r="P52" s="105">
        <f>O52/$O$79</f>
        <v>6.4070933177006767E-2</v>
      </c>
      <c r="Q52" s="96"/>
      <c r="R52" s="1"/>
      <c r="S52" s="1"/>
      <c r="T52" s="96"/>
      <c r="U52" s="96"/>
      <c r="V52" s="96"/>
      <c r="W52" s="96"/>
      <c r="X52" s="96"/>
      <c r="Y52" s="96"/>
      <c r="Z52" s="96"/>
    </row>
    <row r="53" spans="1:26" s="122" customFormat="1" ht="17.45" customHeight="1">
      <c r="A53" s="106" t="s">
        <v>140</v>
      </c>
      <c r="B53" s="107" t="s">
        <v>138</v>
      </c>
      <c r="C53" s="107" t="s">
        <v>28</v>
      </c>
      <c r="D53" s="107" t="s">
        <v>28</v>
      </c>
      <c r="E53" s="107" t="s">
        <v>28</v>
      </c>
      <c r="F53" s="107" t="s">
        <v>28</v>
      </c>
      <c r="G53" s="108" t="s">
        <v>141</v>
      </c>
      <c r="H53" s="109"/>
      <c r="I53" s="109"/>
      <c r="J53" s="109"/>
      <c r="K53" s="109"/>
      <c r="L53" s="110"/>
      <c r="M53" s="110">
        <f>SUM(M54:M55)</f>
        <v>2450000</v>
      </c>
      <c r="N53" s="110">
        <f>SUM(N54:N55)</f>
        <v>245000</v>
      </c>
      <c r="O53" s="110">
        <f>SUM(O54:O55)</f>
        <v>2695000</v>
      </c>
      <c r="P53" s="111"/>
      <c r="R53" s="1"/>
      <c r="S53" s="1"/>
    </row>
    <row r="54" spans="1:26" s="122" customFormat="1" ht="17.45" hidden="1" customHeight="1" outlineLevel="1">
      <c r="A54" s="117" t="s">
        <v>142</v>
      </c>
      <c r="B54" s="118">
        <v>2</v>
      </c>
      <c r="C54" s="118">
        <v>260</v>
      </c>
      <c r="D54" s="118" t="s">
        <v>36</v>
      </c>
      <c r="E54" s="118" t="s">
        <v>37</v>
      </c>
      <c r="F54" s="118" t="s">
        <v>38</v>
      </c>
      <c r="G54" s="124" t="s">
        <v>143</v>
      </c>
      <c r="H54" s="126">
        <v>1</v>
      </c>
      <c r="I54" s="126" t="s">
        <v>40</v>
      </c>
      <c r="J54" s="126">
        <v>8</v>
      </c>
      <c r="K54" s="126" t="s">
        <v>41</v>
      </c>
      <c r="L54" s="127">
        <v>750000</v>
      </c>
      <c r="M54" s="121">
        <f>H54*L54</f>
        <v>750000</v>
      </c>
      <c r="N54" s="121">
        <f>M54*10%</f>
        <v>75000</v>
      </c>
      <c r="O54" s="121">
        <f>M54+N54</f>
        <v>825000</v>
      </c>
      <c r="P54" s="111"/>
      <c r="R54" s="1"/>
      <c r="S54" s="1"/>
    </row>
    <row r="55" spans="1:26" s="122" customFormat="1" ht="17.45" hidden="1" customHeight="1" outlineLevel="1">
      <c r="A55" s="117" t="s">
        <v>144</v>
      </c>
      <c r="B55" s="118">
        <v>2</v>
      </c>
      <c r="C55" s="118">
        <v>520</v>
      </c>
      <c r="D55" s="118" t="s">
        <v>114</v>
      </c>
      <c r="E55" s="118" t="s">
        <v>145</v>
      </c>
      <c r="F55" s="118" t="s">
        <v>115</v>
      </c>
      <c r="G55" s="124" t="s">
        <v>146</v>
      </c>
      <c r="H55" s="126">
        <v>1</v>
      </c>
      <c r="I55" s="118" t="s">
        <v>117</v>
      </c>
      <c r="J55" s="126">
        <v>18</v>
      </c>
      <c r="K55" s="126" t="s">
        <v>41</v>
      </c>
      <c r="L55" s="127">
        <v>1700000</v>
      </c>
      <c r="M55" s="121">
        <f>H55*L55</f>
        <v>1700000</v>
      </c>
      <c r="N55" s="121">
        <f>M55*10%</f>
        <v>170000</v>
      </c>
      <c r="O55" s="121">
        <f>M55+N55</f>
        <v>1870000</v>
      </c>
      <c r="P55" s="111"/>
      <c r="R55" s="1"/>
      <c r="S55" s="1"/>
    </row>
    <row r="56" spans="1:26" s="122" customFormat="1" ht="17.45" customHeight="1" collapsed="1">
      <c r="A56" s="106" t="s">
        <v>147</v>
      </c>
      <c r="B56" s="107" t="s">
        <v>138</v>
      </c>
      <c r="C56" s="107" t="s">
        <v>28</v>
      </c>
      <c r="D56" s="107" t="s">
        <v>28</v>
      </c>
      <c r="E56" s="107" t="s">
        <v>28</v>
      </c>
      <c r="F56" s="107" t="s">
        <v>28</v>
      </c>
      <c r="G56" s="108" t="s">
        <v>148</v>
      </c>
      <c r="H56" s="109"/>
      <c r="I56" s="109"/>
      <c r="J56" s="109"/>
      <c r="K56" s="109"/>
      <c r="L56" s="110"/>
      <c r="M56" s="110">
        <f>SUM(M57:M57)</f>
        <v>3000000</v>
      </c>
      <c r="N56" s="110">
        <f>SUM(N57:N57)</f>
        <v>300000</v>
      </c>
      <c r="O56" s="110">
        <f>SUM(O57:O57)</f>
        <v>3300000</v>
      </c>
      <c r="P56" s="111"/>
      <c r="R56" s="1"/>
      <c r="S56" s="1"/>
    </row>
    <row r="57" spans="1:26" s="122" customFormat="1" ht="17.45" hidden="1" customHeight="1" outlineLevel="1">
      <c r="A57" s="117" t="s">
        <v>149</v>
      </c>
      <c r="B57" s="118">
        <v>2</v>
      </c>
      <c r="C57" s="126">
        <v>260</v>
      </c>
      <c r="D57" s="118" t="s">
        <v>36</v>
      </c>
      <c r="E57" s="118" t="s">
        <v>37</v>
      </c>
      <c r="F57" s="118" t="s">
        <v>38</v>
      </c>
      <c r="G57" s="124" t="s">
        <v>150</v>
      </c>
      <c r="H57" s="118">
        <v>1</v>
      </c>
      <c r="I57" s="118" t="s">
        <v>40</v>
      </c>
      <c r="J57" s="118">
        <v>40</v>
      </c>
      <c r="K57" s="118" t="s">
        <v>41</v>
      </c>
      <c r="L57" s="128">
        <v>3000000</v>
      </c>
      <c r="M57" s="121">
        <f>H57*L57</f>
        <v>3000000</v>
      </c>
      <c r="N57" s="121">
        <f>M57*10%</f>
        <v>300000</v>
      </c>
      <c r="O57" s="121">
        <f>M57+N57</f>
        <v>3300000</v>
      </c>
      <c r="P57" s="111"/>
      <c r="R57" s="1"/>
      <c r="S57" s="1"/>
    </row>
    <row r="58" spans="1:26" s="122" customFormat="1" ht="17.45" customHeight="1" collapsed="1">
      <c r="A58" s="106" t="s">
        <v>151</v>
      </c>
      <c r="B58" s="107" t="s">
        <v>138</v>
      </c>
      <c r="C58" s="107" t="s">
        <v>28</v>
      </c>
      <c r="D58" s="107" t="s">
        <v>28</v>
      </c>
      <c r="E58" s="107" t="s">
        <v>28</v>
      </c>
      <c r="F58" s="107" t="s">
        <v>28</v>
      </c>
      <c r="G58" s="108" t="s">
        <v>152</v>
      </c>
      <c r="H58" s="109"/>
      <c r="I58" s="109"/>
      <c r="J58" s="109"/>
      <c r="K58" s="109"/>
      <c r="L58" s="110"/>
      <c r="M58" s="110">
        <f>SUM(M59:M59)</f>
        <v>700000</v>
      </c>
      <c r="N58" s="110">
        <f>SUM(N59:N59)</f>
        <v>70000</v>
      </c>
      <c r="O58" s="110">
        <f>SUM(O59:O59)</f>
        <v>770000</v>
      </c>
      <c r="P58" s="111"/>
      <c r="R58" s="1"/>
      <c r="S58" s="1"/>
    </row>
    <row r="59" spans="1:26" s="122" customFormat="1" ht="17.45" hidden="1" customHeight="1" outlineLevel="1">
      <c r="A59" s="117" t="s">
        <v>153</v>
      </c>
      <c r="B59" s="118">
        <v>2</v>
      </c>
      <c r="C59" s="126">
        <v>260</v>
      </c>
      <c r="D59" s="118" t="s">
        <v>36</v>
      </c>
      <c r="E59" s="118" t="s">
        <v>37</v>
      </c>
      <c r="F59" s="118" t="s">
        <v>38</v>
      </c>
      <c r="G59" s="119" t="s">
        <v>154</v>
      </c>
      <c r="H59" s="120">
        <v>1</v>
      </c>
      <c r="I59" s="120" t="s">
        <v>40</v>
      </c>
      <c r="J59" s="120">
        <v>40</v>
      </c>
      <c r="K59" s="120" t="s">
        <v>41</v>
      </c>
      <c r="L59" s="121">
        <v>700000</v>
      </c>
      <c r="M59" s="121">
        <f>H59*L59</f>
        <v>700000</v>
      </c>
      <c r="N59" s="121">
        <f>M59*10%</f>
        <v>70000</v>
      </c>
      <c r="O59" s="121">
        <f>M59+N59</f>
        <v>770000</v>
      </c>
      <c r="P59" s="129"/>
    </row>
    <row r="60" spans="1:26" s="122" customFormat="1" ht="17.45" customHeight="1" collapsed="1">
      <c r="A60" s="106" t="s">
        <v>155</v>
      </c>
      <c r="B60" s="107" t="s">
        <v>138</v>
      </c>
      <c r="C60" s="107" t="s">
        <v>28</v>
      </c>
      <c r="D60" s="107" t="s">
        <v>28</v>
      </c>
      <c r="E60" s="107" t="s">
        <v>28</v>
      </c>
      <c r="F60" s="107" t="s">
        <v>28</v>
      </c>
      <c r="G60" s="108" t="s">
        <v>156</v>
      </c>
      <c r="H60" s="109"/>
      <c r="I60" s="109"/>
      <c r="J60" s="109"/>
      <c r="K60" s="109"/>
      <c r="L60" s="110"/>
      <c r="M60" s="110">
        <f>SUM(M61:M61)</f>
        <v>300000</v>
      </c>
      <c r="N60" s="110">
        <f>SUM(N61:N61)</f>
        <v>30000</v>
      </c>
      <c r="O60" s="110">
        <f>SUM(O61:O61)</f>
        <v>330000</v>
      </c>
      <c r="P60" s="111"/>
    </row>
    <row r="61" spans="1:26" s="122" customFormat="1" ht="17.45" hidden="1" customHeight="1" outlineLevel="1">
      <c r="A61" s="117" t="s">
        <v>153</v>
      </c>
      <c r="B61" s="118">
        <v>2</v>
      </c>
      <c r="C61" s="126">
        <v>260</v>
      </c>
      <c r="D61" s="118" t="s">
        <v>36</v>
      </c>
      <c r="E61" s="118" t="s">
        <v>37</v>
      </c>
      <c r="F61" s="118" t="s">
        <v>38</v>
      </c>
      <c r="G61" s="119" t="s">
        <v>157</v>
      </c>
      <c r="H61" s="120">
        <v>1</v>
      </c>
      <c r="I61" s="120" t="s">
        <v>40</v>
      </c>
      <c r="J61" s="120">
        <v>40</v>
      </c>
      <c r="K61" s="120" t="s">
        <v>41</v>
      </c>
      <c r="L61" s="121">
        <v>300000</v>
      </c>
      <c r="M61" s="121">
        <f>H61*L61</f>
        <v>300000</v>
      </c>
      <c r="N61" s="121">
        <f>M61*10%</f>
        <v>30000</v>
      </c>
      <c r="O61" s="121">
        <f>M61+N61</f>
        <v>330000</v>
      </c>
      <c r="P61" s="129"/>
    </row>
    <row r="62" spans="1:26" s="122" customFormat="1" ht="17.45" customHeight="1" collapsed="1">
      <c r="A62" s="106" t="s">
        <v>158</v>
      </c>
      <c r="B62" s="107" t="s">
        <v>138</v>
      </c>
      <c r="C62" s="107" t="s">
        <v>28</v>
      </c>
      <c r="D62" s="107" t="s">
        <v>28</v>
      </c>
      <c r="E62" s="107" t="s">
        <v>28</v>
      </c>
      <c r="F62" s="107" t="s">
        <v>28</v>
      </c>
      <c r="G62" s="108" t="s">
        <v>159</v>
      </c>
      <c r="H62" s="109"/>
      <c r="I62" s="109"/>
      <c r="J62" s="109"/>
      <c r="K62" s="109"/>
      <c r="L62" s="110"/>
      <c r="M62" s="110">
        <f>M63</f>
        <v>650000</v>
      </c>
      <c r="N62" s="110">
        <f>N63</f>
        <v>65000</v>
      </c>
      <c r="O62" s="110">
        <f>O63</f>
        <v>715000</v>
      </c>
      <c r="P62" s="111"/>
    </row>
    <row r="63" spans="1:26" s="122" customFormat="1" ht="17.45" hidden="1" customHeight="1" outlineLevel="1">
      <c r="A63" s="132" t="s">
        <v>160</v>
      </c>
      <c r="B63" s="118" t="s">
        <v>161</v>
      </c>
      <c r="C63" s="126">
        <v>260</v>
      </c>
      <c r="D63" s="118" t="s">
        <v>162</v>
      </c>
      <c r="E63" s="118" t="s">
        <v>163</v>
      </c>
      <c r="F63" s="118" t="s">
        <v>38</v>
      </c>
      <c r="G63" s="119" t="s">
        <v>164</v>
      </c>
      <c r="H63" s="126">
        <v>1</v>
      </c>
      <c r="I63" s="126" t="s">
        <v>40</v>
      </c>
      <c r="J63" s="126">
        <v>46</v>
      </c>
      <c r="K63" s="126" t="s">
        <v>41</v>
      </c>
      <c r="L63" s="121">
        <v>650000</v>
      </c>
      <c r="M63" s="121">
        <f>H63*L63</f>
        <v>650000</v>
      </c>
      <c r="N63" s="121">
        <f>M63*10%</f>
        <v>65000</v>
      </c>
      <c r="O63" s="121">
        <f>M63+N63</f>
        <v>715000</v>
      </c>
      <c r="P63" s="111"/>
    </row>
    <row r="64" spans="1:26" s="122" customFormat="1" ht="17.45" customHeight="1" collapsed="1">
      <c r="A64" s="106" t="s">
        <v>165</v>
      </c>
      <c r="B64" s="107" t="s">
        <v>138</v>
      </c>
      <c r="C64" s="107" t="s">
        <v>28</v>
      </c>
      <c r="D64" s="107" t="s">
        <v>28</v>
      </c>
      <c r="E64" s="107" t="s">
        <v>28</v>
      </c>
      <c r="F64" s="107" t="s">
        <v>28</v>
      </c>
      <c r="G64" s="108" t="s">
        <v>135</v>
      </c>
      <c r="H64" s="109"/>
      <c r="I64" s="109"/>
      <c r="J64" s="109"/>
      <c r="K64" s="109"/>
      <c r="L64" s="110"/>
      <c r="M64" s="110">
        <f>SUM(M65)</f>
        <v>1000000</v>
      </c>
      <c r="N64" s="110">
        <f>SUM(N65)</f>
        <v>493120</v>
      </c>
      <c r="O64" s="110">
        <f>SUM(O65)</f>
        <v>1493120</v>
      </c>
      <c r="P64" s="111"/>
    </row>
    <row r="65" spans="1:26" s="123" customFormat="1" ht="17.45" hidden="1" customHeight="1" outlineLevel="1">
      <c r="A65" s="117" t="s">
        <v>166</v>
      </c>
      <c r="B65" s="118">
        <v>2</v>
      </c>
      <c r="C65" s="118" t="s">
        <v>28</v>
      </c>
      <c r="D65" s="118" t="s">
        <v>28</v>
      </c>
      <c r="E65" s="118" t="s">
        <v>28</v>
      </c>
      <c r="F65" s="118" t="s">
        <v>28</v>
      </c>
      <c r="G65" s="119" t="s">
        <v>137</v>
      </c>
      <c r="H65" s="120">
        <v>1</v>
      </c>
      <c r="I65" s="120"/>
      <c r="J65" s="120"/>
      <c r="K65" s="120"/>
      <c r="L65" s="121">
        <v>1000000</v>
      </c>
      <c r="M65" s="121">
        <f>H65*L65</f>
        <v>1000000</v>
      </c>
      <c r="N65" s="121">
        <f>1203120-710000</f>
        <v>493120</v>
      </c>
      <c r="O65" s="121">
        <f>M65+N65</f>
        <v>1493120</v>
      </c>
      <c r="P65" s="111"/>
      <c r="Q65" s="122"/>
      <c r="R65" s="122"/>
      <c r="S65" s="122"/>
      <c r="T65" s="122"/>
      <c r="U65" s="122"/>
      <c r="V65" s="122"/>
      <c r="W65" s="122"/>
      <c r="X65" s="122"/>
      <c r="Y65" s="122"/>
      <c r="Z65" s="122"/>
    </row>
    <row r="66" spans="1:26" s="97" customFormat="1" ht="17.45" customHeight="1" collapsed="1">
      <c r="A66" s="98">
        <v>3</v>
      </c>
      <c r="B66" s="100" t="s">
        <v>161</v>
      </c>
      <c r="C66" s="100" t="s">
        <v>28</v>
      </c>
      <c r="D66" s="99" t="s">
        <v>28</v>
      </c>
      <c r="E66" s="100" t="s">
        <v>28</v>
      </c>
      <c r="F66" s="100" t="s">
        <v>28</v>
      </c>
      <c r="G66" s="101" t="s">
        <v>167</v>
      </c>
      <c r="H66" s="102"/>
      <c r="I66" s="102"/>
      <c r="J66" s="102"/>
      <c r="K66" s="102"/>
      <c r="L66" s="103"/>
      <c r="M66" s="104">
        <f>M67+M74+M77</f>
        <v>1900000</v>
      </c>
      <c r="N66" s="104">
        <f>N67+N74+N77</f>
        <v>190000</v>
      </c>
      <c r="O66" s="104">
        <f>O67+O74+O77</f>
        <v>2090000</v>
      </c>
      <c r="P66" s="105">
        <f>O66/$O$79</f>
        <v>1.4393907671828823E-2</v>
      </c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1:26" s="123" customFormat="1" ht="17.45" customHeight="1">
      <c r="A67" s="130" t="s">
        <v>168</v>
      </c>
      <c r="B67" s="131" t="s">
        <v>161</v>
      </c>
      <c r="C67" s="107" t="s">
        <v>28</v>
      </c>
      <c r="D67" s="107" t="s">
        <v>28</v>
      </c>
      <c r="E67" s="107" t="s">
        <v>28</v>
      </c>
      <c r="F67" s="107" t="s">
        <v>28</v>
      </c>
      <c r="G67" s="108" t="s">
        <v>169</v>
      </c>
      <c r="H67" s="109"/>
      <c r="I67" s="109"/>
      <c r="J67" s="109"/>
      <c r="K67" s="109"/>
      <c r="L67" s="110"/>
      <c r="M67" s="110">
        <f>SUM(M68:M73)</f>
        <v>1590000</v>
      </c>
      <c r="N67" s="110">
        <f>SUM(N68:N73)</f>
        <v>159000</v>
      </c>
      <c r="O67" s="110">
        <f>SUM(O68:O73)</f>
        <v>1749000</v>
      </c>
      <c r="P67" s="111"/>
      <c r="Q67" s="122"/>
      <c r="R67" s="122"/>
      <c r="S67" s="122"/>
      <c r="T67" s="122"/>
      <c r="U67" s="122"/>
      <c r="V67" s="122"/>
      <c r="W67" s="122"/>
      <c r="X67" s="122"/>
      <c r="Y67" s="122"/>
      <c r="Z67" s="122"/>
    </row>
    <row r="68" spans="1:26" ht="17.45" hidden="1" customHeight="1" outlineLevel="1">
      <c r="A68" s="132" t="s">
        <v>170</v>
      </c>
      <c r="B68" s="126" t="s">
        <v>161</v>
      </c>
      <c r="C68" s="126">
        <v>260</v>
      </c>
      <c r="D68" s="118" t="s">
        <v>171</v>
      </c>
      <c r="E68" s="118" t="s">
        <v>172</v>
      </c>
      <c r="F68" s="118" t="s">
        <v>173</v>
      </c>
      <c r="G68" s="124" t="s">
        <v>174</v>
      </c>
      <c r="H68" s="133">
        <v>2</v>
      </c>
      <c r="I68" s="120" t="s">
        <v>175</v>
      </c>
      <c r="J68" s="133">
        <v>68</v>
      </c>
      <c r="K68" s="120" t="s">
        <v>41</v>
      </c>
      <c r="L68" s="127">
        <v>2800</v>
      </c>
      <c r="M68" s="134">
        <f>H68*J68*L68</f>
        <v>380800</v>
      </c>
      <c r="N68" s="121">
        <f t="shared" ref="N68:N72" si="0">M68*10%</f>
        <v>38080</v>
      </c>
      <c r="O68" s="121">
        <f t="shared" ref="O68:O73" si="1">M68+N68</f>
        <v>418880</v>
      </c>
      <c r="P68" s="105"/>
    </row>
    <row r="69" spans="1:26" ht="17.45" hidden="1" customHeight="1" outlineLevel="1">
      <c r="A69" s="132" t="s">
        <v>176</v>
      </c>
      <c r="B69" s="126" t="s">
        <v>161</v>
      </c>
      <c r="C69" s="126">
        <v>260</v>
      </c>
      <c r="D69" s="118" t="s">
        <v>171</v>
      </c>
      <c r="E69" s="118" t="s">
        <v>172</v>
      </c>
      <c r="F69" s="118" t="s">
        <v>173</v>
      </c>
      <c r="G69" s="124" t="s">
        <v>177</v>
      </c>
      <c r="H69" s="133">
        <v>2</v>
      </c>
      <c r="I69" s="120" t="s">
        <v>175</v>
      </c>
      <c r="J69" s="133">
        <v>68</v>
      </c>
      <c r="K69" s="120" t="s">
        <v>41</v>
      </c>
      <c r="L69" s="127">
        <v>2800</v>
      </c>
      <c r="M69" s="134">
        <f>H69*J69*L69</f>
        <v>380800</v>
      </c>
      <c r="N69" s="121">
        <f t="shared" si="0"/>
        <v>38080</v>
      </c>
      <c r="O69" s="121">
        <f t="shared" si="1"/>
        <v>418880</v>
      </c>
      <c r="P69" s="105"/>
    </row>
    <row r="70" spans="1:26" ht="17.45" hidden="1" customHeight="1" outlineLevel="1">
      <c r="A70" s="132" t="s">
        <v>178</v>
      </c>
      <c r="B70" s="126" t="s">
        <v>161</v>
      </c>
      <c r="C70" s="126">
        <v>260</v>
      </c>
      <c r="D70" s="118" t="s">
        <v>171</v>
      </c>
      <c r="E70" s="118" t="s">
        <v>172</v>
      </c>
      <c r="F70" s="118" t="s">
        <v>173</v>
      </c>
      <c r="G70" s="124" t="s">
        <v>179</v>
      </c>
      <c r="H70" s="133">
        <v>2</v>
      </c>
      <c r="I70" s="120" t="s">
        <v>175</v>
      </c>
      <c r="J70" s="133">
        <v>68</v>
      </c>
      <c r="K70" s="120" t="s">
        <v>41</v>
      </c>
      <c r="L70" s="127">
        <v>2800</v>
      </c>
      <c r="M70" s="134">
        <f>H70*J70*L70</f>
        <v>380800</v>
      </c>
      <c r="N70" s="121">
        <f t="shared" si="0"/>
        <v>38080</v>
      </c>
      <c r="O70" s="121">
        <f t="shared" si="1"/>
        <v>418880</v>
      </c>
      <c r="P70" s="105"/>
    </row>
    <row r="71" spans="1:26" ht="17.45" hidden="1" customHeight="1" outlineLevel="1">
      <c r="A71" s="132" t="s">
        <v>180</v>
      </c>
      <c r="B71" s="126" t="s">
        <v>161</v>
      </c>
      <c r="C71" s="126">
        <v>260</v>
      </c>
      <c r="D71" s="118" t="s">
        <v>171</v>
      </c>
      <c r="E71" s="118" t="s">
        <v>172</v>
      </c>
      <c r="F71" s="118" t="s">
        <v>173</v>
      </c>
      <c r="G71" s="124" t="s">
        <v>181</v>
      </c>
      <c r="H71" s="133">
        <v>1</v>
      </c>
      <c r="I71" s="120" t="s">
        <v>175</v>
      </c>
      <c r="J71" s="133">
        <v>68</v>
      </c>
      <c r="K71" s="120" t="s">
        <v>41</v>
      </c>
      <c r="L71" s="127">
        <v>2800</v>
      </c>
      <c r="M71" s="134">
        <f>H71*J71*L71</f>
        <v>190400</v>
      </c>
      <c r="N71" s="121">
        <f t="shared" si="0"/>
        <v>19040</v>
      </c>
      <c r="O71" s="121">
        <f t="shared" si="1"/>
        <v>209440</v>
      </c>
      <c r="P71" s="105"/>
    </row>
    <row r="72" spans="1:26" ht="17.45" hidden="1" customHeight="1" outlineLevel="1">
      <c r="A72" s="132" t="s">
        <v>182</v>
      </c>
      <c r="B72" s="118" t="s">
        <v>161</v>
      </c>
      <c r="C72" s="126">
        <v>260</v>
      </c>
      <c r="D72" s="118" t="s">
        <v>171</v>
      </c>
      <c r="E72" s="118" t="s">
        <v>172</v>
      </c>
      <c r="F72" s="118" t="s">
        <v>173</v>
      </c>
      <c r="G72" s="124" t="s">
        <v>183</v>
      </c>
      <c r="H72" s="135">
        <v>1</v>
      </c>
      <c r="I72" s="120" t="s">
        <v>175</v>
      </c>
      <c r="J72" s="133">
        <v>68</v>
      </c>
      <c r="K72" s="120" t="s">
        <v>41</v>
      </c>
      <c r="L72" s="128">
        <v>2800</v>
      </c>
      <c r="M72" s="121">
        <f>H72*J72*L72</f>
        <v>190400</v>
      </c>
      <c r="N72" s="121">
        <f t="shared" si="0"/>
        <v>19040</v>
      </c>
      <c r="O72" s="121">
        <f t="shared" si="1"/>
        <v>209440</v>
      </c>
      <c r="P72" s="111"/>
    </row>
    <row r="73" spans="1:26" s="122" customFormat="1" ht="17.45" hidden="1" customHeight="1" outlineLevel="1">
      <c r="A73" s="132" t="s">
        <v>184</v>
      </c>
      <c r="B73" s="118" t="s">
        <v>161</v>
      </c>
      <c r="C73" s="126" t="s">
        <v>28</v>
      </c>
      <c r="D73" s="118" t="s">
        <v>28</v>
      </c>
      <c r="E73" s="118" t="s">
        <v>28</v>
      </c>
      <c r="F73" s="118" t="s">
        <v>28</v>
      </c>
      <c r="G73" s="119" t="s">
        <v>137</v>
      </c>
      <c r="H73" s="126"/>
      <c r="I73" s="126"/>
      <c r="J73" s="126"/>
      <c r="K73" s="126"/>
      <c r="L73" s="121"/>
      <c r="M73" s="121">
        <f>1900000-1833200</f>
        <v>66800</v>
      </c>
      <c r="N73" s="121">
        <f>190000-183320</f>
        <v>6680</v>
      </c>
      <c r="O73" s="121">
        <f t="shared" si="1"/>
        <v>73480</v>
      </c>
      <c r="P73" s="111"/>
    </row>
    <row r="74" spans="1:26" s="123" customFormat="1" ht="17.45" customHeight="1" collapsed="1">
      <c r="A74" s="130" t="s">
        <v>185</v>
      </c>
      <c r="B74" s="107" t="s">
        <v>186</v>
      </c>
      <c r="C74" s="107" t="s">
        <v>28</v>
      </c>
      <c r="D74" s="107" t="s">
        <v>28</v>
      </c>
      <c r="E74" s="107" t="s">
        <v>28</v>
      </c>
      <c r="F74" s="107" t="s">
        <v>28</v>
      </c>
      <c r="G74" s="108" t="s">
        <v>187</v>
      </c>
      <c r="H74" s="109"/>
      <c r="I74" s="109"/>
      <c r="J74" s="109"/>
      <c r="K74" s="109"/>
      <c r="L74" s="110"/>
      <c r="M74" s="110">
        <f>SUM(M75:M76)</f>
        <v>110000</v>
      </c>
      <c r="N74" s="110">
        <f>SUM(N75:N76)</f>
        <v>11000</v>
      </c>
      <c r="O74" s="110">
        <f>SUM(O75:O76)</f>
        <v>121000</v>
      </c>
      <c r="P74" s="105"/>
      <c r="Q74" s="122"/>
      <c r="R74" s="122"/>
      <c r="S74" s="122"/>
      <c r="T74" s="122"/>
      <c r="U74" s="122"/>
      <c r="V74" s="122"/>
      <c r="W74" s="122"/>
      <c r="X74" s="122"/>
      <c r="Y74" s="122"/>
      <c r="Z74" s="122"/>
    </row>
    <row r="75" spans="1:26" ht="17.45" hidden="1" customHeight="1" outlineLevel="1">
      <c r="A75" s="132" t="s">
        <v>188</v>
      </c>
      <c r="B75" s="126" t="s">
        <v>186</v>
      </c>
      <c r="C75" s="126">
        <v>260</v>
      </c>
      <c r="D75" s="126" t="s">
        <v>36</v>
      </c>
      <c r="E75" s="118" t="s">
        <v>189</v>
      </c>
      <c r="F75" s="118" t="s">
        <v>38</v>
      </c>
      <c r="G75" s="119" t="s">
        <v>190</v>
      </c>
      <c r="H75" s="133">
        <v>1</v>
      </c>
      <c r="I75" s="133" t="s">
        <v>191</v>
      </c>
      <c r="J75" s="133">
        <v>6</v>
      </c>
      <c r="K75" s="133" t="s">
        <v>41</v>
      </c>
      <c r="L75" s="134">
        <v>55000</v>
      </c>
      <c r="M75" s="134">
        <f>H75*L75</f>
        <v>55000</v>
      </c>
      <c r="N75" s="121">
        <f>M75*10%</f>
        <v>5500</v>
      </c>
      <c r="O75" s="121">
        <f>M75+N75</f>
        <v>60500</v>
      </c>
      <c r="P75" s="105"/>
    </row>
    <row r="76" spans="1:26" ht="17.45" hidden="1" customHeight="1" outlineLevel="1">
      <c r="A76" s="132" t="s">
        <v>192</v>
      </c>
      <c r="B76" s="126" t="s">
        <v>186</v>
      </c>
      <c r="C76" s="126">
        <v>260</v>
      </c>
      <c r="D76" s="126" t="s">
        <v>36</v>
      </c>
      <c r="E76" s="118" t="s">
        <v>189</v>
      </c>
      <c r="F76" s="118" t="s">
        <v>38</v>
      </c>
      <c r="G76" s="119" t="s">
        <v>193</v>
      </c>
      <c r="H76" s="133">
        <v>1</v>
      </c>
      <c r="I76" s="133" t="s">
        <v>191</v>
      </c>
      <c r="J76" s="133">
        <v>6</v>
      </c>
      <c r="K76" s="133" t="s">
        <v>41</v>
      </c>
      <c r="L76" s="134">
        <v>55000</v>
      </c>
      <c r="M76" s="134">
        <f>H76*L76</f>
        <v>55000</v>
      </c>
      <c r="N76" s="121">
        <f>M76*10%</f>
        <v>5500</v>
      </c>
      <c r="O76" s="121">
        <f>M76+N76</f>
        <v>60500</v>
      </c>
      <c r="P76" s="105"/>
    </row>
    <row r="77" spans="1:26" s="123" customFormat="1" ht="17.45" customHeight="1" collapsed="1">
      <c r="A77" s="130" t="s">
        <v>194</v>
      </c>
      <c r="B77" s="107" t="s">
        <v>186</v>
      </c>
      <c r="C77" s="107" t="s">
        <v>28</v>
      </c>
      <c r="D77" s="107" t="s">
        <v>28</v>
      </c>
      <c r="E77" s="107" t="s">
        <v>28</v>
      </c>
      <c r="F77" s="107" t="s">
        <v>28</v>
      </c>
      <c r="G77" s="108" t="s">
        <v>195</v>
      </c>
      <c r="H77" s="109"/>
      <c r="I77" s="109"/>
      <c r="J77" s="109"/>
      <c r="K77" s="109"/>
      <c r="L77" s="110"/>
      <c r="M77" s="110">
        <f>M78</f>
        <v>200000</v>
      </c>
      <c r="N77" s="110">
        <f>N78</f>
        <v>20000</v>
      </c>
      <c r="O77" s="110">
        <f>O78</f>
        <v>220000</v>
      </c>
      <c r="P77" s="111"/>
      <c r="Q77" s="122"/>
      <c r="R77" s="122"/>
      <c r="S77" s="122"/>
      <c r="T77" s="122"/>
      <c r="U77" s="122"/>
      <c r="V77" s="122"/>
      <c r="W77" s="122"/>
      <c r="X77" s="122"/>
      <c r="Y77" s="122"/>
      <c r="Z77" s="122"/>
    </row>
    <row r="78" spans="1:26" ht="17.45" hidden="1" customHeight="1" outlineLevel="1">
      <c r="A78" s="132" t="s">
        <v>196</v>
      </c>
      <c r="B78" s="126" t="s">
        <v>186</v>
      </c>
      <c r="C78" s="126">
        <v>260</v>
      </c>
      <c r="D78" s="126" t="s">
        <v>36</v>
      </c>
      <c r="E78" s="118" t="s">
        <v>37</v>
      </c>
      <c r="F78" s="118" t="s">
        <v>38</v>
      </c>
      <c r="G78" s="119" t="s">
        <v>197</v>
      </c>
      <c r="H78" s="133">
        <v>1</v>
      </c>
      <c r="I78" s="133" t="s">
        <v>191</v>
      </c>
      <c r="J78" s="133">
        <v>5</v>
      </c>
      <c r="K78" s="133" t="s">
        <v>198</v>
      </c>
      <c r="L78" s="134">
        <v>40000</v>
      </c>
      <c r="M78" s="134">
        <f>H78*J78*L78</f>
        <v>200000</v>
      </c>
      <c r="N78" s="121">
        <f>M78*10%</f>
        <v>20000</v>
      </c>
      <c r="O78" s="121">
        <f>M78+N78</f>
        <v>220000</v>
      </c>
      <c r="P78" s="111"/>
    </row>
    <row r="79" spans="1:26" s="97" customFormat="1" ht="17.45" customHeight="1" collapsed="1">
      <c r="A79" s="98" t="s">
        <v>28</v>
      </c>
      <c r="B79" s="99" t="s">
        <v>28</v>
      </c>
      <c r="C79" s="99" t="s">
        <v>28</v>
      </c>
      <c r="D79" s="99" t="s">
        <v>28</v>
      </c>
      <c r="E79" s="99" t="s">
        <v>28</v>
      </c>
      <c r="F79" s="99" t="s">
        <v>28</v>
      </c>
      <c r="G79" s="101" t="s">
        <v>199</v>
      </c>
      <c r="H79" s="102"/>
      <c r="I79" s="102"/>
      <c r="J79" s="102"/>
      <c r="K79" s="102"/>
      <c r="L79" s="103"/>
      <c r="M79" s="104">
        <f>M5+M52+M66</f>
        <v>125000000</v>
      </c>
      <c r="N79" s="104">
        <f>N5+N52+N66</f>
        <v>20200320</v>
      </c>
      <c r="O79" s="104">
        <f>O5+O52+O66</f>
        <v>145200320</v>
      </c>
      <c r="P79" s="13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spans="1:26" ht="17.45" customHeight="1">
      <c r="M80" s="142">
        <f>M79/O79</f>
        <v>0.86087964544430751</v>
      </c>
      <c r="N80" s="143">
        <f>N79/O79</f>
        <v>0.13912035455569244</v>
      </c>
      <c r="O80" s="144">
        <v>145200320</v>
      </c>
    </row>
    <row r="81" spans="7:15" ht="17.45" customHeight="1">
      <c r="G81" s="145"/>
      <c r="K81" s="146"/>
      <c r="O81" s="147">
        <f>O80-O79</f>
        <v>0</v>
      </c>
    </row>
    <row r="82" spans="7:15" ht="17.45" customHeight="1">
      <c r="K82" s="146"/>
    </row>
    <row r="83" spans="7:15" ht="17.45" customHeight="1">
      <c r="G83" s="137"/>
      <c r="H83" s="138"/>
      <c r="K83" s="146"/>
      <c r="L83" s="148"/>
      <c r="M83" s="148"/>
    </row>
  </sheetData>
  <autoFilter ref="A4:Z79" xr:uid="{00000000-0009-0000-0000-000004000000}"/>
  <mergeCells count="2">
    <mergeCell ref="A3:O3"/>
    <mergeCell ref="A1:O1"/>
  </mergeCells>
  <pageMargins left="0.70866141732283472" right="0.70866141732283472" top="0.74803149606299213" bottom="0.74803149606299213" header="0.31496062992125984" footer="0.31496062992125984"/>
  <pageSetup paperSize="5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4DF65-849F-4352-B6D8-5A129BEF3DB8}">
  <dimension ref="B1:D22"/>
  <sheetViews>
    <sheetView showGridLines="0" workbookViewId="0" xr3:uid="{4A416FD0-7A7F-5A07-A12F-3167FADEC522}"/>
  </sheetViews>
  <sheetFormatPr defaultColWidth="9.140625" defaultRowHeight="14.45"/>
  <cols>
    <col min="1" max="1" width="3.7109375" customWidth="1"/>
    <col min="2" max="2" width="55" customWidth="1"/>
    <col min="3" max="3" width="45.7109375" bestFit="1" customWidth="1"/>
    <col min="4" max="4" width="30.85546875" bestFit="1" customWidth="1"/>
  </cols>
  <sheetData>
    <row r="1" spans="2:4">
      <c r="B1" s="205" t="str">
        <f>INDICE!A1</f>
        <v>PROGRAMA DE REHABILITACIÓN Y MODERNIZACIÓN DE LA CENTRAL HIDROELÉCTRICA DE ACARAY PR-L1156</v>
      </c>
      <c r="C1" s="205"/>
      <c r="D1" s="205"/>
    </row>
    <row r="3" spans="2:4" ht="15" thickBot="1">
      <c r="B3" s="75"/>
      <c r="C3" s="75"/>
      <c r="D3" s="75"/>
    </row>
    <row r="4" spans="2:4" ht="15" thickBot="1">
      <c r="B4" s="79" t="s">
        <v>200</v>
      </c>
      <c r="C4" s="79" t="s">
        <v>201</v>
      </c>
      <c r="D4" s="80" t="s">
        <v>202</v>
      </c>
    </row>
    <row r="5" spans="2:4" ht="15" thickBot="1">
      <c r="B5" s="202" t="s">
        <v>203</v>
      </c>
      <c r="C5" s="77"/>
      <c r="D5" s="77"/>
    </row>
    <row r="6" spans="2:4" ht="15" thickBot="1">
      <c r="B6" s="202"/>
      <c r="C6" s="77"/>
      <c r="D6" s="77"/>
    </row>
    <row r="7" spans="2:4" ht="15" thickBot="1">
      <c r="B7" s="202"/>
      <c r="C7" s="77"/>
      <c r="D7" s="77"/>
    </row>
    <row r="8" spans="2:4" ht="15" thickBot="1">
      <c r="B8" s="202"/>
      <c r="C8" s="77"/>
      <c r="D8" s="77"/>
    </row>
    <row r="9" spans="2:4" ht="15" thickBot="1">
      <c r="B9" s="202"/>
      <c r="C9" s="77"/>
      <c r="D9" s="77"/>
    </row>
    <row r="10" spans="2:4" ht="15" thickBot="1">
      <c r="B10" s="202"/>
      <c r="C10" s="77"/>
      <c r="D10" s="77"/>
    </row>
    <row r="11" spans="2:4" ht="15" thickBot="1">
      <c r="B11" s="202"/>
      <c r="C11" s="77"/>
      <c r="D11" s="77"/>
    </row>
    <row r="13" spans="2:4" ht="49.5" customHeight="1">
      <c r="B13" s="203" t="s">
        <v>204</v>
      </c>
      <c r="C13" s="203"/>
      <c r="D13" s="75"/>
    </row>
    <row r="14" spans="2:4" ht="15" thickBot="1">
      <c r="B14" s="75"/>
      <c r="C14" s="75"/>
      <c r="D14" s="75"/>
    </row>
    <row r="15" spans="2:4" ht="15" thickBot="1">
      <c r="B15" s="81" t="s">
        <v>205</v>
      </c>
      <c r="C15" s="81" t="s">
        <v>206</v>
      </c>
      <c r="D15" s="76"/>
    </row>
    <row r="16" spans="2:4" ht="28.15" thickBot="1">
      <c r="B16" s="202" t="s">
        <v>207</v>
      </c>
      <c r="C16" s="78" t="str">
        <f>'CC detallado'!G5</f>
        <v>Componente 1. Inversiones para rehabilitación y modernización de la central</v>
      </c>
      <c r="D16" s="76"/>
    </row>
    <row r="17" spans="2:4" ht="28.15" thickBot="1">
      <c r="B17" s="202"/>
      <c r="C17" s="78" t="str">
        <f>'CC detallado'!G52</f>
        <v>Componente 2. Apoyo a la gestión, protección de predios, equidad de género y capacidad institucional.</v>
      </c>
      <c r="D17" s="75"/>
    </row>
    <row r="18" spans="2:4" ht="15" thickBot="1">
      <c r="B18" s="202"/>
      <c r="C18" s="78" t="str">
        <f>'CC detallado'!G66</f>
        <v>Administración del Programa</v>
      </c>
      <c r="D18" s="75"/>
    </row>
    <row r="19" spans="2:4" ht="15" thickBot="1">
      <c r="B19" s="202"/>
      <c r="C19" s="78"/>
    </row>
    <row r="20" spans="2:4" ht="15" thickBot="1">
      <c r="B20" s="202"/>
      <c r="C20" s="78"/>
    </row>
    <row r="22" spans="2:4" ht="54" customHeight="1">
      <c r="B22" s="204" t="s">
        <v>208</v>
      </c>
      <c r="C22" s="204"/>
    </row>
  </sheetData>
  <mergeCells count="5">
    <mergeCell ref="B5:B11"/>
    <mergeCell ref="B13:C13"/>
    <mergeCell ref="B16:B20"/>
    <mergeCell ref="B22:C22"/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S98"/>
  <sheetViews>
    <sheetView showGridLines="0" topLeftCell="B69" zoomScale="24" zoomScaleNormal="20" zoomScaleSheetLayoutView="50" workbookViewId="0" xr3:uid="{44B22561-5205-5C8A-B808-2C70100D228F}">
      <selection activeCell="C52" sqref="C40:C52"/>
    </sheetView>
  </sheetViews>
  <sheetFormatPr defaultColWidth="9.140625" defaultRowHeight="33.6" outlineLevelRow="1"/>
  <cols>
    <col min="1" max="1" width="6" style="5" hidden="1" customWidth="1"/>
    <col min="2" max="2" width="21.7109375" style="5" customWidth="1"/>
    <col min="3" max="3" width="65.28515625" style="7" customWidth="1"/>
    <col min="4" max="4" width="50.7109375" style="5" customWidth="1"/>
    <col min="5" max="5" width="28" style="5" customWidth="1"/>
    <col min="6" max="6" width="115.28515625" style="5" customWidth="1"/>
    <col min="7" max="7" width="57.140625" style="8" bestFit="1" customWidth="1"/>
    <col min="8" max="8" width="59.28515625" style="5" customWidth="1"/>
    <col min="9" max="9" width="28.42578125" style="5" customWidth="1"/>
    <col min="10" max="10" width="43.140625" style="5" customWidth="1"/>
    <col min="11" max="11" width="52" style="5" customWidth="1"/>
    <col min="12" max="12" width="42.5703125" style="9" customWidth="1"/>
    <col min="13" max="13" width="41.7109375" style="9" bestFit="1" customWidth="1"/>
    <col min="14" max="14" width="31.5703125" style="5" customWidth="1"/>
    <col min="15" max="15" width="64.5703125" style="5" bestFit="1" customWidth="1"/>
    <col min="16" max="201" width="9.140625" style="10"/>
    <col min="202" max="16384" width="9.140625" style="5"/>
  </cols>
  <sheetData>
    <row r="1" spans="1:201" s="3" customFormat="1">
      <c r="B1" s="254" t="str">
        <f>INDICE!A1</f>
        <v>PROGRAMA DE REHABILITACIÓN Y MODERNIZACIÓN DE LA CENTRAL HIDROELÉCTRICA DE ACARAY PR-L1156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</row>
    <row r="2" spans="1:201" s="3" customFormat="1">
      <c r="B2" s="255" t="s">
        <v>209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</row>
    <row r="3" spans="1:201">
      <c r="B3" s="6" t="s">
        <v>210</v>
      </c>
    </row>
    <row r="4" spans="1:201">
      <c r="B4" s="6" t="s">
        <v>211</v>
      </c>
    </row>
    <row r="5" spans="1:201">
      <c r="B5" s="6"/>
    </row>
    <row r="6" spans="1:201" s="4" customFormat="1">
      <c r="A6" s="3"/>
      <c r="B6" s="260" t="s">
        <v>212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2"/>
      <c r="O6" s="11"/>
    </row>
    <row r="7" spans="1:201" s="10" customFormat="1">
      <c r="A7" s="5"/>
      <c r="B7" s="249" t="s">
        <v>213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1"/>
      <c r="O7" s="12"/>
    </row>
    <row r="8" spans="1:201" s="4" customFormat="1">
      <c r="A8" s="3"/>
      <c r="B8" s="257" t="s">
        <v>214</v>
      </c>
      <c r="C8" s="257" t="s">
        <v>215</v>
      </c>
      <c r="D8" s="257" t="s">
        <v>216</v>
      </c>
      <c r="E8" s="257" t="s">
        <v>217</v>
      </c>
      <c r="F8" s="257" t="s">
        <v>218</v>
      </c>
      <c r="G8" s="265" t="s">
        <v>219</v>
      </c>
      <c r="H8" s="286" t="s">
        <v>220</v>
      </c>
      <c r="I8" s="286"/>
      <c r="J8" s="286"/>
      <c r="K8" s="257" t="s">
        <v>221</v>
      </c>
      <c r="L8" s="256" t="s">
        <v>222</v>
      </c>
      <c r="M8" s="257" t="s">
        <v>223</v>
      </c>
      <c r="N8" s="257"/>
      <c r="O8" s="258" t="s">
        <v>224</v>
      </c>
    </row>
    <row r="9" spans="1:201" s="4" customFormat="1" ht="100.9">
      <c r="A9" s="3"/>
      <c r="B9" s="264"/>
      <c r="C9" s="264"/>
      <c r="D9" s="264"/>
      <c r="E9" s="264"/>
      <c r="F9" s="264"/>
      <c r="G9" s="266"/>
      <c r="H9" s="194" t="s">
        <v>225</v>
      </c>
      <c r="I9" s="194" t="s">
        <v>226</v>
      </c>
      <c r="J9" s="184" t="s">
        <v>227</v>
      </c>
      <c r="K9" s="257"/>
      <c r="L9" s="256"/>
      <c r="M9" s="193" t="s">
        <v>228</v>
      </c>
      <c r="N9" s="184" t="s">
        <v>229</v>
      </c>
      <c r="O9" s="259"/>
    </row>
    <row r="10" spans="1:201" s="10" customFormat="1" ht="67.150000000000006" outlineLevel="1">
      <c r="A10" s="13"/>
      <c r="B10" s="289" t="s">
        <v>230</v>
      </c>
      <c r="C10" s="288" t="s">
        <v>231</v>
      </c>
      <c r="D10" s="14" t="str">
        <f>'CC detallado'!A41</f>
        <v>1.8.1</v>
      </c>
      <c r="E10" s="290" t="str">
        <f>'CC detallado'!E41</f>
        <v>LPI</v>
      </c>
      <c r="F10" s="15" t="str">
        <f>'CC detallado'!G41</f>
        <v xml:space="preserve"> LOTE 1: SEGURIDAD PRESAS-Implementación de Mejoras en Presas Acaray   e Yguazú </v>
      </c>
      <c r="G10" s="218">
        <v>1</v>
      </c>
      <c r="H10" s="240">
        <f>SUM(O10:O14)</f>
        <v>15950000</v>
      </c>
      <c r="I10" s="224">
        <v>0.9</v>
      </c>
      <c r="J10" s="227">
        <v>0.1</v>
      </c>
      <c r="K10" s="230" t="s">
        <v>232</v>
      </c>
      <c r="L10" s="230" t="s">
        <v>233</v>
      </c>
      <c r="M10" s="236">
        <v>44299</v>
      </c>
      <c r="N10" s="236">
        <v>44489</v>
      </c>
      <c r="O10" s="16">
        <f>'CC detallado'!O41</f>
        <v>3300000</v>
      </c>
    </row>
    <row r="11" spans="1:201" s="10" customFormat="1" ht="67.150000000000006" outlineLevel="1">
      <c r="A11" s="13"/>
      <c r="B11" s="289"/>
      <c r="C11" s="288"/>
      <c r="D11" s="14" t="str">
        <f>'CC detallado'!A43</f>
        <v>1.9.1</v>
      </c>
      <c r="E11" s="291"/>
      <c r="F11" s="15" t="str">
        <f>'CC detallado'!G43</f>
        <v xml:space="preserve"> LOTE 2: LOGISTICA-Construcción Infraestructura para Ejecución de Intervenciones  </v>
      </c>
      <c r="G11" s="219"/>
      <c r="H11" s="240"/>
      <c r="I11" s="225"/>
      <c r="J11" s="228"/>
      <c r="K11" s="231"/>
      <c r="L11" s="231"/>
      <c r="M11" s="237"/>
      <c r="N11" s="237"/>
      <c r="O11" s="16">
        <f>'CC detallado'!O43</f>
        <v>3300000</v>
      </c>
    </row>
    <row r="12" spans="1:201" s="10" customFormat="1" ht="67.150000000000006" outlineLevel="1">
      <c r="A12" s="13"/>
      <c r="B12" s="289"/>
      <c r="C12" s="288"/>
      <c r="D12" s="14" t="str">
        <f>'CC detallado'!A45</f>
        <v>1.10.1</v>
      </c>
      <c r="E12" s="291"/>
      <c r="F12" s="15" t="str">
        <f>'CC detallado'!G45</f>
        <v xml:space="preserve"> LOTE 3: ARQUITECTONICA-Rehabilitación Edificios Centrales Acaray I y II, Administración y Mando</v>
      </c>
      <c r="G12" s="219"/>
      <c r="H12" s="240"/>
      <c r="I12" s="225"/>
      <c r="J12" s="228"/>
      <c r="K12" s="231"/>
      <c r="L12" s="231"/>
      <c r="M12" s="237"/>
      <c r="N12" s="237"/>
      <c r="O12" s="16">
        <f>'CC detallado'!O45</f>
        <v>5500000</v>
      </c>
    </row>
    <row r="13" spans="1:201" s="10" customFormat="1" ht="67.150000000000006" outlineLevel="1">
      <c r="A13" s="13"/>
      <c r="B13" s="289"/>
      <c r="C13" s="288"/>
      <c r="D13" s="14" t="str">
        <f>'CC detallado'!A47</f>
        <v>1.11.1</v>
      </c>
      <c r="E13" s="291"/>
      <c r="F13" s="15" t="str">
        <f>'CC detallado'!G47</f>
        <v xml:space="preserve"> LOTE 4: HIDROMETEOROLOGIA-Rehabilitación y Ampliación Red Hidrometeorológica Cuenca rio Acaray  </v>
      </c>
      <c r="G13" s="219"/>
      <c r="H13" s="240"/>
      <c r="I13" s="225"/>
      <c r="J13" s="228"/>
      <c r="K13" s="231"/>
      <c r="L13" s="231"/>
      <c r="M13" s="237"/>
      <c r="N13" s="237"/>
      <c r="O13" s="16">
        <f>'CC detallado'!O47</f>
        <v>1100000</v>
      </c>
    </row>
    <row r="14" spans="1:201" s="10" customFormat="1" ht="100.9" outlineLevel="1">
      <c r="A14" s="13"/>
      <c r="B14" s="289"/>
      <c r="C14" s="288"/>
      <c r="D14" s="14" t="str">
        <f>'CC detallado'!A49</f>
        <v>1.12.1</v>
      </c>
      <c r="E14" s="292"/>
      <c r="F14" s="15" t="str">
        <f>'CC detallado'!G49</f>
        <v xml:space="preserve"> LOTE 5: AMBIENTE Y SEGURIDAD-Gestión Ambiental y Seguridad Industrial Complejo Acaray-Yguazú (incluye PADE)  </v>
      </c>
      <c r="G14" s="220"/>
      <c r="H14" s="241"/>
      <c r="I14" s="226"/>
      <c r="J14" s="229"/>
      <c r="K14" s="232"/>
      <c r="L14" s="232"/>
      <c r="M14" s="238"/>
      <c r="N14" s="238"/>
      <c r="O14" s="16">
        <f>'CC detallado'!O49</f>
        <v>2750000</v>
      </c>
    </row>
    <row r="15" spans="1:201" s="10" customFormat="1" ht="67.150000000000006" outlineLevel="1">
      <c r="A15" s="13"/>
      <c r="B15" s="17" t="s">
        <v>230</v>
      </c>
      <c r="C15" s="186" t="str">
        <f>'CC detallado'!G55</f>
        <v>Provisión de Protección de predios</v>
      </c>
      <c r="D15" s="14" t="str">
        <f>'CC detallado'!A55</f>
        <v>2.1.2</v>
      </c>
      <c r="E15" s="18" t="str">
        <f>'CC detallado'!E55</f>
        <v>CP</v>
      </c>
      <c r="F15" s="15" t="str">
        <f>'CC detallado'!G55</f>
        <v>Provisión de Protección de predios</v>
      </c>
      <c r="G15" s="19">
        <v>2</v>
      </c>
      <c r="H15" s="195">
        <f>'CC detallado'!O55</f>
        <v>1870000</v>
      </c>
      <c r="I15" s="20">
        <v>0.9</v>
      </c>
      <c r="J15" s="21">
        <v>0.1</v>
      </c>
      <c r="K15" s="22" t="s">
        <v>234</v>
      </c>
      <c r="L15" s="22" t="s">
        <v>233</v>
      </c>
      <c r="M15" s="149">
        <v>44699</v>
      </c>
      <c r="N15" s="149">
        <v>44810</v>
      </c>
      <c r="O15" s="24" t="s">
        <v>235</v>
      </c>
    </row>
    <row r="16" spans="1:201" s="10" customFormat="1">
      <c r="A16" s="5"/>
      <c r="B16" s="287" t="s">
        <v>236</v>
      </c>
      <c r="C16" s="287"/>
      <c r="D16" s="287"/>
      <c r="E16" s="287"/>
      <c r="F16" s="287"/>
      <c r="G16" s="287"/>
      <c r="H16" s="25">
        <f>SUM(H10:H15)</f>
        <v>17820000</v>
      </c>
      <c r="I16" s="26"/>
      <c r="J16" s="27"/>
      <c r="K16" s="27"/>
      <c r="L16" s="27"/>
      <c r="M16" s="27"/>
      <c r="N16" s="27"/>
      <c r="O16" s="28"/>
    </row>
    <row r="17" spans="1:15" s="10" customFormat="1">
      <c r="A17" s="5"/>
      <c r="B17" s="5"/>
      <c r="C17" s="7"/>
      <c r="D17" s="5"/>
      <c r="E17" s="5"/>
      <c r="F17" s="5"/>
      <c r="G17" s="8"/>
      <c r="H17" s="5"/>
      <c r="I17" s="5"/>
      <c r="J17" s="5"/>
      <c r="K17" s="5"/>
      <c r="L17" s="9"/>
      <c r="M17" s="9"/>
      <c r="N17" s="5"/>
      <c r="O17" s="5"/>
    </row>
    <row r="18" spans="1:15" s="4" customFormat="1">
      <c r="A18" s="3"/>
      <c r="B18" s="249" t="s">
        <v>237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1"/>
      <c r="O18" s="29"/>
    </row>
    <row r="19" spans="1:15" s="4" customFormat="1">
      <c r="A19" s="3"/>
      <c r="B19" s="257" t="s">
        <v>214</v>
      </c>
      <c r="C19" s="257" t="s">
        <v>215</v>
      </c>
      <c r="D19" s="257" t="s">
        <v>216</v>
      </c>
      <c r="E19" s="257" t="s">
        <v>238</v>
      </c>
      <c r="F19" s="257" t="s">
        <v>218</v>
      </c>
      <c r="G19" s="265" t="s">
        <v>219</v>
      </c>
      <c r="H19" s="286" t="s">
        <v>220</v>
      </c>
      <c r="I19" s="286"/>
      <c r="J19" s="286"/>
      <c r="K19" s="257" t="s">
        <v>221</v>
      </c>
      <c r="L19" s="256" t="s">
        <v>222</v>
      </c>
      <c r="M19" s="257" t="s">
        <v>223</v>
      </c>
      <c r="N19" s="257"/>
      <c r="O19" s="258" t="s">
        <v>224</v>
      </c>
    </row>
    <row r="20" spans="1:15" s="4" customFormat="1" ht="100.9">
      <c r="A20" s="3"/>
      <c r="B20" s="257"/>
      <c r="C20" s="257"/>
      <c r="D20" s="257"/>
      <c r="E20" s="257"/>
      <c r="F20" s="257"/>
      <c r="G20" s="265"/>
      <c r="H20" s="184" t="s">
        <v>225</v>
      </c>
      <c r="I20" s="184" t="s">
        <v>226</v>
      </c>
      <c r="J20" s="184" t="s">
        <v>227</v>
      </c>
      <c r="K20" s="257"/>
      <c r="L20" s="256"/>
      <c r="M20" s="193" t="s">
        <v>228</v>
      </c>
      <c r="N20" s="184" t="s">
        <v>229</v>
      </c>
      <c r="O20" s="259"/>
    </row>
    <row r="21" spans="1:15" s="10" customFormat="1" ht="67.150000000000006" outlineLevel="1">
      <c r="A21" s="13"/>
      <c r="B21" s="215" t="s">
        <v>230</v>
      </c>
      <c r="C21" s="212" t="s">
        <v>239</v>
      </c>
      <c r="D21" s="14" t="str">
        <f>'CC detallado'!A29</f>
        <v>1.4.1.1</v>
      </c>
      <c r="E21" s="290" t="s">
        <v>74</v>
      </c>
      <c r="F21" s="15" t="str">
        <f>'CC detallado'!G29</f>
        <v xml:space="preserve">LOTE 1: TURBINAS-Provisión en obra, montaje y Puesta en marcha de Dos (2) Turbinas Francis para Acaray I  </v>
      </c>
      <c r="G21" s="218">
        <v>3</v>
      </c>
      <c r="H21" s="239">
        <f>SUM(O21:O28)</f>
        <v>91214000</v>
      </c>
      <c r="I21" s="224">
        <v>0.9</v>
      </c>
      <c r="J21" s="227">
        <v>0.1</v>
      </c>
      <c r="K21" s="227" t="s">
        <v>240</v>
      </c>
      <c r="L21" s="227" t="s">
        <v>233</v>
      </c>
      <c r="M21" s="242">
        <v>44329</v>
      </c>
      <c r="N21" s="242">
        <v>44519</v>
      </c>
      <c r="O21" s="16">
        <f>'CC detallado'!O29</f>
        <v>18880000</v>
      </c>
    </row>
    <row r="22" spans="1:15" s="10" customFormat="1" ht="67.150000000000006" outlineLevel="1">
      <c r="A22" s="13"/>
      <c r="B22" s="216"/>
      <c r="C22" s="213"/>
      <c r="D22" s="14" t="str">
        <f>'CC detallado'!A31</f>
        <v>1.4.2.1</v>
      </c>
      <c r="E22" s="291"/>
      <c r="F22" s="15" t="str">
        <f>'CC detallado'!G31</f>
        <v xml:space="preserve">LOTE 2: GENERADORES-Provisión en obra, Montaje y Puesta en marcha de Dos (2) Generadores para Acaray I  </v>
      </c>
      <c r="G22" s="219"/>
      <c r="H22" s="240"/>
      <c r="I22" s="225"/>
      <c r="J22" s="228"/>
      <c r="K22" s="228"/>
      <c r="L22" s="228"/>
      <c r="M22" s="243"/>
      <c r="N22" s="228"/>
      <c r="O22" s="16">
        <f>'CC detallado'!O31</f>
        <v>21830000</v>
      </c>
    </row>
    <row r="23" spans="1:15" s="10" customFormat="1" ht="134.44999999999999" outlineLevel="1">
      <c r="A23" s="13"/>
      <c r="B23" s="216"/>
      <c r="C23" s="213"/>
      <c r="D23" s="14" t="str">
        <f>'CC detallado'!A33</f>
        <v>1.4.3.1</v>
      </c>
      <c r="E23" s="291"/>
      <c r="F23" s="15" t="str">
        <f>'CC detallado'!G33</f>
        <v xml:space="preserve">LOTE 3: TRANSFORMADORES-Provisión en obra, Montaje y Puesta en marcha de Dos (2) Bancos de Transformadores Monofásicos de 25MVA mas una reserva  </v>
      </c>
      <c r="G23" s="219"/>
      <c r="H23" s="240"/>
      <c r="I23" s="225"/>
      <c r="J23" s="228"/>
      <c r="K23" s="228"/>
      <c r="L23" s="228"/>
      <c r="M23" s="243"/>
      <c r="N23" s="228"/>
      <c r="O23" s="16">
        <f>'CC detallado'!O33</f>
        <v>5900000</v>
      </c>
    </row>
    <row r="24" spans="1:15" s="10" customFormat="1" ht="100.9" outlineLevel="1">
      <c r="A24" s="13"/>
      <c r="B24" s="216"/>
      <c r="C24" s="213"/>
      <c r="D24" s="14" t="str">
        <f>'CC detallado'!A24</f>
        <v>1.2.1</v>
      </c>
      <c r="E24" s="291"/>
      <c r="F24" s="15" t="str">
        <f>'CC detallado'!G24</f>
        <v>LOTE 4: HIDROMECANICO-Renovación del Equipamiento Hidromecánico de la Presa y Central Acaray  y la Presa Yguazú</v>
      </c>
      <c r="G24" s="219"/>
      <c r="H24" s="240"/>
      <c r="I24" s="225"/>
      <c r="J24" s="228"/>
      <c r="K24" s="228"/>
      <c r="L24" s="228"/>
      <c r="M24" s="243"/>
      <c r="N24" s="228"/>
      <c r="O24" s="16">
        <f>'CC detallado'!O24</f>
        <v>8496000</v>
      </c>
    </row>
    <row r="25" spans="1:15" s="10" customFormat="1" ht="67.150000000000006" outlineLevel="1">
      <c r="A25" s="13"/>
      <c r="B25" s="216"/>
      <c r="C25" s="213"/>
      <c r="D25" s="14" t="str">
        <f>'CC detallado'!A26</f>
        <v>1.3.1</v>
      </c>
      <c r="E25" s="291"/>
      <c r="F25" s="15" t="str">
        <f>'CC detallado'!G26</f>
        <v xml:space="preserve">LOTE 5: GRUAS-Renovación Grúas Centrales Acaray I y Acaray II y Presas Acaray e Yguazú  </v>
      </c>
      <c r="G25" s="219"/>
      <c r="H25" s="240"/>
      <c r="I25" s="225"/>
      <c r="J25" s="228"/>
      <c r="K25" s="228"/>
      <c r="L25" s="228"/>
      <c r="M25" s="243"/>
      <c r="N25" s="228"/>
      <c r="O25" s="16">
        <f>'CC detallado'!O26</f>
        <v>4130000</v>
      </c>
    </row>
    <row r="26" spans="1:15" s="10" customFormat="1" ht="100.9" outlineLevel="1">
      <c r="A26" s="13"/>
      <c r="B26" s="216"/>
      <c r="C26" s="213"/>
      <c r="D26" s="14" t="str">
        <f>'CC detallado'!A35</f>
        <v>1.5.1</v>
      </c>
      <c r="E26" s="291"/>
      <c r="F26" s="15" t="str">
        <f>'CC detallado'!G35</f>
        <v>LOTE 6: ALIMENTACIÓN ELÉCTRICA-Reemplazo Sistemas Eléctricos Media y Baja Tensión Presas Acaray e Yguazú y Centrales Acaray I y II</v>
      </c>
      <c r="G26" s="219"/>
      <c r="H26" s="240"/>
      <c r="I26" s="225"/>
      <c r="J26" s="228"/>
      <c r="K26" s="228"/>
      <c r="L26" s="228"/>
      <c r="M26" s="243"/>
      <c r="N26" s="228"/>
      <c r="O26" s="16">
        <f>'CC detallado'!O35</f>
        <v>8378000</v>
      </c>
    </row>
    <row r="27" spans="1:15" s="10" customFormat="1" ht="100.9" outlineLevel="1">
      <c r="A27" s="13"/>
      <c r="B27" s="216"/>
      <c r="C27" s="213"/>
      <c r="D27" s="14" t="str">
        <f>'CC detallado'!A39</f>
        <v>1.7.1</v>
      </c>
      <c r="E27" s="291"/>
      <c r="F27" s="15" t="str">
        <f>'CC detallado'!G39</f>
        <v>LOTE 7: MEJORA ESTACIÓN ACARAY - Provisión en obra, Montaje y Puesta en Marcha de Nuevos Equipos de Maniobra y Medición para la Estación Acaray</v>
      </c>
      <c r="G27" s="219"/>
      <c r="H27" s="240"/>
      <c r="I27" s="225"/>
      <c r="J27" s="228"/>
      <c r="K27" s="228"/>
      <c r="L27" s="228"/>
      <c r="M27" s="243"/>
      <c r="N27" s="228"/>
      <c r="O27" s="195">
        <f>'CC detallado'!O37</f>
        <v>5900000</v>
      </c>
    </row>
    <row r="28" spans="1:15" s="10" customFormat="1" ht="100.9" outlineLevel="1">
      <c r="A28" s="30"/>
      <c r="B28" s="217"/>
      <c r="C28" s="214"/>
      <c r="D28" s="31" t="str">
        <f>'CC detallado'!A37</f>
        <v>1.6.1</v>
      </c>
      <c r="E28" s="292"/>
      <c r="F28" s="186" t="str">
        <f>'CC detallado'!G37</f>
        <v>LOTE 8:  Sistema Integral digital de Automatización, Gestión de Datos, Vigilancia y Registro de eventos para la Central Acaray</v>
      </c>
      <c r="G28" s="220"/>
      <c r="H28" s="241"/>
      <c r="I28" s="226"/>
      <c r="J28" s="229"/>
      <c r="K28" s="229"/>
      <c r="L28" s="229"/>
      <c r="M28" s="244"/>
      <c r="N28" s="229"/>
      <c r="O28" s="16">
        <f>'CC detallado'!O39</f>
        <v>17700000</v>
      </c>
    </row>
    <row r="29" spans="1:15" s="10" customFormat="1">
      <c r="A29" s="5"/>
      <c r="B29" s="263" t="s">
        <v>241</v>
      </c>
      <c r="C29" s="263"/>
      <c r="D29" s="263"/>
      <c r="E29" s="263"/>
      <c r="F29" s="263"/>
      <c r="G29" s="263"/>
      <c r="H29" s="25">
        <f>SUM(H21)</f>
        <v>91214000</v>
      </c>
      <c r="I29" s="27"/>
      <c r="J29" s="27"/>
      <c r="K29" s="27"/>
      <c r="L29" s="27"/>
      <c r="M29" s="27"/>
      <c r="N29" s="27"/>
      <c r="O29" s="27"/>
    </row>
    <row r="30" spans="1:15">
      <c r="H30" s="8"/>
      <c r="I30" s="8"/>
    </row>
    <row r="31" spans="1:15" s="10" customFormat="1">
      <c r="A31" s="5"/>
      <c r="B31" s="249" t="s">
        <v>242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1"/>
      <c r="O31" s="12"/>
    </row>
    <row r="32" spans="1:15" s="10" customFormat="1">
      <c r="A32" s="5"/>
      <c r="B32" s="252" t="s">
        <v>214</v>
      </c>
      <c r="C32" s="252" t="s">
        <v>215</v>
      </c>
      <c r="D32" s="252" t="s">
        <v>216</v>
      </c>
      <c r="E32" s="252" t="s">
        <v>238</v>
      </c>
      <c r="F32" s="252" t="s">
        <v>218</v>
      </c>
      <c r="G32" s="285" t="s">
        <v>219</v>
      </c>
      <c r="H32" s="253" t="s">
        <v>220</v>
      </c>
      <c r="I32" s="253"/>
      <c r="J32" s="253"/>
      <c r="K32" s="252" t="s">
        <v>221</v>
      </c>
      <c r="L32" s="280" t="s">
        <v>222</v>
      </c>
      <c r="M32" s="252" t="s">
        <v>223</v>
      </c>
      <c r="N32" s="252"/>
      <c r="O32" s="245" t="s">
        <v>243</v>
      </c>
    </row>
    <row r="33" spans="1:201" s="10" customFormat="1" ht="100.9">
      <c r="A33" s="5"/>
      <c r="B33" s="252"/>
      <c r="C33" s="252"/>
      <c r="D33" s="252"/>
      <c r="E33" s="252"/>
      <c r="F33" s="252"/>
      <c r="G33" s="285"/>
      <c r="H33" s="190" t="s">
        <v>225</v>
      </c>
      <c r="I33" s="190" t="s">
        <v>226</v>
      </c>
      <c r="J33" s="190" t="s">
        <v>227</v>
      </c>
      <c r="K33" s="252"/>
      <c r="L33" s="280"/>
      <c r="M33" s="189" t="s">
        <v>244</v>
      </c>
      <c r="N33" s="190" t="s">
        <v>229</v>
      </c>
      <c r="O33" s="247"/>
    </row>
    <row r="34" spans="1:201" s="42" customFormat="1" outlineLevel="1">
      <c r="A34" s="5"/>
      <c r="B34" s="32"/>
      <c r="C34" s="186"/>
      <c r="D34" s="33"/>
      <c r="E34" s="17"/>
      <c r="F34" s="34"/>
      <c r="G34" s="34"/>
      <c r="H34" s="35"/>
      <c r="I34" s="36"/>
      <c r="J34" s="37"/>
      <c r="K34" s="38"/>
      <c r="L34" s="39"/>
      <c r="M34" s="40"/>
      <c r="N34" s="40"/>
      <c r="O34" s="41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</row>
    <row r="35" spans="1:201" s="10" customFormat="1">
      <c r="A35" s="5"/>
      <c r="B35" s="263" t="s">
        <v>245</v>
      </c>
      <c r="C35" s="263"/>
      <c r="D35" s="263"/>
      <c r="E35" s="263"/>
      <c r="F35" s="263"/>
      <c r="G35" s="263"/>
      <c r="H35" s="43">
        <f>SUM(H34:H34)</f>
        <v>0</v>
      </c>
      <c r="I35" s="27"/>
      <c r="J35" s="27"/>
      <c r="K35" s="27"/>
      <c r="L35" s="27"/>
      <c r="M35" s="27"/>
      <c r="N35" s="27"/>
      <c r="O35" s="27"/>
    </row>
    <row r="36" spans="1:201" s="10" customFormat="1">
      <c r="A36" s="5"/>
      <c r="B36" s="44"/>
      <c r="C36" s="45"/>
      <c r="D36" s="45"/>
      <c r="E36" s="45"/>
      <c r="F36" s="45"/>
      <c r="G36" s="45"/>
      <c r="H36" s="45"/>
      <c r="J36" s="45"/>
      <c r="K36" s="45"/>
      <c r="L36" s="45"/>
      <c r="M36" s="45"/>
      <c r="N36" s="45"/>
      <c r="O36" s="45"/>
    </row>
    <row r="37" spans="1:201" s="10" customFormat="1">
      <c r="A37" s="5"/>
      <c r="B37" s="249" t="s">
        <v>246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1"/>
      <c r="N37" s="12"/>
      <c r="O37" s="12"/>
    </row>
    <row r="38" spans="1:201" s="4" customFormat="1">
      <c r="A38" s="46"/>
      <c r="B38" s="257" t="s">
        <v>214</v>
      </c>
      <c r="C38" s="257" t="s">
        <v>215</v>
      </c>
      <c r="D38" s="257" t="s">
        <v>216</v>
      </c>
      <c r="E38" s="257" t="s">
        <v>238</v>
      </c>
      <c r="F38" s="257" t="s">
        <v>219</v>
      </c>
      <c r="G38" s="286" t="s">
        <v>220</v>
      </c>
      <c r="H38" s="286"/>
      <c r="I38" s="286"/>
      <c r="J38" s="257" t="s">
        <v>221</v>
      </c>
      <c r="K38" s="257" t="s">
        <v>222</v>
      </c>
      <c r="L38" s="257" t="s">
        <v>223</v>
      </c>
      <c r="M38" s="257"/>
      <c r="N38" s="282" t="s">
        <v>247</v>
      </c>
      <c r="O38" s="283"/>
    </row>
    <row r="39" spans="1:201" s="4" customFormat="1" ht="100.9">
      <c r="A39" s="46"/>
      <c r="B39" s="257"/>
      <c r="C39" s="257"/>
      <c r="D39" s="257"/>
      <c r="E39" s="257"/>
      <c r="F39" s="257"/>
      <c r="G39" s="185" t="s">
        <v>225</v>
      </c>
      <c r="H39" s="184" t="s">
        <v>226</v>
      </c>
      <c r="I39" s="184" t="s">
        <v>227</v>
      </c>
      <c r="J39" s="257"/>
      <c r="K39" s="257"/>
      <c r="L39" s="193" t="s">
        <v>248</v>
      </c>
      <c r="M39" s="193" t="s">
        <v>229</v>
      </c>
      <c r="N39" s="259"/>
      <c r="O39" s="284"/>
    </row>
    <row r="40" spans="1:201" s="10" customFormat="1" outlineLevel="1">
      <c r="A40" s="47"/>
      <c r="B40" s="215" t="s">
        <v>230</v>
      </c>
      <c r="C40" s="212" t="str">
        <f>'CC detallado'!G22</f>
        <v xml:space="preserve">Consultoría de ingeniería y supervisión para la rehabilitación y modernización del complejo Acaray e Yguazú  </v>
      </c>
      <c r="D40" s="48" t="str">
        <f>'CC detallado'!A8</f>
        <v>1.1.1.1</v>
      </c>
      <c r="E40" s="215" t="s">
        <v>37</v>
      </c>
      <c r="F40" s="218">
        <v>4</v>
      </c>
      <c r="G40" s="221">
        <f>SUM(O40:O51)</f>
        <v>12650000</v>
      </c>
      <c r="H40" s="224">
        <v>0.9</v>
      </c>
      <c r="I40" s="227">
        <v>0.1</v>
      </c>
      <c r="J40" s="230" t="s">
        <v>240</v>
      </c>
      <c r="K40" s="233" t="s">
        <v>233</v>
      </c>
      <c r="L40" s="206" t="s">
        <v>249</v>
      </c>
      <c r="M40" s="209">
        <v>43881</v>
      </c>
      <c r="O40" s="16">
        <f>'CC detallado'!O8</f>
        <v>825000</v>
      </c>
    </row>
    <row r="41" spans="1:201" s="10" customFormat="1" outlineLevel="1">
      <c r="A41" s="45"/>
      <c r="B41" s="216"/>
      <c r="C41" s="213"/>
      <c r="D41" s="31" t="str">
        <f>'CC detallado'!A16</f>
        <v>1.1.3.1</v>
      </c>
      <c r="E41" s="216"/>
      <c r="F41" s="219"/>
      <c r="G41" s="222"/>
      <c r="H41" s="225"/>
      <c r="I41" s="228"/>
      <c r="J41" s="231"/>
      <c r="K41" s="234"/>
      <c r="L41" s="207"/>
      <c r="M41" s="210"/>
      <c r="N41" s="49"/>
      <c r="O41" s="16">
        <f>'CC detallado'!O16</f>
        <v>440000</v>
      </c>
    </row>
    <row r="42" spans="1:201" s="42" customFormat="1" outlineLevel="1">
      <c r="A42" s="5"/>
      <c r="B42" s="216"/>
      <c r="C42" s="213"/>
      <c r="D42" s="31" t="str">
        <f>'CC detallado'!A17</f>
        <v>1.1.3.2</v>
      </c>
      <c r="E42" s="216"/>
      <c r="F42" s="219"/>
      <c r="G42" s="222"/>
      <c r="H42" s="225"/>
      <c r="I42" s="228"/>
      <c r="J42" s="231"/>
      <c r="K42" s="234"/>
      <c r="L42" s="207"/>
      <c r="M42" s="210"/>
      <c r="N42" s="50"/>
      <c r="O42" s="16">
        <f>'CC detallado'!O17</f>
        <v>275000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</row>
    <row r="43" spans="1:201" s="10" customFormat="1" outlineLevel="1">
      <c r="A43" s="45"/>
      <c r="B43" s="216"/>
      <c r="C43" s="213"/>
      <c r="D43" s="31" t="str">
        <f>'CC detallado'!A18</f>
        <v>1.1.3.3</v>
      </c>
      <c r="E43" s="216"/>
      <c r="F43" s="219"/>
      <c r="G43" s="222"/>
      <c r="H43" s="225"/>
      <c r="I43" s="228"/>
      <c r="J43" s="231"/>
      <c r="K43" s="234"/>
      <c r="L43" s="207"/>
      <c r="M43" s="210"/>
      <c r="N43" s="50"/>
      <c r="O43" s="16">
        <f>'CC detallado'!O18</f>
        <v>825000</v>
      </c>
    </row>
    <row r="44" spans="1:201" s="10" customFormat="1" outlineLevel="1">
      <c r="A44" s="45"/>
      <c r="B44" s="216"/>
      <c r="C44" s="213"/>
      <c r="D44" s="31" t="str">
        <f>'CC detallado'!A19</f>
        <v>1.1.3.4</v>
      </c>
      <c r="E44" s="216"/>
      <c r="F44" s="219"/>
      <c r="G44" s="222"/>
      <c r="H44" s="225"/>
      <c r="I44" s="228"/>
      <c r="J44" s="231"/>
      <c r="K44" s="234"/>
      <c r="L44" s="207"/>
      <c r="M44" s="210"/>
      <c r="N44" s="50"/>
      <c r="O44" s="16">
        <f>'CC detallado'!O19</f>
        <v>275000</v>
      </c>
    </row>
    <row r="45" spans="1:201" s="10" customFormat="1" outlineLevel="1">
      <c r="A45" s="45"/>
      <c r="B45" s="216"/>
      <c r="C45" s="213"/>
      <c r="D45" s="31" t="str">
        <f>'CC detallado'!A20</f>
        <v>1.1.3.5</v>
      </c>
      <c r="E45" s="216"/>
      <c r="F45" s="219"/>
      <c r="G45" s="222"/>
      <c r="H45" s="225"/>
      <c r="I45" s="228"/>
      <c r="J45" s="231"/>
      <c r="K45" s="234"/>
      <c r="L45" s="207"/>
      <c r="M45" s="210"/>
      <c r="N45" s="50"/>
      <c r="O45" s="16">
        <f>'CC detallado'!O20</f>
        <v>330000</v>
      </c>
    </row>
    <row r="46" spans="1:201" s="10" customFormat="1" outlineLevel="1">
      <c r="A46" s="45"/>
      <c r="B46" s="216"/>
      <c r="C46" s="213"/>
      <c r="D46" s="31" t="str">
        <f>'CC detallado'!A10</f>
        <v>1.1.2.1</v>
      </c>
      <c r="E46" s="216"/>
      <c r="F46" s="219"/>
      <c r="G46" s="222"/>
      <c r="H46" s="225"/>
      <c r="I46" s="228"/>
      <c r="J46" s="231"/>
      <c r="K46" s="234"/>
      <c r="L46" s="207"/>
      <c r="M46" s="210"/>
      <c r="N46" s="50"/>
      <c r="O46" s="16">
        <f>'CC detallado'!O10</f>
        <v>2420000</v>
      </c>
    </row>
    <row r="47" spans="1:201" s="10" customFormat="1" outlineLevel="1">
      <c r="A47" s="45"/>
      <c r="B47" s="216"/>
      <c r="C47" s="213"/>
      <c r="D47" s="31" t="str">
        <f>'CC detallado'!A11</f>
        <v>1.1.2.2</v>
      </c>
      <c r="E47" s="216"/>
      <c r="F47" s="219"/>
      <c r="G47" s="222"/>
      <c r="H47" s="225"/>
      <c r="I47" s="228"/>
      <c r="J47" s="231"/>
      <c r="K47" s="234"/>
      <c r="L47" s="207"/>
      <c r="M47" s="210"/>
      <c r="N47" s="50"/>
      <c r="O47" s="16">
        <f>'CC detallado'!O11</f>
        <v>550000</v>
      </c>
    </row>
    <row r="48" spans="1:201" s="10" customFormat="1" outlineLevel="1">
      <c r="A48" s="45"/>
      <c r="B48" s="216"/>
      <c r="C48" s="213"/>
      <c r="D48" s="31" t="str">
        <f>'CC detallado'!A12</f>
        <v>1.1.2.3</v>
      </c>
      <c r="E48" s="216"/>
      <c r="F48" s="219"/>
      <c r="G48" s="222"/>
      <c r="H48" s="225"/>
      <c r="I48" s="228"/>
      <c r="J48" s="231"/>
      <c r="K48" s="234"/>
      <c r="L48" s="207"/>
      <c r="M48" s="210"/>
      <c r="N48" s="50"/>
      <c r="O48" s="16">
        <f>'CC detallado'!O12</f>
        <v>1210000</v>
      </c>
    </row>
    <row r="49" spans="1:201" s="10" customFormat="1" outlineLevel="1">
      <c r="A49" s="45"/>
      <c r="B49" s="216"/>
      <c r="C49" s="213"/>
      <c r="D49" s="31" t="str">
        <f>'CC detallado'!A13</f>
        <v>1.1.2.4</v>
      </c>
      <c r="E49" s="216"/>
      <c r="F49" s="219"/>
      <c r="G49" s="222"/>
      <c r="H49" s="225"/>
      <c r="I49" s="228"/>
      <c r="J49" s="231"/>
      <c r="K49" s="234"/>
      <c r="L49" s="207"/>
      <c r="M49" s="210"/>
      <c r="N49" s="50"/>
      <c r="O49" s="16">
        <f>'CC detallado'!O13</f>
        <v>660000</v>
      </c>
    </row>
    <row r="50" spans="1:201" s="10" customFormat="1" outlineLevel="1">
      <c r="A50" s="45"/>
      <c r="B50" s="216"/>
      <c r="C50" s="213"/>
      <c r="D50" s="31" t="str">
        <f>'CC detallado'!A14</f>
        <v>1.1.2.5</v>
      </c>
      <c r="E50" s="216"/>
      <c r="F50" s="219"/>
      <c r="G50" s="222"/>
      <c r="H50" s="225"/>
      <c r="I50" s="228"/>
      <c r="J50" s="231"/>
      <c r="K50" s="234"/>
      <c r="L50" s="207"/>
      <c r="M50" s="210"/>
      <c r="N50" s="51"/>
      <c r="O50" s="16">
        <f>'CC detallado'!O14</f>
        <v>1650000</v>
      </c>
    </row>
    <row r="51" spans="1:201" s="10" customFormat="1" outlineLevel="1">
      <c r="A51" s="45"/>
      <c r="B51" s="217"/>
      <c r="C51" s="214"/>
      <c r="D51" s="31" t="str">
        <f>'CC detallado'!A22</f>
        <v>1.1.4.1</v>
      </c>
      <c r="E51" s="217"/>
      <c r="F51" s="220"/>
      <c r="G51" s="223"/>
      <c r="H51" s="226"/>
      <c r="I51" s="229"/>
      <c r="J51" s="232"/>
      <c r="K51" s="235"/>
      <c r="L51" s="208"/>
      <c r="M51" s="211"/>
      <c r="N51" s="51"/>
      <c r="O51" s="16">
        <f>'CC detallado'!O22</f>
        <v>3190000</v>
      </c>
    </row>
    <row r="52" spans="1:201" s="10" customFormat="1" ht="134.44999999999999" outlineLevel="1">
      <c r="A52" s="45"/>
      <c r="B52" s="187" t="s">
        <v>230</v>
      </c>
      <c r="C52" s="186" t="str">
        <f>'CC detallado'!G54</f>
        <v>Consultoría para el desarrollo de especificaciones técnicas para protección de predios y accesos turísticos</v>
      </c>
      <c r="D52" s="31" t="str">
        <f>'CC detallado'!A54</f>
        <v>2.1.1</v>
      </c>
      <c r="E52" s="187" t="str">
        <f>'CC detallado'!E54</f>
        <v>SBCC</v>
      </c>
      <c r="F52" s="188">
        <v>5</v>
      </c>
      <c r="G52" s="195">
        <f>'CC detallado'!O54</f>
        <v>825000</v>
      </c>
      <c r="H52" s="20">
        <v>0.9</v>
      </c>
      <c r="I52" s="54">
        <v>0.1</v>
      </c>
      <c r="J52" s="22" t="s">
        <v>250</v>
      </c>
      <c r="K52" s="23" t="s">
        <v>251</v>
      </c>
      <c r="L52" s="150">
        <v>44158</v>
      </c>
      <c r="M52" s="150">
        <v>44319</v>
      </c>
      <c r="N52" s="51"/>
      <c r="O52" s="16"/>
    </row>
    <row r="53" spans="1:201" s="10" customFormat="1" ht="100.9" outlineLevel="1">
      <c r="A53" s="45"/>
      <c r="B53" s="187" t="s">
        <v>230</v>
      </c>
      <c r="C53" s="186" t="str">
        <f>'CC detallado'!G57</f>
        <v>Consultoría para el desarrollo del Sistema de Operación y Mantenimiento</v>
      </c>
      <c r="D53" s="31" t="str">
        <f>'CC detallado'!A57</f>
        <v>2.2.1</v>
      </c>
      <c r="E53" s="187" t="str">
        <f>'CC detallado'!E57</f>
        <v>SBCC</v>
      </c>
      <c r="F53" s="188">
        <v>6</v>
      </c>
      <c r="G53" s="195">
        <f>'CC detallado'!O57</f>
        <v>3300000</v>
      </c>
      <c r="H53" s="20">
        <v>0.9</v>
      </c>
      <c r="I53" s="54">
        <v>0.1</v>
      </c>
      <c r="J53" s="22" t="s">
        <v>250</v>
      </c>
      <c r="K53" s="23" t="s">
        <v>251</v>
      </c>
      <c r="L53" s="150">
        <v>44425</v>
      </c>
      <c r="M53" s="150">
        <v>44589</v>
      </c>
      <c r="N53" s="51"/>
      <c r="O53" s="16"/>
    </row>
    <row r="54" spans="1:201" s="10" customFormat="1" outlineLevel="1">
      <c r="A54" s="45"/>
      <c r="B54" s="187" t="s">
        <v>230</v>
      </c>
      <c r="C54" s="186" t="str">
        <f>'CC detallado'!G59</f>
        <v>Estudios varios</v>
      </c>
      <c r="D54" s="31" t="str">
        <f>'CC detallado'!A59</f>
        <v>2.3.1</v>
      </c>
      <c r="E54" s="187" t="str">
        <f>'CC detallado'!E59</f>
        <v>SBCC</v>
      </c>
      <c r="F54" s="188">
        <v>7</v>
      </c>
      <c r="G54" s="195">
        <f>'CC detallado'!O59</f>
        <v>770000</v>
      </c>
      <c r="H54" s="20">
        <v>0.9</v>
      </c>
      <c r="I54" s="54">
        <v>0.1</v>
      </c>
      <c r="J54" s="22" t="s">
        <v>250</v>
      </c>
      <c r="K54" s="23" t="s">
        <v>251</v>
      </c>
      <c r="L54" s="150">
        <v>44435</v>
      </c>
      <c r="M54" s="150">
        <v>44596</v>
      </c>
      <c r="N54" s="51"/>
      <c r="O54" s="16"/>
    </row>
    <row r="55" spans="1:201" s="10" customFormat="1" ht="67.150000000000006" outlineLevel="1">
      <c r="A55" s="45"/>
      <c r="B55" s="187" t="s">
        <v>230</v>
      </c>
      <c r="C55" s="186" t="str">
        <f>'CC detallado'!G75</f>
        <v>Contratación de Evaluación Intermedia</v>
      </c>
      <c r="D55" s="31" t="str">
        <f>'CC detallado'!A75</f>
        <v>3.2.1</v>
      </c>
      <c r="E55" s="187" t="str">
        <f>'CC detallado'!E75</f>
        <v>SCC</v>
      </c>
      <c r="F55" s="188">
        <v>8</v>
      </c>
      <c r="G55" s="195">
        <f>'CC detallado'!O75</f>
        <v>60500</v>
      </c>
      <c r="H55" s="20">
        <v>0.9</v>
      </c>
      <c r="I55" s="54">
        <v>0.1</v>
      </c>
      <c r="J55" s="22" t="s">
        <v>250</v>
      </c>
      <c r="K55" s="23" t="s">
        <v>251</v>
      </c>
      <c r="L55" s="150">
        <v>45098</v>
      </c>
      <c r="M55" s="150">
        <v>45203</v>
      </c>
      <c r="N55" s="51"/>
      <c r="O55" s="16"/>
    </row>
    <row r="56" spans="1:201" s="10" customFormat="1" ht="67.150000000000006" outlineLevel="1">
      <c r="A56" s="45"/>
      <c r="B56" s="187" t="s">
        <v>230</v>
      </c>
      <c r="C56" s="186" t="str">
        <f>'CC detallado'!G76</f>
        <v>Contratación de Evaluación Final</v>
      </c>
      <c r="D56" s="31" t="str">
        <f>'CC detallado'!A76</f>
        <v>3.2.2</v>
      </c>
      <c r="E56" s="187" t="str">
        <f>'CC detallado'!E76</f>
        <v>SCC</v>
      </c>
      <c r="F56" s="188">
        <v>9</v>
      </c>
      <c r="G56" s="195">
        <f>'CC detallado'!O76</f>
        <v>60500</v>
      </c>
      <c r="H56" s="20">
        <v>0.9</v>
      </c>
      <c r="I56" s="54">
        <v>0.1</v>
      </c>
      <c r="J56" s="22" t="s">
        <v>250</v>
      </c>
      <c r="K56" s="23" t="s">
        <v>251</v>
      </c>
      <c r="L56" s="150">
        <v>45454</v>
      </c>
      <c r="M56" s="150">
        <v>45573</v>
      </c>
      <c r="N56" s="51"/>
      <c r="O56" s="16"/>
    </row>
    <row r="57" spans="1:201" s="10" customFormat="1" ht="67.150000000000006" outlineLevel="1">
      <c r="A57" s="45"/>
      <c r="B57" s="187" t="s">
        <v>230</v>
      </c>
      <c r="C57" s="186" t="str">
        <f>'CC detallado'!G78</f>
        <v>Contratación de Auditoria Externa del Programa</v>
      </c>
      <c r="D57" s="31" t="str">
        <f>'CC detallado'!A78</f>
        <v>3.3.1</v>
      </c>
      <c r="E57" s="187" t="str">
        <f>'CC detallado'!E78</f>
        <v>SBCC</v>
      </c>
      <c r="F57" s="188">
        <v>10</v>
      </c>
      <c r="G57" s="195">
        <f>'CC detallado'!O78</f>
        <v>220000</v>
      </c>
      <c r="H57" s="20">
        <v>0.9</v>
      </c>
      <c r="I57" s="54">
        <v>0.1</v>
      </c>
      <c r="J57" s="22" t="s">
        <v>250</v>
      </c>
      <c r="K57" s="23" t="s">
        <v>251</v>
      </c>
      <c r="L57" s="150">
        <v>43998</v>
      </c>
      <c r="M57" s="150">
        <v>44161</v>
      </c>
      <c r="N57" s="51"/>
      <c r="O57" s="16"/>
    </row>
    <row r="58" spans="1:201" s="10" customFormat="1" ht="100.9" outlineLevel="1">
      <c r="A58" s="45"/>
      <c r="B58" s="17" t="s">
        <v>230</v>
      </c>
      <c r="C58" s="186" t="s">
        <v>252</v>
      </c>
      <c r="D58" s="31" t="str">
        <f>'CC detallado'!A61</f>
        <v>2.3.1</v>
      </c>
      <c r="E58" s="187" t="str">
        <f>'CC detallado'!E61</f>
        <v>SBCC</v>
      </c>
      <c r="F58" s="19">
        <v>17</v>
      </c>
      <c r="G58" s="195">
        <f>'CC detallado'!O61</f>
        <v>330000</v>
      </c>
      <c r="H58" s="20">
        <v>0.9</v>
      </c>
      <c r="I58" s="54">
        <v>0.1</v>
      </c>
      <c r="J58" s="22" t="s">
        <v>250</v>
      </c>
      <c r="K58" s="23" t="s">
        <v>251</v>
      </c>
      <c r="L58" s="150">
        <v>44425</v>
      </c>
      <c r="M58" s="150">
        <v>44589</v>
      </c>
      <c r="N58" s="51"/>
      <c r="O58" s="16"/>
    </row>
    <row r="59" spans="1:201" s="10" customFormat="1">
      <c r="A59" s="5"/>
      <c r="B59" s="270" t="s">
        <v>253</v>
      </c>
      <c r="C59" s="270"/>
      <c r="D59" s="270"/>
      <c r="E59" s="270"/>
      <c r="F59" s="270"/>
      <c r="G59" s="25">
        <f>SUM(G40:G58)</f>
        <v>18216000</v>
      </c>
      <c r="H59" s="52"/>
      <c r="I59" s="52"/>
      <c r="J59" s="52"/>
      <c r="K59" s="52"/>
      <c r="L59" s="52"/>
      <c r="M59" s="52"/>
      <c r="N59" s="281"/>
      <c r="O59" s="281"/>
    </row>
    <row r="60" spans="1:201">
      <c r="A60" s="45"/>
      <c r="C60" s="5"/>
      <c r="G60" s="5"/>
      <c r="L60" s="5"/>
      <c r="M60" s="5"/>
    </row>
    <row r="61" spans="1:201" s="10" customFormat="1">
      <c r="A61" s="5"/>
      <c r="B61" s="249" t="s">
        <v>254</v>
      </c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1"/>
      <c r="O61" s="12"/>
    </row>
    <row r="62" spans="1:201">
      <c r="B62" s="252" t="s">
        <v>214</v>
      </c>
      <c r="C62" s="252" t="s">
        <v>215</v>
      </c>
      <c r="D62" s="252" t="s">
        <v>216</v>
      </c>
      <c r="E62" s="252" t="s">
        <v>238</v>
      </c>
      <c r="F62" s="252" t="s">
        <v>219</v>
      </c>
      <c r="G62" s="253" t="s">
        <v>220</v>
      </c>
      <c r="H62" s="253"/>
      <c r="I62" s="253"/>
      <c r="J62" s="252" t="s">
        <v>255</v>
      </c>
      <c r="K62" s="252" t="s">
        <v>221</v>
      </c>
      <c r="L62" s="280" t="s">
        <v>222</v>
      </c>
      <c r="M62" s="252" t="s">
        <v>223</v>
      </c>
      <c r="N62" s="252"/>
      <c r="O62" s="245" t="s">
        <v>243</v>
      </c>
    </row>
    <row r="63" spans="1:201" ht="100.9">
      <c r="B63" s="252"/>
      <c r="C63" s="252"/>
      <c r="D63" s="252"/>
      <c r="E63" s="253"/>
      <c r="F63" s="252"/>
      <c r="G63" s="191" t="s">
        <v>225</v>
      </c>
      <c r="H63" s="190" t="s">
        <v>226</v>
      </c>
      <c r="I63" s="190" t="s">
        <v>227</v>
      </c>
      <c r="J63" s="252"/>
      <c r="K63" s="252"/>
      <c r="L63" s="253"/>
      <c r="M63" s="189" t="s">
        <v>256</v>
      </c>
      <c r="N63" s="190" t="s">
        <v>257</v>
      </c>
      <c r="O63" s="247"/>
    </row>
    <row r="64" spans="1:201" s="56" customFormat="1" outlineLevel="1">
      <c r="A64" s="5"/>
      <c r="B64" s="39" t="s">
        <v>230</v>
      </c>
      <c r="C64" s="186" t="str">
        <f>'CC detallado'!G68</f>
        <v>Ingeniero Civil</v>
      </c>
      <c r="D64" s="48" t="str">
        <f>'CC detallado'!A68</f>
        <v>3.1.1</v>
      </c>
      <c r="E64" s="74" t="s">
        <v>172</v>
      </c>
      <c r="F64" s="19">
        <v>11</v>
      </c>
      <c r="G64" s="195">
        <f>'CC detallado'!O68</f>
        <v>418880</v>
      </c>
      <c r="H64" s="20">
        <v>0.9</v>
      </c>
      <c r="I64" s="54">
        <v>0.1</v>
      </c>
      <c r="J64" s="55">
        <f>'CC detallado'!H68</f>
        <v>2</v>
      </c>
      <c r="K64" s="38" t="s">
        <v>258</v>
      </c>
      <c r="L64" s="23" t="s">
        <v>251</v>
      </c>
      <c r="M64" s="150">
        <v>43795</v>
      </c>
      <c r="N64" s="150">
        <v>43887</v>
      </c>
      <c r="O64" s="41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</row>
    <row r="65" spans="1:201" s="56" customFormat="1" outlineLevel="1">
      <c r="A65" s="5"/>
      <c r="B65" s="39" t="s">
        <v>230</v>
      </c>
      <c r="C65" s="186" t="str">
        <f>'CC detallado'!G69</f>
        <v>Ingeniero Electromecánico</v>
      </c>
      <c r="D65" s="48" t="str">
        <f>'CC detallado'!A69</f>
        <v>3.1.2</v>
      </c>
      <c r="E65" s="74" t="s">
        <v>172</v>
      </c>
      <c r="F65" s="19">
        <v>12</v>
      </c>
      <c r="G65" s="195">
        <f>'CC detallado'!O69</f>
        <v>418880</v>
      </c>
      <c r="H65" s="20">
        <v>0.9</v>
      </c>
      <c r="I65" s="54">
        <v>0.1</v>
      </c>
      <c r="J65" s="55">
        <f>'CC detallado'!H69</f>
        <v>2</v>
      </c>
      <c r="K65" s="38" t="s">
        <v>258</v>
      </c>
      <c r="L65" s="23" t="s">
        <v>251</v>
      </c>
      <c r="M65" s="150">
        <v>43795</v>
      </c>
      <c r="N65" s="150">
        <v>43887</v>
      </c>
      <c r="O65" s="41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</row>
    <row r="66" spans="1:201" s="56" customFormat="1" outlineLevel="1">
      <c r="A66" s="5"/>
      <c r="B66" s="39" t="s">
        <v>230</v>
      </c>
      <c r="C66" s="186" t="str">
        <f>'CC detallado'!G70</f>
        <v>Especialista Fiduciario</v>
      </c>
      <c r="D66" s="48" t="str">
        <f>'CC detallado'!A70</f>
        <v>3.1.3</v>
      </c>
      <c r="E66" s="74" t="s">
        <v>172</v>
      </c>
      <c r="F66" s="19">
        <v>13</v>
      </c>
      <c r="G66" s="195">
        <f>'CC detallado'!O70</f>
        <v>418880</v>
      </c>
      <c r="H66" s="20">
        <v>0.9</v>
      </c>
      <c r="I66" s="54">
        <v>0.1</v>
      </c>
      <c r="J66" s="55">
        <f>'CC detallado'!H70</f>
        <v>2</v>
      </c>
      <c r="K66" s="38" t="s">
        <v>258</v>
      </c>
      <c r="L66" s="23" t="s">
        <v>251</v>
      </c>
      <c r="M66" s="150">
        <v>43795</v>
      </c>
      <c r="N66" s="150">
        <v>43887</v>
      </c>
      <c r="O66" s="41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</row>
    <row r="67" spans="1:201" s="56" customFormat="1" outlineLevel="1">
      <c r="A67" s="5"/>
      <c r="B67" s="39" t="s">
        <v>230</v>
      </c>
      <c r="C67" s="186" t="str">
        <f>'CC detallado'!G71</f>
        <v>Ingeniero Eléctrico</v>
      </c>
      <c r="D67" s="48" t="str">
        <f>'CC detallado'!A71</f>
        <v>3.1.4</v>
      </c>
      <c r="E67" s="74" t="s">
        <v>172</v>
      </c>
      <c r="F67" s="19">
        <v>14</v>
      </c>
      <c r="G67" s="195">
        <f>'CC detallado'!O71</f>
        <v>209440</v>
      </c>
      <c r="H67" s="20">
        <v>0.9</v>
      </c>
      <c r="I67" s="54">
        <v>0.1</v>
      </c>
      <c r="J67" s="55">
        <f>'CC detallado'!H71</f>
        <v>1</v>
      </c>
      <c r="K67" s="38" t="s">
        <v>258</v>
      </c>
      <c r="L67" s="23" t="s">
        <v>251</v>
      </c>
      <c r="M67" s="150">
        <v>43795</v>
      </c>
      <c r="N67" s="150">
        <v>43887</v>
      </c>
      <c r="O67" s="41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</row>
    <row r="68" spans="1:201" s="56" customFormat="1" outlineLevel="1">
      <c r="A68" s="5"/>
      <c r="B68" s="39" t="s">
        <v>230</v>
      </c>
      <c r="C68" s="186" t="str">
        <f>'CC detallado'!G72</f>
        <v>Especialista Ambiental</v>
      </c>
      <c r="D68" s="48" t="str">
        <f>'CC detallado'!A72</f>
        <v>3.1.5</v>
      </c>
      <c r="E68" s="74" t="s">
        <v>172</v>
      </c>
      <c r="F68" s="19">
        <v>15</v>
      </c>
      <c r="G68" s="195">
        <f>'CC detallado'!O72</f>
        <v>209440</v>
      </c>
      <c r="H68" s="20">
        <v>0.9</v>
      </c>
      <c r="I68" s="54">
        <v>0.1</v>
      </c>
      <c r="J68" s="55">
        <f>'CC detallado'!H72</f>
        <v>1</v>
      </c>
      <c r="K68" s="38" t="s">
        <v>258</v>
      </c>
      <c r="L68" s="23" t="s">
        <v>251</v>
      </c>
      <c r="M68" s="150">
        <v>43795</v>
      </c>
      <c r="N68" s="150">
        <v>43887</v>
      </c>
      <c r="O68" s="41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</row>
    <row r="69" spans="1:201" s="56" customFormat="1" ht="100.9" outlineLevel="1">
      <c r="A69" s="5"/>
      <c r="B69" s="187" t="s">
        <v>230</v>
      </c>
      <c r="C69" s="186" t="str">
        <f>'CC detallado'!G63</f>
        <v>Consultoría Externa para Apoyo a la ANDE (Panel de Consultores)</v>
      </c>
      <c r="D69" s="31" t="str">
        <f>'CC detallado'!A63</f>
        <v>2.5.1</v>
      </c>
      <c r="E69" s="187" t="str">
        <f>'CC detallado'!E63</f>
        <v>SD</v>
      </c>
      <c r="F69" s="188">
        <v>16</v>
      </c>
      <c r="G69" s="195">
        <f>'CC detallado'!O63</f>
        <v>715000</v>
      </c>
      <c r="H69" s="20">
        <v>0.9</v>
      </c>
      <c r="I69" s="54">
        <v>0.1</v>
      </c>
      <c r="J69" s="22" t="s">
        <v>259</v>
      </c>
      <c r="K69" s="22" t="s">
        <v>250</v>
      </c>
      <c r="L69" s="23" t="s">
        <v>251</v>
      </c>
      <c r="M69" s="150">
        <v>44106</v>
      </c>
      <c r="N69" s="150">
        <v>44190</v>
      </c>
      <c r="O69" s="24" t="s">
        <v>260</v>
      </c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</row>
    <row r="70" spans="1:201">
      <c r="B70" s="270" t="s">
        <v>261</v>
      </c>
      <c r="C70" s="270"/>
      <c r="D70" s="270"/>
      <c r="E70" s="270"/>
      <c r="F70" s="270"/>
      <c r="G70" s="25">
        <f>SUM(G64:G69)</f>
        <v>2390520</v>
      </c>
      <c r="H70" s="52"/>
      <c r="I70" s="52"/>
      <c r="J70" s="58">
        <f>SUM(J64:J68)</f>
        <v>8</v>
      </c>
      <c r="K70" s="52"/>
      <c r="L70" s="52"/>
      <c r="M70" s="192"/>
      <c r="N70" s="192"/>
      <c r="O70" s="192"/>
    </row>
    <row r="71" spans="1:201">
      <c r="B71" s="59"/>
      <c r="C71" s="60"/>
      <c r="D71" s="59"/>
      <c r="E71" s="59"/>
      <c r="F71" s="59"/>
      <c r="G71" s="61"/>
      <c r="H71" s="59"/>
      <c r="I71" s="59"/>
      <c r="J71" s="59"/>
      <c r="K71" s="59"/>
      <c r="L71" s="62"/>
      <c r="M71" s="62"/>
      <c r="N71" s="59"/>
      <c r="O71" s="59"/>
    </row>
    <row r="72" spans="1:201" s="10" customFormat="1">
      <c r="A72" s="5"/>
      <c r="B72" s="249" t="s">
        <v>262</v>
      </c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1"/>
    </row>
    <row r="73" spans="1:201">
      <c r="B73" s="252" t="s">
        <v>214</v>
      </c>
      <c r="C73" s="252" t="s">
        <v>215</v>
      </c>
      <c r="D73" s="252" t="s">
        <v>216</v>
      </c>
      <c r="E73" s="252" t="s">
        <v>238</v>
      </c>
      <c r="F73" s="252" t="s">
        <v>219</v>
      </c>
      <c r="G73" s="253" t="s">
        <v>220</v>
      </c>
      <c r="H73" s="253"/>
      <c r="I73" s="253"/>
      <c r="J73" s="252" t="s">
        <v>221</v>
      </c>
      <c r="K73" s="252" t="s">
        <v>222</v>
      </c>
      <c r="L73" s="252" t="s">
        <v>223</v>
      </c>
      <c r="M73" s="252"/>
      <c r="N73" s="245" t="s">
        <v>243</v>
      </c>
      <c r="O73" s="246"/>
    </row>
    <row r="74" spans="1:201" ht="100.9">
      <c r="B74" s="252"/>
      <c r="C74" s="252"/>
      <c r="D74" s="252"/>
      <c r="E74" s="253"/>
      <c r="F74" s="252"/>
      <c r="G74" s="191" t="s">
        <v>225</v>
      </c>
      <c r="H74" s="190" t="s">
        <v>226</v>
      </c>
      <c r="I74" s="190" t="s">
        <v>227</v>
      </c>
      <c r="J74" s="252"/>
      <c r="K74" s="253"/>
      <c r="L74" s="189" t="s">
        <v>263</v>
      </c>
      <c r="M74" s="189" t="s">
        <v>264</v>
      </c>
      <c r="N74" s="247"/>
      <c r="O74" s="248"/>
    </row>
    <row r="75" spans="1:201" s="10" customFormat="1" outlineLevel="1">
      <c r="A75" s="45"/>
      <c r="B75" s="17"/>
      <c r="C75" s="186"/>
      <c r="D75" s="24"/>
      <c r="E75" s="17"/>
      <c r="F75" s="34"/>
      <c r="G75" s="53"/>
      <c r="H75" s="36"/>
      <c r="I75" s="37"/>
      <c r="J75" s="38"/>
      <c r="K75" s="39"/>
      <c r="L75" s="63"/>
      <c r="M75" s="64"/>
      <c r="N75" s="17"/>
      <c r="O75" s="17"/>
    </row>
    <row r="76" spans="1:201" s="10" customFormat="1" outlineLevel="1">
      <c r="A76" s="45"/>
      <c r="B76" s="17"/>
      <c r="C76" s="186"/>
      <c r="D76" s="24"/>
      <c r="E76" s="17"/>
      <c r="F76" s="34"/>
      <c r="G76" s="53"/>
      <c r="H76" s="36"/>
      <c r="I76" s="37"/>
      <c r="J76" s="38"/>
      <c r="K76" s="39"/>
      <c r="L76" s="63"/>
      <c r="M76" s="64"/>
      <c r="N76" s="17"/>
      <c r="O76" s="17"/>
    </row>
    <row r="77" spans="1:201">
      <c r="A77" s="65"/>
      <c r="B77" s="270" t="s">
        <v>265</v>
      </c>
      <c r="C77" s="270"/>
      <c r="D77" s="270"/>
      <c r="E77" s="270"/>
      <c r="F77" s="270"/>
      <c r="G77" s="57">
        <f>SUM(G75:G76)</f>
        <v>0</v>
      </c>
      <c r="H77" s="52"/>
      <c r="I77" s="52"/>
      <c r="J77" s="52"/>
      <c r="K77" s="52"/>
      <c r="L77" s="52"/>
      <c r="M77" s="192"/>
      <c r="N77" s="271"/>
      <c r="O77" s="271"/>
    </row>
    <row r="78" spans="1:201">
      <c r="B78" s="59"/>
      <c r="C78" s="60"/>
      <c r="D78" s="59"/>
      <c r="E78" s="59"/>
      <c r="F78" s="59"/>
      <c r="G78" s="61"/>
      <c r="H78" s="59"/>
      <c r="I78" s="59"/>
      <c r="J78" s="59"/>
      <c r="K78" s="59"/>
      <c r="L78" s="62"/>
      <c r="M78" s="62"/>
      <c r="N78" s="59"/>
      <c r="O78" s="59"/>
    </row>
    <row r="79" spans="1:201" s="10" customFormat="1">
      <c r="A79" s="5"/>
      <c r="B79" s="249" t="s">
        <v>266</v>
      </c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1"/>
      <c r="N79" s="12"/>
      <c r="O79" s="12"/>
    </row>
    <row r="80" spans="1:201">
      <c r="A80" s="66"/>
      <c r="B80" s="252" t="s">
        <v>214</v>
      </c>
      <c r="C80" s="252" t="s">
        <v>267</v>
      </c>
      <c r="D80" s="252" t="s">
        <v>216</v>
      </c>
      <c r="E80" s="252" t="s">
        <v>219</v>
      </c>
      <c r="F80" s="252"/>
      <c r="G80" s="253" t="s">
        <v>220</v>
      </c>
      <c r="H80" s="253"/>
      <c r="I80" s="253"/>
      <c r="J80" s="252" t="s">
        <v>221</v>
      </c>
      <c r="K80" s="276" t="s">
        <v>268</v>
      </c>
      <c r="L80" s="252" t="s">
        <v>223</v>
      </c>
      <c r="M80" s="252"/>
      <c r="N80" s="272" t="s">
        <v>243</v>
      </c>
      <c r="O80" s="273"/>
    </row>
    <row r="81" spans="1:201" s="67" customFormat="1" ht="134.44999999999999">
      <c r="A81" s="66"/>
      <c r="B81" s="252"/>
      <c r="C81" s="252"/>
      <c r="D81" s="252"/>
      <c r="E81" s="252"/>
      <c r="F81" s="252"/>
      <c r="G81" s="190" t="s">
        <v>225</v>
      </c>
      <c r="H81" s="191" t="s">
        <v>226</v>
      </c>
      <c r="I81" s="190" t="s">
        <v>227</v>
      </c>
      <c r="J81" s="252"/>
      <c r="K81" s="277"/>
      <c r="L81" s="190" t="s">
        <v>269</v>
      </c>
      <c r="M81" s="189" t="s">
        <v>270</v>
      </c>
      <c r="N81" s="274"/>
      <c r="O81" s="275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</row>
    <row r="82" spans="1:201" s="68" customFormat="1" outlineLevel="1">
      <c r="B82" s="39"/>
      <c r="C82" s="186"/>
      <c r="D82" s="17"/>
      <c r="E82" s="17"/>
      <c r="F82" s="34"/>
      <c r="G82" s="53"/>
      <c r="H82" s="36"/>
      <c r="I82" s="37"/>
      <c r="J82" s="38"/>
      <c r="K82" s="69"/>
      <c r="L82" s="63"/>
      <c r="M82" s="63"/>
      <c r="N82" s="278"/>
      <c r="O82" s="279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</row>
    <row r="83" spans="1:201">
      <c r="B83" s="270" t="s">
        <v>271</v>
      </c>
      <c r="C83" s="270"/>
      <c r="D83" s="270"/>
      <c r="E83" s="270"/>
      <c r="F83" s="270"/>
      <c r="G83" s="57">
        <f>SUM(G82:G82)</f>
        <v>0</v>
      </c>
      <c r="H83" s="52"/>
      <c r="I83" s="52"/>
      <c r="J83" s="52"/>
      <c r="K83" s="52"/>
      <c r="L83" s="192"/>
      <c r="M83" s="192"/>
      <c r="N83" s="192"/>
      <c r="O83" s="192"/>
    </row>
    <row r="85" spans="1:201">
      <c r="L85" s="5"/>
      <c r="M85" s="5"/>
      <c r="P85" s="5"/>
      <c r="Q85" s="5"/>
      <c r="R85" s="5"/>
      <c r="S85" s="5"/>
    </row>
    <row r="86" spans="1:201" ht="34.15" thickBot="1">
      <c r="L86" s="5"/>
      <c r="M86" s="5"/>
      <c r="P86" s="5"/>
      <c r="Q86" s="5"/>
      <c r="R86" s="5"/>
      <c r="S86" s="5"/>
    </row>
    <row r="87" spans="1:201" s="10" customFormat="1" ht="34.9" thickTop="1" thickBot="1">
      <c r="A87" s="5"/>
      <c r="B87" s="269" t="s">
        <v>236</v>
      </c>
      <c r="C87" s="269"/>
      <c r="D87" s="269"/>
      <c r="E87" s="269"/>
      <c r="F87" s="269"/>
      <c r="G87" s="70">
        <f>H16</f>
        <v>17820000</v>
      </c>
      <c r="H87" s="71">
        <f t="shared" ref="H87:H92" si="0">G87/$G$97</f>
        <v>0.12272700225454049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201" s="10" customFormat="1" ht="34.9" thickTop="1" thickBot="1">
      <c r="A88" s="5"/>
      <c r="B88" s="269" t="s">
        <v>241</v>
      </c>
      <c r="C88" s="269"/>
      <c r="D88" s="269"/>
      <c r="E88" s="269"/>
      <c r="F88" s="269"/>
      <c r="G88" s="70">
        <f>H29</f>
        <v>91214000</v>
      </c>
      <c r="H88" s="71">
        <f t="shared" si="0"/>
        <v>0.62819420783645652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201" s="10" customFormat="1" ht="34.9" thickTop="1" thickBot="1">
      <c r="A89" s="5"/>
      <c r="B89" s="269" t="s">
        <v>245</v>
      </c>
      <c r="C89" s="269"/>
      <c r="D89" s="269"/>
      <c r="E89" s="269"/>
      <c r="F89" s="269"/>
      <c r="G89" s="70">
        <f>H35</f>
        <v>0</v>
      </c>
      <c r="H89" s="71">
        <f t="shared" si="0"/>
        <v>0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201" s="10" customFormat="1" ht="34.9" thickTop="1" thickBot="1">
      <c r="A90" s="5"/>
      <c r="B90" s="267" t="s">
        <v>253</v>
      </c>
      <c r="C90" s="267"/>
      <c r="D90" s="267"/>
      <c r="E90" s="267"/>
      <c r="F90" s="267"/>
      <c r="G90" s="70">
        <f>G59</f>
        <v>18216000</v>
      </c>
      <c r="H90" s="71">
        <f t="shared" si="0"/>
        <v>0.12545426897130804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201" ht="34.9" thickTop="1" thickBot="1">
      <c r="B91" s="267" t="s">
        <v>261</v>
      </c>
      <c r="C91" s="267"/>
      <c r="D91" s="267"/>
      <c r="E91" s="267"/>
      <c r="F91" s="267"/>
      <c r="G91" s="70">
        <f>G70</f>
        <v>2390520</v>
      </c>
      <c r="H91" s="71">
        <f t="shared" si="0"/>
        <v>1.6463600080220207E-2</v>
      </c>
      <c r="L91" s="5"/>
      <c r="M91" s="5"/>
      <c r="P91" s="5"/>
      <c r="Q91" s="5"/>
      <c r="R91" s="5"/>
      <c r="S91" s="5"/>
    </row>
    <row r="92" spans="1:201" ht="34.9" thickTop="1" thickBot="1">
      <c r="B92" s="267" t="s">
        <v>272</v>
      </c>
      <c r="C92" s="267"/>
      <c r="D92" s="267"/>
      <c r="E92" s="267"/>
      <c r="F92" s="267"/>
      <c r="G92" s="70">
        <f>G77</f>
        <v>0</v>
      </c>
      <c r="H92" s="71">
        <f t="shared" si="0"/>
        <v>0</v>
      </c>
      <c r="L92" s="5"/>
      <c r="M92" s="5"/>
      <c r="P92" s="5"/>
      <c r="Q92" s="5"/>
      <c r="R92" s="5"/>
      <c r="S92" s="5"/>
    </row>
    <row r="93" spans="1:201" ht="34.9" thickTop="1" thickBot="1">
      <c r="B93" s="268" t="s">
        <v>273</v>
      </c>
      <c r="C93" s="268"/>
      <c r="D93" s="268"/>
      <c r="E93" s="268"/>
      <c r="F93" s="268"/>
      <c r="G93" s="72">
        <f>SUM(G87:G92)</f>
        <v>129640520</v>
      </c>
      <c r="H93" s="71"/>
      <c r="L93" s="5"/>
      <c r="M93" s="5"/>
      <c r="P93" s="5"/>
      <c r="Q93" s="5"/>
      <c r="R93" s="5"/>
      <c r="S93" s="5"/>
    </row>
    <row r="94" spans="1:201" ht="34.9" thickTop="1" thickBot="1">
      <c r="A94" s="65"/>
      <c r="B94" s="267" t="s">
        <v>274</v>
      </c>
      <c r="C94" s="267"/>
      <c r="D94" s="267"/>
      <c r="E94" s="267"/>
      <c r="F94" s="267"/>
      <c r="G94" s="70">
        <f>G83</f>
        <v>0</v>
      </c>
      <c r="H94" s="71">
        <f>G94/$G$97</f>
        <v>0</v>
      </c>
      <c r="L94" s="5"/>
      <c r="M94" s="5"/>
      <c r="P94" s="5"/>
      <c r="Q94" s="5"/>
      <c r="R94" s="5"/>
      <c r="S94" s="5"/>
    </row>
    <row r="95" spans="1:201" ht="34.9" thickTop="1" thickBot="1">
      <c r="A95" s="65"/>
      <c r="B95" s="267" t="s">
        <v>275</v>
      </c>
      <c r="C95" s="267"/>
      <c r="D95" s="267"/>
      <c r="E95" s="267"/>
      <c r="F95" s="267" t="s">
        <v>276</v>
      </c>
      <c r="G95" s="70">
        <v>0</v>
      </c>
      <c r="H95" s="71">
        <f>G95/$G$97</f>
        <v>0</v>
      </c>
      <c r="L95" s="5"/>
      <c r="M95" s="5"/>
      <c r="P95" s="5"/>
      <c r="Q95" s="5"/>
      <c r="R95" s="5"/>
      <c r="S95" s="5"/>
    </row>
    <row r="96" spans="1:201" ht="34.9" thickTop="1" thickBot="1">
      <c r="A96" s="65"/>
      <c r="B96" s="267" t="s">
        <v>277</v>
      </c>
      <c r="C96" s="267"/>
      <c r="D96" s="267"/>
      <c r="E96" s="267"/>
      <c r="F96" s="267" t="s">
        <v>278</v>
      </c>
      <c r="G96" s="70">
        <f>'CC detallado'!O50+'CC detallado'!O64+'CC detallado'!O73</f>
        <v>15559800</v>
      </c>
      <c r="H96" s="71">
        <f>G96/$G$97</f>
        <v>0.1071609208574747</v>
      </c>
      <c r="L96" s="5"/>
      <c r="M96" s="5"/>
      <c r="P96" s="5"/>
      <c r="Q96" s="5"/>
      <c r="R96" s="5"/>
      <c r="S96" s="5"/>
    </row>
    <row r="97" spans="1:19" ht="34.9" thickTop="1" thickBot="1">
      <c r="B97" s="268" t="s">
        <v>199</v>
      </c>
      <c r="C97" s="268"/>
      <c r="D97" s="268"/>
      <c r="E97" s="268"/>
      <c r="F97" s="268" t="s">
        <v>279</v>
      </c>
      <c r="G97" s="72">
        <f>SUM(G93:G96)</f>
        <v>145200320</v>
      </c>
      <c r="H97" s="71"/>
      <c r="L97" s="5"/>
      <c r="M97" s="5"/>
      <c r="P97" s="5"/>
      <c r="Q97" s="5"/>
      <c r="R97" s="5"/>
      <c r="S97" s="5"/>
    </row>
    <row r="98" spans="1:19" s="10" customFormat="1" ht="34.15" thickTop="1">
      <c r="A98" s="5"/>
      <c r="B98" s="5"/>
      <c r="C98" s="7"/>
      <c r="D98" s="5"/>
      <c r="E98" s="5"/>
      <c r="F98" s="5"/>
      <c r="G98" s="73">
        <f>145200320-G97</f>
        <v>0</v>
      </c>
      <c r="H98" s="5"/>
      <c r="I98" s="5"/>
      <c r="J98" s="5"/>
      <c r="K98" s="5"/>
      <c r="L98" s="9"/>
      <c r="M98" s="9"/>
      <c r="N98" s="5"/>
      <c r="O98" s="5"/>
    </row>
  </sheetData>
  <mergeCells count="137">
    <mergeCell ref="H8:J8"/>
    <mergeCell ref="K8:K9"/>
    <mergeCell ref="G19:G20"/>
    <mergeCell ref="H19:J19"/>
    <mergeCell ref="K19:K20"/>
    <mergeCell ref="B16:G16"/>
    <mergeCell ref="G38:I38"/>
    <mergeCell ref="J38:J39"/>
    <mergeCell ref="K38:K39"/>
    <mergeCell ref="C10:C14"/>
    <mergeCell ref="B10:B14"/>
    <mergeCell ref="G10:G14"/>
    <mergeCell ref="I10:I14"/>
    <mergeCell ref="J10:J14"/>
    <mergeCell ref="K10:K14"/>
    <mergeCell ref="E10:E14"/>
    <mergeCell ref="E21:E28"/>
    <mergeCell ref="C21:C28"/>
    <mergeCell ref="B21:B28"/>
    <mergeCell ref="L38:M38"/>
    <mergeCell ref="L32:L33"/>
    <mergeCell ref="M32:N32"/>
    <mergeCell ref="B35:G35"/>
    <mergeCell ref="B38:B39"/>
    <mergeCell ref="C38:C39"/>
    <mergeCell ref="D38:D39"/>
    <mergeCell ref="E38:E39"/>
    <mergeCell ref="F38:F39"/>
    <mergeCell ref="N38:O39"/>
    <mergeCell ref="B32:B33"/>
    <mergeCell ref="C32:C33"/>
    <mergeCell ref="D32:D33"/>
    <mergeCell ref="E32:E33"/>
    <mergeCell ref="F32:F33"/>
    <mergeCell ref="G32:G33"/>
    <mergeCell ref="H32:J32"/>
    <mergeCell ref="K32:K33"/>
    <mergeCell ref="O32:O33"/>
    <mergeCell ref="B37:M37"/>
    <mergeCell ref="J62:J63"/>
    <mergeCell ref="K62:K63"/>
    <mergeCell ref="L62:L63"/>
    <mergeCell ref="M62:N62"/>
    <mergeCell ref="B70:F70"/>
    <mergeCell ref="B59:F59"/>
    <mergeCell ref="N59:O59"/>
    <mergeCell ref="B62:B63"/>
    <mergeCell ref="C62:C63"/>
    <mergeCell ref="D62:D63"/>
    <mergeCell ref="E62:E63"/>
    <mergeCell ref="F62:F63"/>
    <mergeCell ref="G62:I62"/>
    <mergeCell ref="O62:O63"/>
    <mergeCell ref="B61:N61"/>
    <mergeCell ref="B83:F83"/>
    <mergeCell ref="B87:F87"/>
    <mergeCell ref="B77:F77"/>
    <mergeCell ref="N77:O77"/>
    <mergeCell ref="B80:B81"/>
    <mergeCell ref="C80:C81"/>
    <mergeCell ref="D80:D81"/>
    <mergeCell ref="E80:F81"/>
    <mergeCell ref="G80:I80"/>
    <mergeCell ref="J80:J81"/>
    <mergeCell ref="N80:O81"/>
    <mergeCell ref="K80:K81"/>
    <mergeCell ref="B79:M79"/>
    <mergeCell ref="N82:O82"/>
    <mergeCell ref="B95:F95"/>
    <mergeCell ref="B96:F96"/>
    <mergeCell ref="B97:F97"/>
    <mergeCell ref="B88:F88"/>
    <mergeCell ref="B89:F89"/>
    <mergeCell ref="B90:F90"/>
    <mergeCell ref="B91:F91"/>
    <mergeCell ref="B93:F93"/>
    <mergeCell ref="B94:F94"/>
    <mergeCell ref="B92:F92"/>
    <mergeCell ref="B1:O1"/>
    <mergeCell ref="B2:O2"/>
    <mergeCell ref="L19:L20"/>
    <mergeCell ref="M19:N19"/>
    <mergeCell ref="L8:L9"/>
    <mergeCell ref="M8:N8"/>
    <mergeCell ref="B31:N31"/>
    <mergeCell ref="B19:B20"/>
    <mergeCell ref="C19:C20"/>
    <mergeCell ref="D19:D20"/>
    <mergeCell ref="E19:E20"/>
    <mergeCell ref="F19:F20"/>
    <mergeCell ref="O8:O9"/>
    <mergeCell ref="B6:N6"/>
    <mergeCell ref="B7:N7"/>
    <mergeCell ref="O19:O20"/>
    <mergeCell ref="B18:N18"/>
    <mergeCell ref="B29:G29"/>
    <mergeCell ref="B8:B9"/>
    <mergeCell ref="C8:C9"/>
    <mergeCell ref="D8:D9"/>
    <mergeCell ref="E8:E9"/>
    <mergeCell ref="F8:F9"/>
    <mergeCell ref="G8:G9"/>
    <mergeCell ref="N73:O74"/>
    <mergeCell ref="B72:O72"/>
    <mergeCell ref="B73:B74"/>
    <mergeCell ref="C73:C74"/>
    <mergeCell ref="D73:D74"/>
    <mergeCell ref="E73:E74"/>
    <mergeCell ref="F73:F74"/>
    <mergeCell ref="G73:I73"/>
    <mergeCell ref="L80:M80"/>
    <mergeCell ref="J73:J74"/>
    <mergeCell ref="K73:K74"/>
    <mergeCell ref="L73:M73"/>
    <mergeCell ref="L10:L14"/>
    <mergeCell ref="M10:M14"/>
    <mergeCell ref="N10:N14"/>
    <mergeCell ref="G21:G28"/>
    <mergeCell ref="H21:H28"/>
    <mergeCell ref="I21:I28"/>
    <mergeCell ref="J21:J28"/>
    <mergeCell ref="K21:K28"/>
    <mergeCell ref="L21:L28"/>
    <mergeCell ref="M21:M28"/>
    <mergeCell ref="N21:N28"/>
    <mergeCell ref="H10:H14"/>
    <mergeCell ref="L40:L51"/>
    <mergeCell ref="M40:M51"/>
    <mergeCell ref="C40:C51"/>
    <mergeCell ref="B40:B51"/>
    <mergeCell ref="E40:E51"/>
    <mergeCell ref="F40:F51"/>
    <mergeCell ref="G40:G51"/>
    <mergeCell ref="H40:H51"/>
    <mergeCell ref="I40:I51"/>
    <mergeCell ref="J40:J51"/>
    <mergeCell ref="K40:K51"/>
  </mergeCells>
  <pageMargins left="0.7" right="0.7" top="0.75" bottom="0.75" header="0.3" footer="0.3"/>
  <pageSetup scale="43" orientation="landscape" r:id="rId1"/>
  <rowBreaks count="2" manualBreakCount="2">
    <brk id="36" max="16383" man="1"/>
    <brk id="78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49"/>
  <sheetViews>
    <sheetView showGridLines="0" zoomScaleNormal="100" workbookViewId="0" xr3:uid="{7BE570AB-09E9-518F-B8F7-3F91B7162CA9}"/>
  </sheetViews>
  <sheetFormatPr defaultColWidth="9.140625" defaultRowHeight="13.9" outlineLevelRow="1"/>
  <cols>
    <col min="1" max="1" width="6.140625" style="152" customWidth="1"/>
    <col min="2" max="2" width="48.28515625" style="159" customWidth="1"/>
    <col min="3" max="3" width="22.140625" style="153" customWidth="1"/>
    <col min="4" max="4" width="23.28515625" style="152" customWidth="1"/>
    <col min="5" max="16384" width="9.140625" style="152"/>
  </cols>
  <sheetData>
    <row r="1" spans="2:4" ht="18.600000000000001" customHeight="1">
      <c r="B1" s="297" t="str">
        <f>INDICE!A1</f>
        <v>PROGRAMA DE REHABILITACIÓN Y MODERNIZACIÓN DE LA CENTRAL HIDROELÉCTRICA DE ACARAY PR-L1156</v>
      </c>
      <c r="C1" s="297"/>
      <c r="D1" s="297"/>
    </row>
    <row r="2" spans="2:4">
      <c r="B2" s="297"/>
      <c r="C2" s="297"/>
      <c r="D2" s="297"/>
    </row>
    <row r="3" spans="2:4">
      <c r="B3" s="151"/>
    </row>
    <row r="4" spans="2:4">
      <c r="B4" s="298" t="s">
        <v>280</v>
      </c>
      <c r="C4" s="298"/>
      <c r="D4" s="298"/>
    </row>
    <row r="5" spans="2:4" ht="14.45" thickBot="1">
      <c r="B5" s="196"/>
      <c r="C5" s="196"/>
      <c r="D5" s="196"/>
    </row>
    <row r="6" spans="2:4" ht="14.45" thickBot="1">
      <c r="B6" s="293" t="s">
        <v>281</v>
      </c>
      <c r="C6" s="293"/>
      <c r="D6" s="293"/>
    </row>
    <row r="7" spans="2:4" ht="14.45" thickBot="1">
      <c r="B7" s="154" t="s">
        <v>282</v>
      </c>
      <c r="C7" s="154" t="s">
        <v>283</v>
      </c>
      <c r="D7" s="155" t="s">
        <v>284</v>
      </c>
    </row>
    <row r="8" spans="2:4" ht="14.45" thickBot="1">
      <c r="B8" s="156" t="s">
        <v>285</v>
      </c>
      <c r="C8" s="157" t="s">
        <v>286</v>
      </c>
      <c r="D8" s="158" t="s">
        <v>287</v>
      </c>
    </row>
    <row r="9" spans="2:4" ht="14.45" thickBot="1"/>
    <row r="10" spans="2:4" ht="14.45" thickBot="1">
      <c r="B10" s="293" t="s">
        <v>288</v>
      </c>
      <c r="C10" s="293"/>
      <c r="D10" s="293"/>
    </row>
    <row r="11" spans="2:4" ht="14.45" thickBot="1">
      <c r="B11" s="294" t="s">
        <v>289</v>
      </c>
      <c r="C11" s="295"/>
      <c r="D11" s="296"/>
    </row>
    <row r="12" spans="2:4" ht="14.45" thickBot="1"/>
    <row r="13" spans="2:4" ht="14.45" thickBot="1">
      <c r="B13" s="293" t="s">
        <v>290</v>
      </c>
      <c r="C13" s="293"/>
      <c r="D13" s="293"/>
    </row>
    <row r="14" spans="2:4" s="161" customFormat="1" ht="27.6">
      <c r="B14" s="160" t="s">
        <v>291</v>
      </c>
      <c r="C14" s="160" t="s">
        <v>292</v>
      </c>
      <c r="D14" s="160" t="s">
        <v>293</v>
      </c>
    </row>
    <row r="15" spans="2:4">
      <c r="B15" s="162" t="s">
        <v>294</v>
      </c>
      <c r="C15" s="163">
        <f>SUM(C16:C17)</f>
        <v>16199999.999999998</v>
      </c>
      <c r="D15" s="163">
        <f>SUM(D16:D17)</f>
        <v>17820000</v>
      </c>
    </row>
    <row r="16" spans="2:4" ht="27.6" outlineLevel="1">
      <c r="B16" s="164" t="str">
        <f>PA!C10</f>
        <v>Contratación de Firma Constructora para obras civiles en la Central Hidroeléctrica ACARAY</v>
      </c>
      <c r="C16" s="165">
        <f>PA!H10/1.1</f>
        <v>14499999.999999998</v>
      </c>
      <c r="D16" s="165">
        <f>C16*1.1</f>
        <v>15950000</v>
      </c>
    </row>
    <row r="17" spans="2:4" outlineLevel="1">
      <c r="B17" s="164" t="str">
        <f>PA!C15</f>
        <v>Provisión de Protección de predios</v>
      </c>
      <c r="C17" s="165">
        <f>PA!H15/1.1</f>
        <v>1699999.9999999998</v>
      </c>
      <c r="D17" s="165">
        <f>C17*1.1</f>
        <v>1870000</v>
      </c>
    </row>
    <row r="18" spans="2:4">
      <c r="B18" s="162" t="s">
        <v>295</v>
      </c>
      <c r="C18" s="163">
        <f>SUM(C19:C19)</f>
        <v>82921818.181818172</v>
      </c>
      <c r="D18" s="163">
        <f>SUM(D19:D19)</f>
        <v>91214000</v>
      </c>
    </row>
    <row r="19" spans="2:4" ht="27.6" outlineLevel="1">
      <c r="B19" s="166" t="str">
        <f>PA!C21</f>
        <v>Adquisición de equipamiento electromecánico para la Central Hidroeléctrica ACARAY</v>
      </c>
      <c r="C19" s="165">
        <f>PA!H21/1.1</f>
        <v>82921818.181818172</v>
      </c>
      <c r="D19" s="165">
        <f>C19*1.1</f>
        <v>91214000</v>
      </c>
    </row>
    <row r="20" spans="2:4">
      <c r="B20" s="162" t="s">
        <v>296</v>
      </c>
      <c r="C20" s="163">
        <f>SUM(C21:C21)</f>
        <v>0</v>
      </c>
      <c r="D20" s="163">
        <f>SUM(D21:D21)</f>
        <v>0</v>
      </c>
    </row>
    <row r="21" spans="2:4" outlineLevel="1">
      <c r="B21" s="167"/>
      <c r="C21" s="168"/>
      <c r="D21" s="165">
        <f>C21*1.1</f>
        <v>0</v>
      </c>
    </row>
    <row r="22" spans="2:4">
      <c r="B22" s="162" t="s">
        <v>297</v>
      </c>
      <c r="C22" s="163">
        <f>SUM(C23:C30)</f>
        <v>16560000</v>
      </c>
      <c r="D22" s="163">
        <f>SUM(D23:D30)</f>
        <v>18216000.000000004</v>
      </c>
    </row>
    <row r="23" spans="2:4" ht="41.45" outlineLevel="1">
      <c r="B23" s="166" t="str">
        <f>PA!C40</f>
        <v xml:space="preserve">Consultoría de ingeniería y supervisión para la rehabilitación y modernización del complejo Acaray e Yguazú  </v>
      </c>
      <c r="C23" s="165">
        <f>PA!G40/1.1</f>
        <v>11500000</v>
      </c>
      <c r="D23" s="165">
        <f t="shared" ref="D23:D29" si="0">C23*1.1</f>
        <v>12650000.000000002</v>
      </c>
    </row>
    <row r="24" spans="2:4" ht="27.6" outlineLevel="1">
      <c r="B24" s="166" t="str">
        <f>PA!C52</f>
        <v>Consultoría para el desarrollo de especificaciones técnicas para protección de predios y accesos turísticos</v>
      </c>
      <c r="C24" s="165">
        <f>PA!G52/1.1</f>
        <v>749999.99999999988</v>
      </c>
      <c r="D24" s="165">
        <f t="shared" si="0"/>
        <v>824999.99999999988</v>
      </c>
    </row>
    <row r="25" spans="2:4" ht="27.6" outlineLevel="1">
      <c r="B25" s="166" t="str">
        <f>PA!C53</f>
        <v>Consultoría para el desarrollo del Sistema de Operación y Mantenimiento</v>
      </c>
      <c r="C25" s="165">
        <f>PA!G53/1.1</f>
        <v>2999999.9999999995</v>
      </c>
      <c r="D25" s="165">
        <f t="shared" si="0"/>
        <v>3299999.9999999995</v>
      </c>
    </row>
    <row r="26" spans="2:4" outlineLevel="1">
      <c r="B26" s="162" t="str">
        <f>PA!C54</f>
        <v>Estudios varios</v>
      </c>
      <c r="C26" s="169">
        <f>PA!G54/1.1</f>
        <v>700000</v>
      </c>
      <c r="D26" s="169">
        <f t="shared" si="0"/>
        <v>770000.00000000012</v>
      </c>
    </row>
    <row r="27" spans="2:4" outlineLevel="1">
      <c r="B27" s="166" t="str">
        <f>PA!C55</f>
        <v>Contratación de Evaluación Intermedia</v>
      </c>
      <c r="C27" s="165">
        <f>PA!G55/1.1</f>
        <v>54999.999999999993</v>
      </c>
      <c r="D27" s="165">
        <f t="shared" si="0"/>
        <v>60500</v>
      </c>
    </row>
    <row r="28" spans="2:4" outlineLevel="1">
      <c r="B28" s="166" t="str">
        <f>PA!C56</f>
        <v>Contratación de Evaluación Final</v>
      </c>
      <c r="C28" s="165">
        <f>PA!G56/1.1</f>
        <v>54999.999999999993</v>
      </c>
      <c r="D28" s="165">
        <f t="shared" si="0"/>
        <v>60500</v>
      </c>
    </row>
    <row r="29" spans="2:4" outlineLevel="1">
      <c r="B29" s="166" t="str">
        <f>PA!C57</f>
        <v>Contratación de Auditoria Externa del Programa</v>
      </c>
      <c r="C29" s="165">
        <f>PA!G57/1.1</f>
        <v>199999.99999999997</v>
      </c>
      <c r="D29" s="165">
        <f t="shared" si="0"/>
        <v>220000</v>
      </c>
    </row>
    <row r="30" spans="2:4" ht="27.6" outlineLevel="1">
      <c r="B30" s="166" t="str">
        <f>PA!C58</f>
        <v>Contratación de Firma Consultora para el desarrollo de cursos de capacitación</v>
      </c>
      <c r="C30" s="165">
        <f>PA!G58/1.1</f>
        <v>300000</v>
      </c>
      <c r="D30" s="165">
        <f>C30*1.1</f>
        <v>330000</v>
      </c>
    </row>
    <row r="31" spans="2:4">
      <c r="B31" s="162" t="s">
        <v>298</v>
      </c>
      <c r="C31" s="163">
        <f>SUM(C32:C37)</f>
        <v>2173200</v>
      </c>
      <c r="D31" s="163">
        <f>SUM(D32:D37)</f>
        <v>2390520</v>
      </c>
    </row>
    <row r="32" spans="2:4" outlineLevel="1">
      <c r="B32" s="170" t="str">
        <f>PA!C64</f>
        <v>Ingeniero Civil</v>
      </c>
      <c r="C32" s="165">
        <f>PA!G64/1.1</f>
        <v>380799.99999999994</v>
      </c>
      <c r="D32" s="165">
        <f t="shared" ref="D32:D37" si="1">C32*1.1</f>
        <v>418879.99999999994</v>
      </c>
    </row>
    <row r="33" spans="2:4" outlineLevel="1">
      <c r="B33" s="170" t="str">
        <f>PA!C65</f>
        <v>Ingeniero Electromecánico</v>
      </c>
      <c r="C33" s="165">
        <f>PA!G65/1.1</f>
        <v>380799.99999999994</v>
      </c>
      <c r="D33" s="165">
        <f t="shared" si="1"/>
        <v>418879.99999999994</v>
      </c>
    </row>
    <row r="34" spans="2:4" outlineLevel="1">
      <c r="B34" s="170" t="str">
        <f>PA!C66</f>
        <v>Especialista Fiduciario</v>
      </c>
      <c r="C34" s="165">
        <f>PA!G66/1.1</f>
        <v>380799.99999999994</v>
      </c>
      <c r="D34" s="165">
        <f t="shared" si="1"/>
        <v>418879.99999999994</v>
      </c>
    </row>
    <row r="35" spans="2:4" outlineLevel="1">
      <c r="B35" s="170" t="str">
        <f>PA!C67</f>
        <v>Ingeniero Eléctrico</v>
      </c>
      <c r="C35" s="165">
        <f>PA!G67/1.1</f>
        <v>190399.99999999997</v>
      </c>
      <c r="D35" s="165">
        <f t="shared" si="1"/>
        <v>209439.99999999997</v>
      </c>
    </row>
    <row r="36" spans="2:4" outlineLevel="1">
      <c r="B36" s="170" t="str">
        <f>PA!C68</f>
        <v>Especialista Ambiental</v>
      </c>
      <c r="C36" s="165">
        <f>PA!G68/1.1</f>
        <v>190399.99999999997</v>
      </c>
      <c r="D36" s="165">
        <f t="shared" si="1"/>
        <v>209439.99999999997</v>
      </c>
    </row>
    <row r="37" spans="2:4" ht="27.6" outlineLevel="1">
      <c r="B37" s="170" t="str">
        <f>PA!C69</f>
        <v>Consultoría Externa para Apoyo a la ANDE (Panel de Consultores)</v>
      </c>
      <c r="C37" s="165">
        <f>PA!G69/1.1</f>
        <v>650000</v>
      </c>
      <c r="D37" s="165">
        <f t="shared" si="1"/>
        <v>715000</v>
      </c>
    </row>
    <row r="38" spans="2:4">
      <c r="B38" s="162" t="s">
        <v>299</v>
      </c>
      <c r="C38" s="163">
        <f>SUM(C39:C40)</f>
        <v>0</v>
      </c>
      <c r="D38" s="163">
        <f>SUM(D39:D40)</f>
        <v>0</v>
      </c>
    </row>
    <row r="39" spans="2:4" outlineLevel="1">
      <c r="B39" s="166"/>
      <c r="C39" s="171"/>
      <c r="D39" s="171"/>
    </row>
    <row r="40" spans="2:4" outlineLevel="1">
      <c r="B40" s="166"/>
      <c r="C40" s="171"/>
      <c r="D40" s="171"/>
    </row>
    <row r="41" spans="2:4">
      <c r="B41" s="162" t="s">
        <v>300</v>
      </c>
      <c r="C41" s="172">
        <f>SUM(C42:C42)</f>
        <v>0</v>
      </c>
      <c r="D41" s="172">
        <f>SUM(D42:D42)</f>
        <v>0</v>
      </c>
    </row>
    <row r="42" spans="2:4" s="175" customFormat="1" outlineLevel="1">
      <c r="B42" s="173"/>
      <c r="C42" s="174">
        <f>PA!G82</f>
        <v>0</v>
      </c>
      <c r="D42" s="174">
        <f>PA!I82</f>
        <v>0</v>
      </c>
    </row>
    <row r="43" spans="2:4" ht="14.45" thickBot="1">
      <c r="B43" s="176"/>
      <c r="C43" s="177"/>
      <c r="D43" s="178"/>
    </row>
    <row r="44" spans="2:4" ht="14.45" thickBot="1">
      <c r="B44" s="293" t="s">
        <v>301</v>
      </c>
      <c r="C44" s="293"/>
      <c r="D44" s="293"/>
    </row>
    <row r="45" spans="2:4" ht="27.6">
      <c r="B45" s="160" t="s">
        <v>302</v>
      </c>
      <c r="C45" s="160" t="s">
        <v>292</v>
      </c>
      <c r="D45" s="160" t="s">
        <v>293</v>
      </c>
    </row>
    <row r="46" spans="2:4" ht="28.9" customHeight="1">
      <c r="B46" s="166" t="str">
        <f>'CC detallado'!G5</f>
        <v>Componente 1. Inversiones para rehabilitación y modernización de la central</v>
      </c>
      <c r="C46" s="165">
        <f>'CC detallado'!M5</f>
        <v>115000000</v>
      </c>
      <c r="D46" s="165">
        <f>'CC detallado'!O5</f>
        <v>133807200</v>
      </c>
    </row>
    <row r="47" spans="2:4" ht="28.9" customHeight="1">
      <c r="B47" s="166" t="str">
        <f>'CC detallado'!G52</f>
        <v>Componente 2. Apoyo a la gestión, protección de predios, equidad de género y capacidad institucional.</v>
      </c>
      <c r="C47" s="165">
        <f>'CC detallado'!M52</f>
        <v>8100000</v>
      </c>
      <c r="D47" s="165">
        <f>'CC detallado'!O52</f>
        <v>9303120</v>
      </c>
    </row>
    <row r="48" spans="2:4" ht="28.9" customHeight="1">
      <c r="B48" s="166" t="str">
        <f>'CC detallado'!G66</f>
        <v>Administración del Programa</v>
      </c>
      <c r="C48" s="165">
        <f>'CC detallado'!M66</f>
        <v>1900000</v>
      </c>
      <c r="D48" s="165">
        <f>'CC detallado'!O66</f>
        <v>2090000</v>
      </c>
    </row>
    <row r="49" spans="2:4">
      <c r="B49" s="179" t="s">
        <v>199</v>
      </c>
      <c r="C49" s="180">
        <f>SUM(C46:C48)</f>
        <v>125000000</v>
      </c>
      <c r="D49" s="180">
        <f>SUM(D46:D48)</f>
        <v>145200320</v>
      </c>
    </row>
  </sheetData>
  <mergeCells count="7">
    <mergeCell ref="B44:D44"/>
    <mergeCell ref="B11:D11"/>
    <mergeCell ref="B13:D13"/>
    <mergeCell ref="B10:D10"/>
    <mergeCell ref="B1:D2"/>
    <mergeCell ref="B4:D4"/>
    <mergeCell ref="B6:D6"/>
  </mergeCells>
  <hyperlinks>
    <hyperlink ref="B22" location="_ftn1" display="_ftn1" xr:uid="{00000000-0004-0000-09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>R0002841749</Record_x0020_Number>
    <Key_x0020_Document xmlns="cdc7663a-08f0-4737-9e8c-148ce897a09c">false</Key_x0020_Document>
    <Division_x0020_or_x0020_Unit xmlns="cdc7663a-08f0-4737-9e8c-148ce897a09c">INE/ENE</Division_x0020_or_x0020_Unit>
    <Document_x0020_Author xmlns="cdc7663a-08f0-4737-9e8c-148ce897a09c">Aiello, Roberto Gabriel</Document_x0020_Author>
    <_dlc_DocId xmlns="cdc7663a-08f0-4737-9e8c-148ce897a09c">EZSHARE-353762589-32</_dlc_DocId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Paraguay</TermName>
          <TermId xmlns="http://schemas.microsoft.com/office/infopath/2007/PartnerControls">50282442-27e7-4526-9d04-55bf5da33a10</TermId>
        </TermInfo>
      </Terms>
    </ic46d7e087fd4a108fb86518ca413cc6>
    <Operation_x0020_Type xmlns="cdc7663a-08f0-4737-9e8c-148ce897a09c">Loan Operation</Operation_x0020_Type>
    <TaxCatchAll xmlns="cdc7663a-08f0-4737-9e8c-148ce897a09c">
      <Value>132</Value>
      <Value>24</Value>
      <Value>29</Value>
      <Value>44</Value>
      <Value>1</Value>
    </TaxCatchAll>
    <Fiscal_x0020_Year_x0020_IDB xmlns="cdc7663a-08f0-4737-9e8c-148ce897a09c">2018</Fiscal_x0020_Year_x0020_IDB>
    <b26cdb1da78c4bb4b1c1bac2f6ac5911 xmlns="cdc7663a-08f0-4737-9e8c-148ce897a09c">
      <Terms xmlns="http://schemas.microsoft.com/office/infopath/2007/PartnerControls"/>
    </b26cdb1da78c4bb4b1c1bac2f6ac5911>
    <Project_x0020_Number xmlns="cdc7663a-08f0-4737-9e8c-148ce897a09c">PR-L1156</Project_x0020_Number>
    <Package_x0020_Code xmlns="cdc7663a-08f0-4737-9e8c-148ce897a09c" xsi:nil="true"/>
    <Migration_x0020_Info xmlns="cdc7663a-08f0-4737-9e8c-148ce897a09c" xsi:nil="true"/>
    <Related_x0020_SisCor_x0020_Number xmlns="cdc7663a-08f0-4737-9e8c-148ce897a09c" xsi:nil="true"/>
    <Approval_x0020_Number xmlns="cdc7663a-08f0-4737-9e8c-148ce897a09c" xsi:nil="true"/>
    <Business_x0020_Area xmlns="cdc7663a-08f0-4737-9e8c-148ce897a09c" xsi:nil="true"/>
    <SISCOR_x0020_Number xmlns="cdc7663a-08f0-4737-9e8c-148ce897a09c" xsi:nil="true"/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Access_x0020_to_x0020_Information_x00a0_Policy xmlns="cdc7663a-08f0-4737-9e8c-148ce897a09c">Public - Simultaneous Disclosure</Access_x0020_to_x0020_Information_x00a0_Policy>
    <Identifier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</TermName>
          <TermId xmlns="http://schemas.microsoft.com/office/infopath/2007/PartnerControls">4fed196a-cd0b-4970-87de-42da17f9b203</TermId>
        </TermInfo>
      </Terms>
    </nddeef1749674d76abdbe4b239a70bc6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SECTOR REHABILITATION AND EFFICIENCY</TermName>
          <TermId xmlns="http://schemas.microsoft.com/office/infopath/2007/PartnerControls">bc14044a-5020-4002-b61d-5f3750c96619</TermId>
        </TermInfo>
      </Terms>
    </b2ec7cfb18674cb8803df6b262e8b107>
    <Document_x0020_Language_x0020_IDB xmlns="cdc7663a-08f0-4737-9e8c-148ce897a09c">Spanish</Document_x0020_Language_x0020_IDB>
    <_dlc_DocIdUrl xmlns="cdc7663a-08f0-4737-9e8c-148ce897a09c">
      <Url>https://idbg.sharepoint.com/teams/EZ-PR-LON/PR-L1156/_layouts/15/DocIdRedir.aspx?ID=EZSHARE-353762589-32</Url>
      <Description>EZSHARE-353762589-32</Description>
    </_dlc_DocIdUrl>
    <Phase xmlns="cdc7663a-08f0-4737-9e8c-148ce897a09c" xsi:nil="true"/>
    <Other_x0020_Author xmlns="cdc7663a-08f0-4737-9e8c-148ce897a09c" xsi:nil="true"/>
    <IDBDocs_x0020_Number xmlns="cdc7663a-08f0-4737-9e8c-148ce897a09c" xsi:nil="true"/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>Climate Change and Renewable Energy;Electricity;Energy;Energy Distribution and Transmission;Energy Management and Regulation;Energy Markets and Studies;</Webtopic>
    <Abstract xmlns="cdc7663a-08f0-4737-9e8c-148ce897a09c" xsi:nil="true"/>
    <Publishing_x0020_House xmlns="cdc7663a-08f0-4737-9e8c-148ce897a09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E0D388AADA090840B2351D5A082DA91C" ma:contentTypeVersion="199" ma:contentTypeDescription="The base project type from which other project content types inherit their information." ma:contentTypeScope="" ma:versionID="fd239aa51e03c39921b33343ddbe3a5c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a7ba91d6b3ab20a2a7450ffe0a988666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PR-L1156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B7DFA5BFE931E3488BC57253420081FE" ma:contentTypeVersion="203" ma:contentTypeDescription="A content type to manage public (operations) IDB documents" ma:contentTypeScope="" ma:versionID="507b697fae98c49a2014e9c73404373c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bf58ce8bcb6f32f9f7ce487a03b173dc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PR-L1156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2AD0F472-9C67-4BCE-A213-DAD7F0D51C15}"/>
</file>

<file path=customXml/itemProps2.xml><?xml version="1.0" encoding="utf-8"?>
<ds:datastoreItem xmlns:ds="http://schemas.openxmlformats.org/officeDocument/2006/customXml" ds:itemID="{C980152B-E301-46CA-8F31-2A3143D9C887}"/>
</file>

<file path=customXml/itemProps3.xml><?xml version="1.0" encoding="utf-8"?>
<ds:datastoreItem xmlns:ds="http://schemas.openxmlformats.org/officeDocument/2006/customXml" ds:itemID="{8552F736-13DC-4A6B-97A2-B11AED97F33A}"/>
</file>

<file path=customXml/itemProps4.xml><?xml version="1.0" encoding="utf-8"?>
<ds:datastoreItem xmlns:ds="http://schemas.openxmlformats.org/officeDocument/2006/customXml" ds:itemID="{FF26B511-1FA2-4BEA-BC40-B38594F7D896}"/>
</file>

<file path=customXml/itemProps5.xml><?xml version="1.0" encoding="utf-8"?>
<ds:datastoreItem xmlns:ds="http://schemas.openxmlformats.org/officeDocument/2006/customXml" ds:itemID="{E32B920C-B442-4815-B9C3-8CACA88973FC}"/>
</file>

<file path=customXml/itemProps6.xml><?xml version="1.0" encoding="utf-8"?>
<ds:datastoreItem xmlns:ds="http://schemas.openxmlformats.org/officeDocument/2006/customXml" ds:itemID="{62D6CB54-26AC-4595-AFBC-DCF89132E183}"/>
</file>

<file path=customXml/itemProps7.xml><?xml version="1.0" encoding="utf-8"?>
<ds:datastoreItem xmlns:ds="http://schemas.openxmlformats.org/officeDocument/2006/customXml" ds:itemID="{7DD9CBAC-2239-4BF6-8295-5DF8E3EA8A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Amaciel</dc:creator>
  <cp:keywords/>
  <dc:description/>
  <cp:lastModifiedBy>Aiello, Roberto Gabriel</cp:lastModifiedBy>
  <cp:revision/>
  <dcterms:created xsi:type="dcterms:W3CDTF">2017-01-18T12:14:49Z</dcterms:created>
  <dcterms:modified xsi:type="dcterms:W3CDTF">2018-11-01T23:41:17Z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132;#ENERGY SECTOR REHABILITATION AND EFFICIENCY|bc14044a-5020-4002-b61d-5f3750c96619</vt:lpwstr>
  </property>
  <property fmtid="{D5CDD505-2E9C-101B-9397-08002B2CF9AE}" pid="7" name="Country">
    <vt:lpwstr>24;#Paraguay|50282442-27e7-4526-9d04-55bf5da33a10</vt:lpwstr>
  </property>
  <property fmtid="{D5CDD505-2E9C-101B-9397-08002B2CF9AE}" pid="8" name="Fund IDB">
    <vt:lpwstr>29;#ORC|c028a4b2-ad8b-4cf4-9cac-a2ae6a778e23</vt:lpwstr>
  </property>
  <property fmtid="{D5CDD505-2E9C-101B-9397-08002B2CF9AE}" pid="9" name="_dlc_DocIdItemGuid">
    <vt:lpwstr>23df9bbf-14c4-410d-a831-7d6e12385571</vt:lpwstr>
  </property>
  <property fmtid="{D5CDD505-2E9C-101B-9397-08002B2CF9AE}" pid="10" name="Sector IDB">
    <vt:lpwstr>44;#ENERGY|4fed196a-cd0b-4970-87de-42da17f9b203</vt:lpwstr>
  </property>
  <property fmtid="{D5CDD505-2E9C-101B-9397-08002B2CF9AE}" pid="11" name="Function Operations IDB">
    <vt:lpwstr>1;#Project Preparation, Planning and Design|29ca0c72-1fc4-435f-a09c-28585cb5eac9</vt:lpwstr>
  </property>
  <property fmtid="{D5CDD505-2E9C-101B-9397-08002B2CF9AE}" pid="12" name="Disclosure Activity">
    <vt:lpwstr>Loan Proposal</vt:lpwstr>
  </property>
  <property fmtid="{D5CDD505-2E9C-101B-9397-08002B2CF9AE}" pid="13" name="ContentTypeId">
    <vt:lpwstr>0x0101001A458A224826124E8B45B1D613300CFC00B7DFA5BFE931E3488BC57253420081FE</vt:lpwstr>
  </property>
</Properties>
</file>