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8.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5.xml" ContentType="application/vnd.openxmlformats-officedocument.customXmlProperties+xml"/>
  <Override PartName="/customXml/itemProps4.xml" ContentType="application/vnd.openxmlformats-officedocument.customXm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6.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filterPrivacy="1" showInkAnnotation="0" autoCompressPictures="0"/>
  <bookViews>
    <workbookView xWindow="0" yWindow="0" windowWidth="28800" windowHeight="11616" tabRatio="745" firstSheet="1" activeTab="4" xr2:uid="{00000000-000D-0000-FFFF-FFFF00000000}"/>
  </bookViews>
  <sheets>
    <sheet name="Presupuesto_Detallado" sheetId="4" r:id="rId1"/>
    <sheet name="Plan_Ejecutivo_Plurianual (PEP)" sheetId="18" r:id="rId2"/>
    <sheet name="Presupuesto_Productos (POD)" sheetId="19" r:id="rId3"/>
    <sheet name="Financiamiento_Desembolsos" sheetId="20" r:id="rId4"/>
    <sheet name="Presupuesto_Componente" sheetId="6" r:id="rId5"/>
    <sheet name="A1. Firmas Consultoras" sheetId="22" r:id="rId6"/>
    <sheet name="A2. Consultorias Individuales" sheetId="23" r:id="rId7"/>
    <sheet name="A3_Bs-Equip-Infr Sub 1.2" sheetId="15" r:id="rId8"/>
    <sheet name="A4_Detalle Soft&amp;Hard Sub 2 " sheetId="17" r:id="rId9"/>
    <sheet name="A5_Detalle Administración" sheetId="16" r:id="rId10"/>
    <sheet name="Resumen" sheetId="24" r:id="rId11"/>
    <sheet name="Perfil" sheetId="21" r:id="rId12"/>
  </sheets>
  <externalReferences>
    <externalReference r:id="rId13"/>
  </externalReferences>
  <definedNames>
    <definedName name="_xlnm.Print_Area" localSheetId="7">'A3_Bs-Equip-Infr Sub 1.2'!$B$3:$C$5</definedName>
    <definedName name="_xlnm.Print_Area" localSheetId="4">Presupuesto_Componente!#REF!</definedName>
    <definedName name="_xlnm.Print_Area" localSheetId="0">Presupuesto_Detallado!$B$4:$O$95</definedName>
  </definedNames>
  <calcPr calcId="171026"/>
</workbook>
</file>

<file path=xl/calcChain.xml><?xml version="1.0" encoding="utf-8"?>
<calcChain xmlns="http://schemas.openxmlformats.org/spreadsheetml/2006/main">
  <c r="C9" i="6" l="1"/>
  <c r="D9" i="6"/>
  <c r="B9" i="6"/>
  <c r="D8" i="6"/>
  <c r="C8" i="6"/>
  <c r="B8" i="6"/>
  <c r="S17" i="18" l="1"/>
  <c r="Q17" i="18"/>
  <c r="P17" i="18"/>
  <c r="M17" i="18"/>
  <c r="J17" i="18"/>
  <c r="G17" i="18"/>
  <c r="D17" i="18"/>
  <c r="C8" i="19"/>
  <c r="E52" i="19"/>
  <c r="F52" i="19"/>
  <c r="G52" i="19"/>
  <c r="H52" i="19"/>
  <c r="E53" i="19"/>
  <c r="F53" i="19"/>
  <c r="G53" i="19"/>
  <c r="H53" i="19"/>
  <c r="E54" i="19"/>
  <c r="F54" i="19"/>
  <c r="G54" i="19"/>
  <c r="H54" i="19"/>
  <c r="D53" i="19"/>
  <c r="D54" i="19"/>
  <c r="D52" i="19"/>
  <c r="E29" i="19"/>
  <c r="F29" i="19"/>
  <c r="G29" i="19"/>
  <c r="H29" i="19"/>
  <c r="E30" i="19"/>
  <c r="F30" i="19"/>
  <c r="G30" i="19"/>
  <c r="H30" i="19"/>
  <c r="E31" i="19"/>
  <c r="F31" i="19"/>
  <c r="G31" i="19"/>
  <c r="H31" i="19"/>
  <c r="E32" i="19"/>
  <c r="F32" i="19"/>
  <c r="G32" i="19"/>
  <c r="H32" i="19"/>
  <c r="E33" i="19"/>
  <c r="F33" i="19"/>
  <c r="G33" i="19"/>
  <c r="H33" i="19"/>
  <c r="E34" i="19"/>
  <c r="F34" i="19"/>
  <c r="G34" i="19"/>
  <c r="H34" i="19"/>
  <c r="E35" i="19"/>
  <c r="F35" i="19"/>
  <c r="G35" i="19"/>
  <c r="H35" i="19"/>
  <c r="E36" i="19"/>
  <c r="F36" i="19"/>
  <c r="G36" i="19"/>
  <c r="H36" i="19"/>
  <c r="E37" i="19"/>
  <c r="F37" i="19"/>
  <c r="G37" i="19"/>
  <c r="H37" i="19"/>
  <c r="E38" i="19"/>
  <c r="F38" i="19"/>
  <c r="G38" i="19"/>
  <c r="H38" i="19"/>
  <c r="E39" i="19"/>
  <c r="F39" i="19"/>
  <c r="G39" i="19"/>
  <c r="H39" i="19"/>
  <c r="E40" i="19"/>
  <c r="F40" i="19"/>
  <c r="G40" i="19"/>
  <c r="H40" i="19"/>
  <c r="E41" i="19"/>
  <c r="F41" i="19"/>
  <c r="G41" i="19"/>
  <c r="H41" i="19"/>
  <c r="E42" i="19"/>
  <c r="F42" i="19"/>
  <c r="G42" i="19"/>
  <c r="H42" i="19"/>
  <c r="E43" i="19"/>
  <c r="F43" i="19"/>
  <c r="G43" i="19"/>
  <c r="H43" i="19"/>
  <c r="E44" i="19"/>
  <c r="F44" i="19"/>
  <c r="G44" i="19"/>
  <c r="H44" i="19"/>
  <c r="E45" i="19"/>
  <c r="F45" i="19"/>
  <c r="G45" i="19"/>
  <c r="H45" i="19"/>
  <c r="E46" i="19"/>
  <c r="F46" i="19"/>
  <c r="G46" i="19"/>
  <c r="H46" i="19"/>
  <c r="E47" i="19"/>
  <c r="F47" i="19"/>
  <c r="G47" i="19"/>
  <c r="H47" i="19"/>
  <c r="E48" i="19"/>
  <c r="F48" i="19"/>
  <c r="G48" i="19"/>
  <c r="H48" i="19"/>
  <c r="E49" i="19"/>
  <c r="F49" i="19"/>
  <c r="G49" i="19"/>
  <c r="H49" i="19"/>
  <c r="E50" i="19"/>
  <c r="F50" i="19"/>
  <c r="G50" i="19"/>
  <c r="H50" i="19"/>
  <c r="D30" i="19"/>
  <c r="D31" i="19"/>
  <c r="D32" i="19"/>
  <c r="D33" i="19"/>
  <c r="D34" i="19"/>
  <c r="D35" i="19"/>
  <c r="D36" i="19"/>
  <c r="D37" i="19"/>
  <c r="D38" i="19"/>
  <c r="D39" i="19"/>
  <c r="D40" i="19"/>
  <c r="D41" i="19"/>
  <c r="D42" i="19"/>
  <c r="D43" i="19"/>
  <c r="D44" i="19"/>
  <c r="D45" i="19"/>
  <c r="D46" i="19"/>
  <c r="D47" i="19"/>
  <c r="D48" i="19"/>
  <c r="D49" i="19"/>
  <c r="D50" i="19"/>
  <c r="D29" i="19"/>
  <c r="E22" i="19"/>
  <c r="F22" i="19"/>
  <c r="G22" i="19"/>
  <c r="H22" i="19"/>
  <c r="E23" i="19"/>
  <c r="F23" i="19"/>
  <c r="G23" i="19"/>
  <c r="H23" i="19"/>
  <c r="E24" i="19"/>
  <c r="F24" i="19"/>
  <c r="G24" i="19"/>
  <c r="H24" i="19"/>
  <c r="E25" i="19"/>
  <c r="F25" i="19"/>
  <c r="G25" i="19"/>
  <c r="H25" i="19"/>
  <c r="E26" i="19"/>
  <c r="F26" i="19"/>
  <c r="G26" i="19"/>
  <c r="H26" i="19"/>
  <c r="E27" i="19"/>
  <c r="F27" i="19"/>
  <c r="G27" i="19"/>
  <c r="H27" i="19"/>
  <c r="D23" i="19"/>
  <c r="D24" i="19"/>
  <c r="D25" i="19"/>
  <c r="D26" i="19"/>
  <c r="D27" i="19"/>
  <c r="D22" i="19"/>
  <c r="E15" i="19"/>
  <c r="F15" i="19"/>
  <c r="G15" i="19"/>
  <c r="H15" i="19"/>
  <c r="E16" i="19"/>
  <c r="F16" i="19"/>
  <c r="G16" i="19"/>
  <c r="H16" i="19"/>
  <c r="E17" i="19"/>
  <c r="F17" i="19"/>
  <c r="G17" i="19"/>
  <c r="H17" i="19"/>
  <c r="E18" i="19"/>
  <c r="F18" i="19"/>
  <c r="G18" i="19"/>
  <c r="H18" i="19"/>
  <c r="E19" i="19"/>
  <c r="F19" i="19"/>
  <c r="G19" i="19"/>
  <c r="H19" i="19"/>
  <c r="E20" i="19"/>
  <c r="F20" i="19"/>
  <c r="G20" i="19"/>
  <c r="H20" i="19"/>
  <c r="D16" i="19"/>
  <c r="D17" i="19"/>
  <c r="D18" i="19"/>
  <c r="D19" i="19"/>
  <c r="D20" i="19"/>
  <c r="D15" i="19"/>
  <c r="H14" i="19"/>
  <c r="G14" i="19"/>
  <c r="F14" i="19"/>
  <c r="E14" i="19"/>
  <c r="D14" i="19"/>
  <c r="D55" i="19"/>
  <c r="H51" i="19"/>
  <c r="G51" i="19"/>
  <c r="F51" i="19"/>
  <c r="E51" i="19"/>
  <c r="D51" i="19"/>
  <c r="H28" i="19"/>
  <c r="G28" i="19"/>
  <c r="F28" i="19"/>
  <c r="E28" i="19"/>
  <c r="D28" i="19"/>
  <c r="H21" i="19"/>
  <c r="G21" i="19"/>
  <c r="F21" i="19"/>
  <c r="E21" i="19"/>
  <c r="D21" i="19"/>
  <c r="H7" i="19"/>
  <c r="G7" i="19"/>
  <c r="F7" i="19"/>
  <c r="E7" i="19"/>
  <c r="D7" i="19"/>
  <c r="H6" i="19"/>
  <c r="G6" i="19"/>
  <c r="F6" i="19"/>
  <c r="E6" i="19"/>
  <c r="H5" i="19"/>
  <c r="H55" i="19"/>
  <c r="G5" i="19"/>
  <c r="G55" i="19"/>
  <c r="F5" i="19"/>
  <c r="F55" i="19"/>
  <c r="H4" i="19"/>
  <c r="G4" i="19"/>
  <c r="F4" i="19"/>
  <c r="B2" i="17"/>
  <c r="D14" i="17"/>
  <c r="D22" i="17"/>
  <c r="B10" i="24"/>
  <c r="I31" i="4"/>
  <c r="I30" i="4"/>
  <c r="J31" i="4"/>
  <c r="J30" i="4"/>
  <c r="I27" i="4"/>
  <c r="I26" i="4"/>
  <c r="I29" i="4"/>
  <c r="I28" i="4"/>
  <c r="J29" i="4"/>
  <c r="J28" i="4"/>
  <c r="J27" i="4"/>
  <c r="J26" i="4"/>
  <c r="M33" i="4"/>
  <c r="M32" i="4"/>
  <c r="L32" i="4"/>
  <c r="C90" i="22"/>
  <c r="E88" i="22"/>
  <c r="E87" i="22"/>
  <c r="G87" i="22"/>
  <c r="J78" i="22"/>
  <c r="L76" i="22"/>
  <c r="L75" i="22"/>
  <c r="N75" i="22"/>
  <c r="C78" i="22"/>
  <c r="E76" i="22"/>
  <c r="G76" i="22"/>
  <c r="E75" i="22"/>
  <c r="B69" i="22"/>
  <c r="L42" i="21"/>
  <c r="I42" i="21"/>
  <c r="M42" i="21"/>
  <c r="I39" i="21"/>
  <c r="M39" i="21"/>
  <c r="I41" i="21"/>
  <c r="M41" i="21"/>
  <c r="I40" i="21"/>
  <c r="M40" i="21"/>
  <c r="D7" i="15"/>
  <c r="B9" i="24"/>
  <c r="C6" i="15"/>
  <c r="C7" i="15"/>
  <c r="D13" i="15"/>
  <c r="C16" i="15"/>
  <c r="C12" i="15"/>
  <c r="C13" i="15"/>
  <c r="L41" i="21"/>
  <c r="L40" i="21"/>
  <c r="K31" i="4"/>
  <c r="D9" i="24"/>
  <c r="E9" i="24"/>
  <c r="N40" i="21"/>
  <c r="N42" i="21"/>
  <c r="L39" i="21"/>
  <c r="N41" i="21"/>
  <c r="C17" i="15"/>
  <c r="K30" i="4"/>
  <c r="K26" i="4"/>
  <c r="K28" i="4"/>
  <c r="K27" i="4"/>
  <c r="K29" i="4"/>
  <c r="F87" i="22"/>
  <c r="G88" i="22"/>
  <c r="G90" i="22"/>
  <c r="E90" i="22"/>
  <c r="M75" i="22"/>
  <c r="N76" i="22"/>
  <c r="N78" i="22"/>
  <c r="L78" i="22"/>
  <c r="E78" i="22"/>
  <c r="F76" i="22"/>
  <c r="G75" i="22"/>
  <c r="G78" i="22"/>
  <c r="N39" i="21"/>
  <c r="F88" i="22"/>
  <c r="F90" i="22"/>
  <c r="M76" i="22"/>
  <c r="M78" i="22"/>
  <c r="F75" i="22"/>
  <c r="F78" i="22"/>
  <c r="E81" i="4"/>
  <c r="E80" i="4"/>
  <c r="E79" i="4"/>
  <c r="I78" i="4"/>
  <c r="I77" i="4"/>
  <c r="J78" i="4"/>
  <c r="J77" i="4"/>
  <c r="I75" i="4"/>
  <c r="F74" i="4"/>
  <c r="K78" i="4"/>
  <c r="K77" i="4"/>
  <c r="S51" i="4"/>
  <c r="S69" i="4"/>
  <c r="O51" i="4"/>
  <c r="K51" i="4"/>
  <c r="K69" i="4"/>
  <c r="G51" i="4"/>
  <c r="G69" i="4"/>
  <c r="O55" i="4"/>
  <c r="M53" i="4"/>
  <c r="M52" i="4"/>
  <c r="O58" i="4"/>
  <c r="O57" i="4"/>
  <c r="O56" i="4"/>
  <c r="M54" i="4"/>
  <c r="J105" i="22"/>
  <c r="J36" i="4"/>
  <c r="C105" i="22"/>
  <c r="J35" i="4"/>
  <c r="M24" i="4"/>
  <c r="O24" i="4"/>
  <c r="F17" i="4"/>
  <c r="I19" i="4"/>
  <c r="K19" i="4"/>
  <c r="I18" i="4"/>
  <c r="K18" i="4"/>
  <c r="I17" i="4"/>
  <c r="I16" i="4"/>
  <c r="J17" i="4"/>
  <c r="J16" i="4"/>
  <c r="F16" i="4"/>
  <c r="M13" i="4"/>
  <c r="O13" i="4"/>
  <c r="M11" i="4"/>
  <c r="O11" i="4"/>
  <c r="M9" i="4"/>
  <c r="O9" i="4"/>
  <c r="K16" i="4"/>
  <c r="K17" i="4"/>
  <c r="O32" i="4"/>
  <c r="I53" i="21"/>
  <c r="M53" i="21"/>
  <c r="I52" i="21"/>
  <c r="M52" i="21"/>
  <c r="I51" i="21"/>
  <c r="L51" i="21"/>
  <c r="L26" i="21"/>
  <c r="M26" i="21"/>
  <c r="L37" i="21"/>
  <c r="M37" i="21"/>
  <c r="L74" i="21"/>
  <c r="M74" i="21"/>
  <c r="H17" i="17"/>
  <c r="G16" i="17"/>
  <c r="G17" i="17"/>
  <c r="L53" i="21"/>
  <c r="N74" i="21"/>
  <c r="N26" i="21"/>
  <c r="L52" i="21"/>
  <c r="N37" i="21"/>
  <c r="N53" i="21"/>
  <c r="M51" i="21"/>
  <c r="N52" i="21"/>
  <c r="N51" i="21"/>
  <c r="J155" i="22"/>
  <c r="L154" i="22"/>
  <c r="L153" i="22"/>
  <c r="N153" i="22"/>
  <c r="L152" i="22"/>
  <c r="C155" i="22"/>
  <c r="J75" i="4"/>
  <c r="K75" i="4"/>
  <c r="E154" i="22"/>
  <c r="E153" i="22"/>
  <c r="G153" i="22"/>
  <c r="E152" i="22"/>
  <c r="G152" i="22"/>
  <c r="L155" i="22"/>
  <c r="N152" i="22"/>
  <c r="M153" i="22"/>
  <c r="N154" i="22"/>
  <c r="M154" i="22"/>
  <c r="F152" i="22"/>
  <c r="F153" i="22"/>
  <c r="G154" i="22"/>
  <c r="G155" i="22"/>
  <c r="E155" i="22"/>
  <c r="I66" i="21"/>
  <c r="L66" i="21"/>
  <c r="J63" i="22"/>
  <c r="L62" i="22"/>
  <c r="N62" i="22"/>
  <c r="M62" i="22"/>
  <c r="L61" i="22"/>
  <c r="N61" i="22"/>
  <c r="M61" i="22"/>
  <c r="L60" i="22"/>
  <c r="N60" i="22"/>
  <c r="D23" i="23"/>
  <c r="B134" i="22"/>
  <c r="E140" i="22"/>
  <c r="G140" i="22"/>
  <c r="F140" i="22"/>
  <c r="L140" i="22"/>
  <c r="E141" i="22"/>
  <c r="L141" i="22"/>
  <c r="N141" i="22"/>
  <c r="E142" i="22"/>
  <c r="G142" i="22"/>
  <c r="F142" i="22"/>
  <c r="L142" i="22"/>
  <c r="B17" i="23"/>
  <c r="I10" i="23"/>
  <c r="E17" i="4"/>
  <c r="G17" i="4"/>
  <c r="D10" i="23"/>
  <c r="J143" i="22"/>
  <c r="F80" i="4"/>
  <c r="G80" i="4"/>
  <c r="C143" i="22"/>
  <c r="F81" i="4"/>
  <c r="G81" i="4"/>
  <c r="E42" i="23"/>
  <c r="D41" i="23"/>
  <c r="E74" i="4"/>
  <c r="G74" i="4"/>
  <c r="C74" i="4"/>
  <c r="E40" i="23"/>
  <c r="D25" i="23"/>
  <c r="E25" i="23"/>
  <c r="D24" i="23"/>
  <c r="E24" i="23"/>
  <c r="C43" i="23"/>
  <c r="E41" i="23"/>
  <c r="H26" i="23"/>
  <c r="F79" i="4"/>
  <c r="G79" i="4"/>
  <c r="J25" i="23"/>
  <c r="J24" i="23"/>
  <c r="K47" i="22"/>
  <c r="K46" i="22"/>
  <c r="K45" i="22"/>
  <c r="I21" i="4"/>
  <c r="D46" i="22"/>
  <c r="D45" i="22"/>
  <c r="K114" i="22"/>
  <c r="I38" i="4"/>
  <c r="K115" i="22"/>
  <c r="K127" i="22"/>
  <c r="K126" i="22"/>
  <c r="I40" i="4"/>
  <c r="D127" i="22"/>
  <c r="D126" i="22"/>
  <c r="I39" i="4"/>
  <c r="D115" i="22"/>
  <c r="D114" i="22"/>
  <c r="I37" i="4"/>
  <c r="D31" i="22"/>
  <c r="D30" i="22"/>
  <c r="I23" i="4"/>
  <c r="K23" i="4"/>
  <c r="D29" i="22"/>
  <c r="I22" i="4"/>
  <c r="K22" i="4"/>
  <c r="D104" i="22"/>
  <c r="D103" i="22"/>
  <c r="I35" i="4"/>
  <c r="K35" i="4"/>
  <c r="K104" i="22"/>
  <c r="K103" i="22"/>
  <c r="K102" i="22"/>
  <c r="I36" i="4"/>
  <c r="K36" i="4"/>
  <c r="K12" i="22"/>
  <c r="K11" i="22"/>
  <c r="K10" i="22"/>
  <c r="I15" i="4"/>
  <c r="D12" i="22"/>
  <c r="I14" i="4"/>
  <c r="D11" i="22"/>
  <c r="C26" i="23"/>
  <c r="F72" i="4"/>
  <c r="H12" i="17"/>
  <c r="G13" i="17"/>
  <c r="G12" i="17"/>
  <c r="F2" i="17"/>
  <c r="C24" i="17"/>
  <c r="C25" i="17"/>
  <c r="C26" i="17"/>
  <c r="C27" i="17"/>
  <c r="M65" i="4"/>
  <c r="O65" i="4"/>
  <c r="M50" i="4"/>
  <c r="O50" i="4"/>
  <c r="M44" i="4"/>
  <c r="B2" i="15"/>
  <c r="B95" i="22"/>
  <c r="B3" i="22"/>
  <c r="B2" i="22"/>
  <c r="B2" i="23"/>
  <c r="E8" i="21"/>
  <c r="C77" i="4"/>
  <c r="C31" i="17"/>
  <c r="M68" i="4"/>
  <c r="O68" i="4"/>
  <c r="E45" i="22"/>
  <c r="I20" i="4"/>
  <c r="E23" i="23"/>
  <c r="E26" i="23"/>
  <c r="I55" i="21"/>
  <c r="E72" i="4"/>
  <c r="G72" i="4"/>
  <c r="C72" i="4"/>
  <c r="C29" i="17"/>
  <c r="M66" i="4"/>
  <c r="O66" i="4"/>
  <c r="C30" i="17"/>
  <c r="M67" i="4"/>
  <c r="O67" i="4"/>
  <c r="N155" i="22"/>
  <c r="M66" i="21"/>
  <c r="N66" i="21"/>
  <c r="I69" i="21"/>
  <c r="C28" i="17"/>
  <c r="M152" i="22"/>
  <c r="M155" i="22"/>
  <c r="F154" i="22"/>
  <c r="F155" i="22"/>
  <c r="N63" i="22"/>
  <c r="M60" i="22"/>
  <c r="M63" i="22"/>
  <c r="L63" i="22"/>
  <c r="I27" i="21"/>
  <c r="G141" i="22"/>
  <c r="F141" i="22"/>
  <c r="M141" i="22"/>
  <c r="N142" i="22"/>
  <c r="M142" i="22"/>
  <c r="N140" i="22"/>
  <c r="M140" i="22"/>
  <c r="L143" i="22"/>
  <c r="I73" i="21"/>
  <c r="E143" i="22"/>
  <c r="I72" i="21"/>
  <c r="E43" i="23"/>
  <c r="J26" i="23"/>
  <c r="I71" i="21"/>
  <c r="D6" i="17"/>
  <c r="C13" i="17"/>
  <c r="M27" i="21"/>
  <c r="L27" i="21"/>
  <c r="L73" i="21"/>
  <c r="M73" i="21"/>
  <c r="L72" i="21"/>
  <c r="M72" i="21"/>
  <c r="L55" i="21"/>
  <c r="M55" i="21"/>
  <c r="L71" i="21"/>
  <c r="M71" i="21"/>
  <c r="G7" i="24"/>
  <c r="J7" i="24"/>
  <c r="I64" i="21"/>
  <c r="L69" i="21"/>
  <c r="M69" i="21"/>
  <c r="N143" i="22"/>
  <c r="M143" i="22"/>
  <c r="G143" i="22"/>
  <c r="F143" i="22"/>
  <c r="N73" i="21"/>
  <c r="I7" i="24"/>
  <c r="N72" i="21"/>
  <c r="N27" i="21"/>
  <c r="M64" i="21"/>
  <c r="L64" i="21"/>
  <c r="N71" i="21"/>
  <c r="N55" i="21"/>
  <c r="N69" i="21"/>
  <c r="H12" i="23"/>
  <c r="J11" i="23"/>
  <c r="J10" i="23"/>
  <c r="J9" i="23"/>
  <c r="C12" i="23"/>
  <c r="E11" i="23"/>
  <c r="E10" i="23"/>
  <c r="E9" i="23"/>
  <c r="C63" i="22"/>
  <c r="E62" i="22"/>
  <c r="G62" i="22"/>
  <c r="E61" i="22"/>
  <c r="E60" i="22"/>
  <c r="J48" i="22"/>
  <c r="J21" i="4"/>
  <c r="K21" i="4"/>
  <c r="L47" i="22"/>
  <c r="N47" i="22"/>
  <c r="L46" i="22"/>
  <c r="L45" i="22"/>
  <c r="N45" i="22"/>
  <c r="C48" i="22"/>
  <c r="J20" i="4"/>
  <c r="K20" i="4"/>
  <c r="E46" i="22"/>
  <c r="G46" i="22"/>
  <c r="G45" i="22"/>
  <c r="E29" i="22"/>
  <c r="G29" i="22"/>
  <c r="F29" i="22"/>
  <c r="C32" i="22"/>
  <c r="E31" i="22"/>
  <c r="G31" i="22"/>
  <c r="F31" i="22"/>
  <c r="E30" i="22"/>
  <c r="J129" i="22"/>
  <c r="J40" i="4"/>
  <c r="K40" i="4"/>
  <c r="L127" i="22"/>
  <c r="N127" i="22"/>
  <c r="M127" i="22"/>
  <c r="L126" i="22"/>
  <c r="C129" i="22"/>
  <c r="J39" i="4"/>
  <c r="K39" i="4"/>
  <c r="E127" i="22"/>
  <c r="E126" i="22"/>
  <c r="G126" i="22"/>
  <c r="C13" i="22"/>
  <c r="J13" i="22"/>
  <c r="J15" i="4"/>
  <c r="K15" i="4"/>
  <c r="J117" i="22"/>
  <c r="J38" i="4"/>
  <c r="K38" i="4"/>
  <c r="L115" i="22"/>
  <c r="L114" i="22"/>
  <c r="E114" i="22"/>
  <c r="G114" i="22"/>
  <c r="F114" i="22"/>
  <c r="C117" i="22"/>
  <c r="J37" i="4"/>
  <c r="K37" i="4"/>
  <c r="E115" i="22"/>
  <c r="G115" i="22"/>
  <c r="L104" i="22"/>
  <c r="N104" i="22"/>
  <c r="L102" i="22"/>
  <c r="N102" i="22"/>
  <c r="M102" i="22"/>
  <c r="L103" i="22"/>
  <c r="N103" i="22"/>
  <c r="E104" i="22"/>
  <c r="G104" i="22"/>
  <c r="E103" i="22"/>
  <c r="G103" i="22"/>
  <c r="L12" i="22"/>
  <c r="N12" i="22"/>
  <c r="M12" i="22"/>
  <c r="L11" i="22"/>
  <c r="N11" i="22"/>
  <c r="M11" i="22"/>
  <c r="L10" i="22"/>
  <c r="E12" i="22"/>
  <c r="G12" i="22"/>
  <c r="E11" i="22"/>
  <c r="G11" i="22"/>
  <c r="F11" i="22"/>
  <c r="C35" i="4"/>
  <c r="N64" i="21"/>
  <c r="E105" i="22"/>
  <c r="I44" i="21"/>
  <c r="E12" i="23"/>
  <c r="E16" i="4"/>
  <c r="G16" i="4"/>
  <c r="J12" i="23"/>
  <c r="G60" i="22"/>
  <c r="F60" i="22"/>
  <c r="E63" i="22"/>
  <c r="I28" i="21"/>
  <c r="G61" i="22"/>
  <c r="F62" i="22"/>
  <c r="L48" i="22"/>
  <c r="I31" i="21"/>
  <c r="M45" i="22"/>
  <c r="N46" i="22"/>
  <c r="M46" i="22"/>
  <c r="M47" i="22"/>
  <c r="F45" i="22"/>
  <c r="E48" i="22"/>
  <c r="I30" i="21"/>
  <c r="F46" i="22"/>
  <c r="L117" i="22"/>
  <c r="I47" i="21"/>
  <c r="N114" i="22"/>
  <c r="M114" i="22"/>
  <c r="G30" i="22"/>
  <c r="G32" i="22"/>
  <c r="E32" i="22"/>
  <c r="I33" i="21"/>
  <c r="L129" i="22"/>
  <c r="N126" i="22"/>
  <c r="F126" i="22"/>
  <c r="G127" i="22"/>
  <c r="G129" i="22"/>
  <c r="E129" i="22"/>
  <c r="I48" i="21"/>
  <c r="N115" i="22"/>
  <c r="F115" i="22"/>
  <c r="E117" i="22"/>
  <c r="I46" i="21"/>
  <c r="G117" i="22"/>
  <c r="L105" i="22"/>
  <c r="I45" i="21"/>
  <c r="M103" i="22"/>
  <c r="N105" i="22"/>
  <c r="M104" i="22"/>
  <c r="F103" i="22"/>
  <c r="G105" i="22"/>
  <c r="F104" i="22"/>
  <c r="M13" i="22"/>
  <c r="N13" i="22"/>
  <c r="L13" i="22"/>
  <c r="I14" i="21"/>
  <c r="F12" i="22"/>
  <c r="F13" i="22"/>
  <c r="G13" i="22"/>
  <c r="E13" i="22"/>
  <c r="B5" i="24"/>
  <c r="L45" i="21"/>
  <c r="M45" i="21"/>
  <c r="I49" i="21"/>
  <c r="C163" i="22"/>
  <c r="L47" i="21"/>
  <c r="M47" i="21"/>
  <c r="L31" i="21"/>
  <c r="M31" i="21"/>
  <c r="L33" i="21"/>
  <c r="M33" i="21"/>
  <c r="L14" i="21"/>
  <c r="M14" i="21"/>
  <c r="M46" i="21"/>
  <c r="L46" i="21"/>
  <c r="L48" i="21"/>
  <c r="M48" i="21"/>
  <c r="L30" i="21"/>
  <c r="M30" i="21"/>
  <c r="L28" i="21"/>
  <c r="M28" i="21"/>
  <c r="M44" i="21"/>
  <c r="L44" i="21"/>
  <c r="I25" i="21"/>
  <c r="B6" i="24"/>
  <c r="I32" i="21"/>
  <c r="D49" i="23"/>
  <c r="G63" i="22"/>
  <c r="N117" i="22"/>
  <c r="G48" i="22"/>
  <c r="F61" i="22"/>
  <c r="F63" i="22"/>
  <c r="N48" i="22"/>
  <c r="M48" i="22"/>
  <c r="F48" i="22"/>
  <c r="M115" i="22"/>
  <c r="M117" i="22"/>
  <c r="F30" i="22"/>
  <c r="F32" i="22"/>
  <c r="N129" i="22"/>
  <c r="M126" i="22"/>
  <c r="M129" i="22"/>
  <c r="F127" i="22"/>
  <c r="F129" i="22"/>
  <c r="F117" i="22"/>
  <c r="M105" i="22"/>
  <c r="F105" i="22"/>
  <c r="C164" i="22"/>
  <c r="N28" i="21"/>
  <c r="N48" i="21"/>
  <c r="N14" i="21"/>
  <c r="N33" i="21"/>
  <c r="N31" i="21"/>
  <c r="N30" i="21"/>
  <c r="D5" i="24"/>
  <c r="E5" i="24"/>
  <c r="N44" i="21"/>
  <c r="N46" i="21"/>
  <c r="L49" i="21"/>
  <c r="M49" i="21"/>
  <c r="N47" i="21"/>
  <c r="N45" i="21"/>
  <c r="M25" i="21"/>
  <c r="L25" i="21"/>
  <c r="M32" i="21"/>
  <c r="L32" i="21"/>
  <c r="E6" i="24"/>
  <c r="D6" i="24"/>
  <c r="H10" i="18"/>
  <c r="K11" i="18"/>
  <c r="Q11" i="18"/>
  <c r="Q12" i="18"/>
  <c r="G15" i="18"/>
  <c r="L13" i="18"/>
  <c r="J16" i="18"/>
  <c r="P11" i="18"/>
  <c r="M10" i="18"/>
  <c r="K10" i="18"/>
  <c r="G11" i="18"/>
  <c r="J11" i="18"/>
  <c r="M11" i="18"/>
  <c r="P12" i="18"/>
  <c r="N12" i="18"/>
  <c r="J12" i="18"/>
  <c r="L5" i="18"/>
  <c r="H7" i="18"/>
  <c r="K7" i="18"/>
  <c r="M7" i="18"/>
  <c r="P7" i="18"/>
  <c r="J7" i="18"/>
  <c r="H8" i="18"/>
  <c r="M6" i="18"/>
  <c r="T6" i="18"/>
  <c r="G8" i="18"/>
  <c r="H6" i="18"/>
  <c r="F16" i="18"/>
  <c r="I34" i="18"/>
  <c r="F15" i="18"/>
  <c r="I33" i="18"/>
  <c r="F14" i="18"/>
  <c r="I32" i="18"/>
  <c r="F10" i="18"/>
  <c r="I28" i="18"/>
  <c r="F12" i="18"/>
  <c r="I30" i="18"/>
  <c r="F11" i="18"/>
  <c r="I29" i="18"/>
  <c r="F74" i="21"/>
  <c r="E73" i="21"/>
  <c r="D73" i="21"/>
  <c r="E72" i="21"/>
  <c r="D72" i="21"/>
  <c r="E71" i="21"/>
  <c r="D71" i="21"/>
  <c r="E70" i="21"/>
  <c r="D70" i="21"/>
  <c r="E69" i="21"/>
  <c r="D69" i="21"/>
  <c r="E67" i="21"/>
  <c r="D67" i="21"/>
  <c r="E66" i="21"/>
  <c r="D66" i="21"/>
  <c r="E65" i="21"/>
  <c r="D65" i="21"/>
  <c r="E64" i="21"/>
  <c r="D64" i="21"/>
  <c r="F63" i="21"/>
  <c r="E62" i="21"/>
  <c r="D62" i="21"/>
  <c r="E61" i="21"/>
  <c r="D61" i="21"/>
  <c r="E60" i="21"/>
  <c r="D60" i="21"/>
  <c r="E59" i="21"/>
  <c r="D59" i="21"/>
  <c r="E58" i="21"/>
  <c r="D58" i="21"/>
  <c r="E57" i="21"/>
  <c r="D57" i="21"/>
  <c r="E56" i="21"/>
  <c r="D56" i="21"/>
  <c r="F55" i="21"/>
  <c r="E53" i="21"/>
  <c r="D53" i="21"/>
  <c r="E52" i="21"/>
  <c r="D52" i="21"/>
  <c r="E51" i="21"/>
  <c r="D51" i="21"/>
  <c r="F50" i="21"/>
  <c r="E49" i="21"/>
  <c r="D49" i="21"/>
  <c r="E48" i="21"/>
  <c r="D48" i="21"/>
  <c r="E47" i="21"/>
  <c r="D47" i="21"/>
  <c r="E46" i="21"/>
  <c r="D46" i="21"/>
  <c r="E45" i="21"/>
  <c r="D45" i="21"/>
  <c r="E44" i="21"/>
  <c r="E43" i="21"/>
  <c r="D44" i="21"/>
  <c r="F43" i="21"/>
  <c r="E42" i="21"/>
  <c r="D42" i="21"/>
  <c r="E41" i="21"/>
  <c r="D41" i="21"/>
  <c r="E40" i="21"/>
  <c r="D40" i="21"/>
  <c r="E39" i="21"/>
  <c r="D39" i="21"/>
  <c r="F38" i="21"/>
  <c r="E37" i="21"/>
  <c r="D37" i="21"/>
  <c r="E36" i="21"/>
  <c r="D36" i="21"/>
  <c r="E35" i="21"/>
  <c r="D35" i="21"/>
  <c r="E34" i="21"/>
  <c r="D34" i="21"/>
  <c r="F33" i="21"/>
  <c r="E32" i="21"/>
  <c r="D32" i="21"/>
  <c r="E31" i="21"/>
  <c r="D31" i="21"/>
  <c r="E30" i="21"/>
  <c r="D30" i="21"/>
  <c r="E29" i="21"/>
  <c r="D29" i="21"/>
  <c r="E28" i="21"/>
  <c r="D28" i="21"/>
  <c r="E27" i="21"/>
  <c r="D27" i="21"/>
  <c r="E26" i="21"/>
  <c r="D26" i="21"/>
  <c r="E25" i="21"/>
  <c r="D25" i="21"/>
  <c r="F24" i="21"/>
  <c r="E23" i="21"/>
  <c r="D23" i="21"/>
  <c r="E22" i="21"/>
  <c r="D22" i="21"/>
  <c r="E21" i="21"/>
  <c r="D21" i="21"/>
  <c r="E20" i="21"/>
  <c r="D20" i="21"/>
  <c r="E19" i="21"/>
  <c r="D19" i="21"/>
  <c r="E18" i="21"/>
  <c r="D18" i="21"/>
  <c r="E17" i="21"/>
  <c r="D17" i="21"/>
  <c r="E16" i="21"/>
  <c r="D16" i="21"/>
  <c r="E15" i="21"/>
  <c r="D15" i="21"/>
  <c r="F14" i="21"/>
  <c r="E9" i="21"/>
  <c r="E10" i="21"/>
  <c r="E11" i="21"/>
  <c r="E12" i="21"/>
  <c r="E13" i="21"/>
  <c r="D8" i="21"/>
  <c r="D9" i="21"/>
  <c r="F7" i="21"/>
  <c r="N7" i="18"/>
  <c r="S7" i="18"/>
  <c r="T7" i="18"/>
  <c r="M8" i="18"/>
  <c r="N8" i="18"/>
  <c r="P8" i="18"/>
  <c r="Q8" i="18"/>
  <c r="S8" i="18"/>
  <c r="T8" i="18"/>
  <c r="U9" i="18"/>
  <c r="S10" i="18"/>
  <c r="T10" i="18"/>
  <c r="S11" i="18"/>
  <c r="T11" i="18"/>
  <c r="S12" i="18"/>
  <c r="T12" i="18"/>
  <c r="G14" i="18"/>
  <c r="H14" i="18"/>
  <c r="J14" i="18"/>
  <c r="M14" i="18"/>
  <c r="N14" i="18"/>
  <c r="P14" i="18"/>
  <c r="Q14" i="18"/>
  <c r="S14" i="18"/>
  <c r="T14" i="18"/>
  <c r="J15" i="18"/>
  <c r="K15" i="18"/>
  <c r="M15" i="18"/>
  <c r="N15" i="18"/>
  <c r="P15" i="18"/>
  <c r="Q15" i="18"/>
  <c r="S15" i="18"/>
  <c r="T15" i="18"/>
  <c r="G16" i="18"/>
  <c r="D34" i="18"/>
  <c r="H16" i="18"/>
  <c r="K16" i="18"/>
  <c r="M16" i="18"/>
  <c r="N16" i="18"/>
  <c r="P16" i="18"/>
  <c r="Q16" i="18"/>
  <c r="S16" i="18"/>
  <c r="T16" i="18"/>
  <c r="A7" i="6"/>
  <c r="A6" i="6"/>
  <c r="A5" i="6"/>
  <c r="C7" i="19"/>
  <c r="C28" i="19"/>
  <c r="D6" i="6"/>
  <c r="D4" i="6" s="1"/>
  <c r="D10" i="6" s="1"/>
  <c r="C51" i="19"/>
  <c r="C21" i="19"/>
  <c r="F8" i="18"/>
  <c r="I26" i="18"/>
  <c r="C14" i="19"/>
  <c r="C5" i="18"/>
  <c r="D7" i="4"/>
  <c r="C6" i="18"/>
  <c r="D8" i="4"/>
  <c r="C7" i="18"/>
  <c r="D25" i="4"/>
  <c r="C8" i="18"/>
  <c r="C9" i="18"/>
  <c r="D42" i="4"/>
  <c r="C10" i="18"/>
  <c r="D43" i="4"/>
  <c r="C11" i="18"/>
  <c r="D51" i="4"/>
  <c r="C12" i="18"/>
  <c r="D59" i="4"/>
  <c r="C13" i="18"/>
  <c r="C14" i="18"/>
  <c r="D71" i="4"/>
  <c r="C15" i="18"/>
  <c r="D73" i="4"/>
  <c r="C16" i="18"/>
  <c r="D76" i="4"/>
  <c r="C17" i="18"/>
  <c r="E13" i="19"/>
  <c r="F13" i="19"/>
  <c r="G13" i="19"/>
  <c r="H13" i="19"/>
  <c r="D13" i="19"/>
  <c r="F6" i="18"/>
  <c r="I24" i="18"/>
  <c r="F9" i="19"/>
  <c r="G10" i="19"/>
  <c r="H11" i="19"/>
  <c r="E8" i="19"/>
  <c r="E12" i="19"/>
  <c r="D12" i="19"/>
  <c r="H8" i="19"/>
  <c r="H12" i="19"/>
  <c r="F8" i="19"/>
  <c r="G9" i="19"/>
  <c r="H10" i="19"/>
  <c r="F12" i="19"/>
  <c r="E9" i="19"/>
  <c r="D9" i="19"/>
  <c r="D8" i="19"/>
  <c r="F10" i="19"/>
  <c r="E11" i="19"/>
  <c r="G8" i="19"/>
  <c r="H9" i="19"/>
  <c r="F11" i="19"/>
  <c r="G12" i="19"/>
  <c r="E10" i="19"/>
  <c r="D10" i="19"/>
  <c r="G11" i="19"/>
  <c r="D11" i="19"/>
  <c r="E25" i="18"/>
  <c r="E14" i="21"/>
  <c r="E33" i="21"/>
  <c r="D38" i="21"/>
  <c r="D63" i="21"/>
  <c r="D68" i="21"/>
  <c r="E38" i="21"/>
  <c r="D55" i="21"/>
  <c r="D54" i="21"/>
  <c r="E63" i="21"/>
  <c r="D29" i="18"/>
  <c r="D33" i="21"/>
  <c r="D6" i="21"/>
  <c r="N49" i="21"/>
  <c r="D34" i="4"/>
  <c r="D70" i="4"/>
  <c r="D32" i="18"/>
  <c r="S13" i="18"/>
  <c r="D33" i="18"/>
  <c r="E28" i="18"/>
  <c r="E34" i="18"/>
  <c r="T13" i="18"/>
  <c r="N25" i="21"/>
  <c r="N32" i="21"/>
  <c r="E11" i="18"/>
  <c r="E15" i="18"/>
  <c r="E12" i="18"/>
  <c r="E16" i="18"/>
  <c r="D10" i="18"/>
  <c r="D14" i="18"/>
  <c r="D14" i="21"/>
  <c r="E24" i="21"/>
  <c r="D43" i="21"/>
  <c r="E55" i="21"/>
  <c r="D24" i="21"/>
  <c r="D50" i="21"/>
  <c r="E50" i="21"/>
  <c r="E14" i="18"/>
  <c r="D16" i="18"/>
  <c r="G34" i="18"/>
  <c r="E68" i="21"/>
  <c r="E6" i="18"/>
  <c r="D8" i="18"/>
  <c r="E8" i="18"/>
  <c r="D7" i="6"/>
  <c r="B7" i="6" s="1"/>
  <c r="D11" i="18"/>
  <c r="G29" i="18"/>
  <c r="D15" i="18"/>
  <c r="E10" i="18"/>
  <c r="D12" i="18"/>
  <c r="F7" i="18"/>
  <c r="I25" i="18"/>
  <c r="T9" i="18"/>
  <c r="F6" i="21"/>
  <c r="F5" i="21"/>
  <c r="S9" i="18"/>
  <c r="J13" i="18"/>
  <c r="M13" i="18"/>
  <c r="P13" i="18"/>
  <c r="Q13" i="18"/>
  <c r="R9" i="18"/>
  <c r="K8" i="18"/>
  <c r="E26" i="18"/>
  <c r="G7" i="18"/>
  <c r="D25" i="18"/>
  <c r="R5" i="18"/>
  <c r="Q7" i="18"/>
  <c r="T5" i="18"/>
  <c r="N6" i="18"/>
  <c r="N5" i="18"/>
  <c r="U5" i="18"/>
  <c r="I5" i="18"/>
  <c r="I9" i="18"/>
  <c r="H12" i="18"/>
  <c r="G12" i="18"/>
  <c r="D30" i="18"/>
  <c r="G30" i="18"/>
  <c r="H15" i="18"/>
  <c r="E33" i="18"/>
  <c r="G13" i="18"/>
  <c r="J8" i="18"/>
  <c r="D26" i="18"/>
  <c r="G26" i="18"/>
  <c r="O44" i="21"/>
  <c r="N10" i="18"/>
  <c r="O9" i="18"/>
  <c r="M12" i="18"/>
  <c r="M9" i="18"/>
  <c r="N13" i="18"/>
  <c r="O5" i="18"/>
  <c r="D10" i="21"/>
  <c r="F9" i="21"/>
  <c r="F8" i="21"/>
  <c r="M5" i="18"/>
  <c r="H5" i="18"/>
  <c r="J10" i="18"/>
  <c r="L9" i="18"/>
  <c r="K12" i="18"/>
  <c r="K9" i="18"/>
  <c r="H11" i="18"/>
  <c r="E29" i="18"/>
  <c r="Q10" i="18"/>
  <c r="Q6" i="18"/>
  <c r="I13" i="18"/>
  <c r="P10" i="18"/>
  <c r="P6" i="18"/>
  <c r="P5" i="18"/>
  <c r="K14" i="18"/>
  <c r="E32" i="18"/>
  <c r="N11" i="18"/>
  <c r="G10" i="18"/>
  <c r="S6" i="18"/>
  <c r="S5" i="18"/>
  <c r="K6" i="18"/>
  <c r="E24" i="18"/>
  <c r="G6" i="18"/>
  <c r="J6" i="18"/>
  <c r="J5" i="18"/>
  <c r="C6" i="19"/>
  <c r="D5" i="6"/>
  <c r="B5" i="6"/>
  <c r="G7" i="17"/>
  <c r="G6" i="17"/>
  <c r="G10" i="17"/>
  <c r="G9" i="17"/>
  <c r="H9" i="17"/>
  <c r="H6" i="17"/>
  <c r="C23" i="17"/>
  <c r="C21" i="17"/>
  <c r="C20" i="17"/>
  <c r="C19" i="17"/>
  <c r="C18" i="17"/>
  <c r="C17" i="17"/>
  <c r="C16" i="17"/>
  <c r="C15" i="17"/>
  <c r="C8" i="17"/>
  <c r="C9" i="17"/>
  <c r="C10" i="17"/>
  <c r="C11" i="17"/>
  <c r="C12" i="17"/>
  <c r="C7" i="17"/>
  <c r="D6" i="19"/>
  <c r="D6" i="18"/>
  <c r="H33" i="18"/>
  <c r="D5" i="21"/>
  <c r="Q5" i="18"/>
  <c r="F68" i="21"/>
  <c r="E6" i="21"/>
  <c r="E5" i="21"/>
  <c r="H29" i="18"/>
  <c r="H26" i="18"/>
  <c r="P44" i="21"/>
  <c r="D28" i="18"/>
  <c r="G28" i="18"/>
  <c r="E23" i="18"/>
  <c r="H24" i="18"/>
  <c r="P27" i="21"/>
  <c r="E31" i="18"/>
  <c r="H32" i="18"/>
  <c r="P55" i="21"/>
  <c r="D24" i="18"/>
  <c r="H34" i="18"/>
  <c r="P69" i="21"/>
  <c r="H28" i="18"/>
  <c r="P51" i="21"/>
  <c r="G33" i="18"/>
  <c r="G32" i="18"/>
  <c r="D31" i="18"/>
  <c r="D27" i="18"/>
  <c r="E30" i="18"/>
  <c r="H30" i="18"/>
  <c r="P53" i="21"/>
  <c r="O55" i="21"/>
  <c r="O53" i="21"/>
  <c r="P52" i="21"/>
  <c r="O52" i="21"/>
  <c r="E9" i="18"/>
  <c r="P37" i="21"/>
  <c r="O69" i="21"/>
  <c r="O72" i="21"/>
  <c r="O73" i="21"/>
  <c r="O71" i="21"/>
  <c r="D13" i="18"/>
  <c r="O45" i="21"/>
  <c r="O48" i="21"/>
  <c r="O46" i="21"/>
  <c r="O47" i="21"/>
  <c r="O49" i="21"/>
  <c r="P71" i="21"/>
  <c r="P73" i="21"/>
  <c r="P72" i="21"/>
  <c r="P66" i="21"/>
  <c r="P64" i="21"/>
  <c r="C7" i="6"/>
  <c r="E13" i="18"/>
  <c r="D9" i="18"/>
  <c r="D75" i="21"/>
  <c r="E54" i="21"/>
  <c r="F54" i="21"/>
  <c r="F75" i="21"/>
  <c r="G6" i="21"/>
  <c r="H14" i="17"/>
  <c r="E7" i="18"/>
  <c r="H25" i="18"/>
  <c r="D7" i="18"/>
  <c r="G25" i="18"/>
  <c r="C5" i="6"/>
  <c r="Q9" i="18"/>
  <c r="K13" i="18"/>
  <c r="H13" i="18"/>
  <c r="P9" i="18"/>
  <c r="J9" i="18"/>
  <c r="K5" i="18"/>
  <c r="N9" i="18"/>
  <c r="H9" i="18"/>
  <c r="G9" i="18"/>
  <c r="G5" i="18"/>
  <c r="R18" i="18"/>
  <c r="D11" i="21"/>
  <c r="F10" i="21"/>
  <c r="I18" i="18"/>
  <c r="U18" i="18"/>
  <c r="C5" i="19"/>
  <c r="C55" i="19"/>
  <c r="F17" i="18"/>
  <c r="G14" i="17"/>
  <c r="C14" i="17"/>
  <c r="C6" i="17"/>
  <c r="C22" i="17"/>
  <c r="M61" i="4"/>
  <c r="O61" i="4"/>
  <c r="M62" i="4"/>
  <c r="O62" i="4"/>
  <c r="M63" i="4"/>
  <c r="O63" i="4"/>
  <c r="M64" i="4"/>
  <c r="O64" i="4"/>
  <c r="M60" i="4"/>
  <c r="O60" i="4"/>
  <c r="M57" i="4"/>
  <c r="M58" i="4"/>
  <c r="M56" i="4"/>
  <c r="O53" i="4"/>
  <c r="O54" i="4"/>
  <c r="O52" i="4"/>
  <c r="M47" i="4"/>
  <c r="O47" i="4"/>
  <c r="M48" i="4"/>
  <c r="O48" i="4"/>
  <c r="O49" i="4"/>
  <c r="M46" i="4"/>
  <c r="O46" i="4"/>
  <c r="O45" i="4"/>
  <c r="O44" i="4"/>
  <c r="D32" i="17"/>
  <c r="O33" i="4"/>
  <c r="C26" i="4"/>
  <c r="P31" i="21"/>
  <c r="D4" i="19"/>
  <c r="D5" i="19"/>
  <c r="P30" i="21"/>
  <c r="L17" i="18"/>
  <c r="E18" i="18"/>
  <c r="P25" i="21"/>
  <c r="P32" i="21"/>
  <c r="P28" i="21"/>
  <c r="P45" i="21"/>
  <c r="P49" i="21"/>
  <c r="P14" i="21"/>
  <c r="P46" i="21"/>
  <c r="Q46" i="21"/>
  <c r="P48" i="21"/>
  <c r="Q48" i="21"/>
  <c r="P33" i="21"/>
  <c r="E27" i="18"/>
  <c r="P47" i="21"/>
  <c r="Q47" i="21"/>
  <c r="Q53" i="21"/>
  <c r="O41" i="21"/>
  <c r="P42" i="21"/>
  <c r="P40" i="21"/>
  <c r="O42" i="21"/>
  <c r="O40" i="21"/>
  <c r="P39" i="21"/>
  <c r="P41" i="21"/>
  <c r="O39" i="21"/>
  <c r="Q49" i="21"/>
  <c r="B7" i="24"/>
  <c r="I7" i="21"/>
  <c r="G5" i="24"/>
  <c r="O69" i="4"/>
  <c r="Q55" i="21"/>
  <c r="C44" i="4"/>
  <c r="C60" i="4"/>
  <c r="C52" i="4"/>
  <c r="G31" i="18"/>
  <c r="H27" i="18"/>
  <c r="H31" i="18"/>
  <c r="G27" i="18"/>
  <c r="G24" i="18"/>
  <c r="D23" i="18"/>
  <c r="Q52" i="21"/>
  <c r="O51" i="21"/>
  <c r="Q73" i="21"/>
  <c r="Q69" i="21"/>
  <c r="Q45" i="21"/>
  <c r="D5" i="18"/>
  <c r="E5" i="18"/>
  <c r="H23" i="18"/>
  <c r="Q44" i="21"/>
  <c r="Q71" i="21"/>
  <c r="G6" i="24"/>
  <c r="C35" i="17"/>
  <c r="B8" i="24"/>
  <c r="O66" i="21"/>
  <c r="Q66" i="21"/>
  <c r="O64" i="21"/>
  <c r="F9" i="18"/>
  <c r="F13" i="18"/>
  <c r="Q72" i="21"/>
  <c r="E75" i="21"/>
  <c r="C32" i="17"/>
  <c r="G50" i="21"/>
  <c r="G54" i="21"/>
  <c r="G38" i="21"/>
  <c r="G74" i="21"/>
  <c r="G43" i="21"/>
  <c r="G63" i="21"/>
  <c r="G68" i="21"/>
  <c r="G55" i="21"/>
  <c r="G5" i="21"/>
  <c r="S18" i="18"/>
  <c r="G4" i="20"/>
  <c r="T18" i="18"/>
  <c r="G5" i="20"/>
  <c r="N18" i="18"/>
  <c r="E5" i="20"/>
  <c r="H18" i="18"/>
  <c r="C5" i="20"/>
  <c r="G18" i="18"/>
  <c r="C4" i="20"/>
  <c r="Q18" i="18"/>
  <c r="F5" i="20"/>
  <c r="O18" i="18"/>
  <c r="P18" i="18"/>
  <c r="F4" i="20"/>
  <c r="M18" i="18"/>
  <c r="E4" i="20"/>
  <c r="F11" i="21"/>
  <c r="D12" i="21"/>
  <c r="I35" i="18"/>
  <c r="L18" i="18"/>
  <c r="E4" i="19"/>
  <c r="E7" i="24"/>
  <c r="D7" i="24"/>
  <c r="Q40" i="21"/>
  <c r="Q41" i="21"/>
  <c r="M7" i="21"/>
  <c r="P7" i="21"/>
  <c r="L7" i="21"/>
  <c r="N7" i="21"/>
  <c r="Q39" i="21"/>
  <c r="Q42" i="21"/>
  <c r="C42" i="4"/>
  <c r="G23" i="18"/>
  <c r="O31" i="21"/>
  <c r="Q31" i="21"/>
  <c r="O14" i="21"/>
  <c r="O37" i="21"/>
  <c r="Q37" i="21"/>
  <c r="O7" i="21"/>
  <c r="O27" i="21"/>
  <c r="Q27" i="21"/>
  <c r="O30" i="21"/>
  <c r="Q30" i="21"/>
  <c r="O28" i="21"/>
  <c r="Q28" i="21"/>
  <c r="O32" i="21"/>
  <c r="Q32" i="21"/>
  <c r="O33" i="21"/>
  <c r="Q33" i="21"/>
  <c r="O25" i="21"/>
  <c r="Q25" i="21"/>
  <c r="I31" i="18"/>
  <c r="I27" i="18"/>
  <c r="Q51" i="21"/>
  <c r="Q64" i="21"/>
  <c r="J6" i="24"/>
  <c r="I6" i="24"/>
  <c r="D18" i="18"/>
  <c r="E8" i="24"/>
  <c r="D8" i="24"/>
  <c r="F5" i="18"/>
  <c r="C36" i="17"/>
  <c r="C14" i="24"/>
  <c r="C59" i="19"/>
  <c r="G75" i="21"/>
  <c r="E6" i="20"/>
  <c r="D13" i="21"/>
  <c r="F13" i="21"/>
  <c r="F12" i="21"/>
  <c r="C6" i="20"/>
  <c r="G6" i="20"/>
  <c r="F6" i="20"/>
  <c r="I28" i="19"/>
  <c r="I21" i="19"/>
  <c r="I55" i="19"/>
  <c r="I14" i="19"/>
  <c r="I4" i="19"/>
  <c r="I51" i="19"/>
  <c r="I7" i="19"/>
  <c r="I6" i="19"/>
  <c r="I5" i="19"/>
  <c r="E95" i="4"/>
  <c r="E94" i="4"/>
  <c r="E93" i="4"/>
  <c r="E92" i="4"/>
  <c r="E91" i="4"/>
  <c r="E90" i="4"/>
  <c r="E89" i="4"/>
  <c r="E88" i="4"/>
  <c r="E87" i="4"/>
  <c r="E86" i="4"/>
  <c r="E85" i="4"/>
  <c r="E96" i="4"/>
  <c r="G96" i="4"/>
  <c r="F89" i="4"/>
  <c r="F90" i="4"/>
  <c r="F91" i="4"/>
  <c r="F92" i="4"/>
  <c r="F93" i="4"/>
  <c r="F94" i="4"/>
  <c r="F95" i="4"/>
  <c r="F10" i="16"/>
  <c r="F88" i="4"/>
  <c r="F87" i="4"/>
  <c r="F86" i="4"/>
  <c r="F85" i="4"/>
  <c r="F15" i="16"/>
  <c r="F14" i="16"/>
  <c r="F13" i="16"/>
  <c r="F12" i="16"/>
  <c r="F11" i="16"/>
  <c r="F9" i="16"/>
  <c r="F8" i="16"/>
  <c r="F6" i="16"/>
  <c r="F5" i="16"/>
  <c r="F4" i="16"/>
  <c r="E7" i="16"/>
  <c r="D7" i="16"/>
  <c r="C7" i="16"/>
  <c r="E5" i="19"/>
  <c r="E55" i="19"/>
  <c r="E35" i="18"/>
  <c r="K18" i="18"/>
  <c r="D5" i="20"/>
  <c r="H5" i="20"/>
  <c r="D35" i="18"/>
  <c r="J18" i="18"/>
  <c r="D4" i="20"/>
  <c r="Q7" i="21"/>
  <c r="Q14" i="21"/>
  <c r="I23" i="18"/>
  <c r="F18" i="18"/>
  <c r="I75" i="21"/>
  <c r="G89" i="4"/>
  <c r="C96" i="4"/>
  <c r="F7" i="16"/>
  <c r="F17" i="16"/>
  <c r="S76" i="4"/>
  <c r="O76" i="4"/>
  <c r="K76" i="4"/>
  <c r="G76" i="4"/>
  <c r="I36" i="18"/>
  <c r="D6" i="20"/>
  <c r="H6" i="20"/>
  <c r="C7" i="20"/>
  <c r="H4" i="20"/>
  <c r="E36" i="18"/>
  <c r="H36" i="18"/>
  <c r="H35" i="18"/>
  <c r="P74" i="21"/>
  <c r="G35" i="18"/>
  <c r="O74" i="21"/>
  <c r="D36" i="18"/>
  <c r="G36" i="18"/>
  <c r="B11" i="24"/>
  <c r="G8" i="24"/>
  <c r="C100" i="4"/>
  <c r="L75" i="21"/>
  <c r="B12" i="24"/>
  <c r="D10" i="24"/>
  <c r="E10" i="24"/>
  <c r="G10" i="24"/>
  <c r="I5" i="24"/>
  <c r="J5" i="24"/>
  <c r="F7" i="20"/>
  <c r="G7" i="20"/>
  <c r="H7" i="20"/>
  <c r="D7" i="20"/>
  <c r="E7" i="20"/>
  <c r="Q74" i="21"/>
  <c r="J8" i="24"/>
  <c r="I8" i="24"/>
  <c r="I10" i="24"/>
  <c r="E12" i="24"/>
  <c r="J10" i="24"/>
  <c r="E11" i="24"/>
  <c r="D11" i="24"/>
  <c r="D12" i="24"/>
  <c r="C15" i="24"/>
  <c r="P75" i="21"/>
  <c r="M75" i="21"/>
  <c r="N75" i="21"/>
  <c r="C99" i="4"/>
  <c r="C57" i="19"/>
  <c r="C58" i="19"/>
  <c r="O75" i="21"/>
  <c r="Q75" i="21"/>
  <c r="K14" i="4"/>
  <c r="C9" i="4"/>
  <c r="C7" i="4"/>
  <c r="S34" i="4"/>
  <c r="S41" i="4"/>
  <c r="O34" i="4"/>
  <c r="O41" i="4"/>
  <c r="K34" i="4"/>
  <c r="K41" i="4"/>
  <c r="G34" i="4"/>
  <c r="G88" i="4"/>
  <c r="S73" i="4"/>
  <c r="O73" i="4"/>
  <c r="K73" i="4"/>
  <c r="K82" i="4"/>
  <c r="G73" i="4"/>
  <c r="G82" i="4"/>
  <c r="G95" i="4"/>
  <c r="C95" i="4"/>
  <c r="G94" i="4"/>
  <c r="C94" i="4"/>
  <c r="G86" i="4"/>
  <c r="C86" i="4"/>
  <c r="G93" i="4"/>
  <c r="C93" i="4"/>
  <c r="G92" i="4"/>
  <c r="G91" i="4"/>
  <c r="G90" i="4"/>
  <c r="G87" i="4"/>
  <c r="C87" i="4"/>
  <c r="G85" i="4"/>
  <c r="S82" i="4"/>
  <c r="G97" i="4"/>
  <c r="C88" i="4"/>
  <c r="K83" i="4"/>
  <c r="K97" i="4"/>
  <c r="S97" i="4"/>
  <c r="O97" i="4"/>
  <c r="C85" i="4"/>
  <c r="G41" i="4"/>
  <c r="G83" i="4"/>
  <c r="O83" i="4"/>
  <c r="S83" i="4"/>
  <c r="C70" i="4"/>
  <c r="C84" i="4"/>
  <c r="C4" i="4"/>
  <c r="B6" i="6" l="1"/>
  <c r="B4" i="6" s="1"/>
  <c r="B10" i="6" s="1"/>
  <c r="C6" i="6"/>
  <c r="C4" i="6" s="1"/>
  <c r="C10" i="6" s="1"/>
  <c r="E9" i="6"/>
  <c r="E6" i="6"/>
  <c r="E5" i="6"/>
  <c r="E7" i="6"/>
  <c r="E4" i="6"/>
  <c r="E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000-000001000000}">
      <text>
        <r>
          <rPr>
            <b/>
            <sz val="9"/>
            <color indexed="81"/>
            <rFont val="Tahoma"/>
            <family val="2"/>
          </rPr>
          <t>El costo Total incluye el IVA para aquellos item que el rpgrama reconoce el impuesto</t>
        </r>
        <r>
          <rPr>
            <sz val="9"/>
            <color indexed="81"/>
            <rFont val="Tahoma"/>
            <family val="2"/>
          </rPr>
          <t xml:space="preserve">
</t>
        </r>
      </text>
    </comment>
  </commentList>
</comments>
</file>

<file path=xl/sharedStrings.xml><?xml version="1.0" encoding="utf-8"?>
<sst xmlns="http://schemas.openxmlformats.org/spreadsheetml/2006/main" count="983" uniqueCount="438">
  <si>
    <t>PRESUPUESTO DETALLADO</t>
  </si>
  <si>
    <t>Plan Operativo Detallado</t>
  </si>
  <si>
    <t>En Miles de Dólares</t>
  </si>
  <si>
    <t>Proyecto Total</t>
  </si>
  <si>
    <t>PROGRAMA DE MEJORA DE LA CAPACIDAD DE 
GESTIÓN DE LA AFIP
AR-L1282</t>
  </si>
  <si>
    <t>Actividades</t>
  </si>
  <si>
    <t>Consultorías Individuales</t>
  </si>
  <si>
    <t>Consultorías Firmas</t>
  </si>
  <si>
    <t>Bienes</t>
  </si>
  <si>
    <t>Servicios diferentes de Consultorías</t>
  </si>
  <si>
    <t>Descripción</t>
  </si>
  <si>
    <t>Valor Unitario</t>
  </si>
  <si>
    <t>Cantidad</t>
  </si>
  <si>
    <t>Total</t>
  </si>
  <si>
    <t>Compoenente 1</t>
  </si>
  <si>
    <t>Subcomponente 1.1.</t>
  </si>
  <si>
    <t>Reforma del Sistema de Cuentas Tributarias</t>
  </si>
  <si>
    <r>
      <rPr>
        <sz val="11"/>
        <color theme="1"/>
        <rFont val="Calibri"/>
        <family val="2"/>
        <scheme val="minor"/>
      </rPr>
      <t xml:space="preserve">Reingeniería Sistema de Cuentas Tributarias (CUT) – </t>
    </r>
    <r>
      <rPr>
        <i/>
        <sz val="11"/>
        <color theme="1"/>
        <rFont val="Calibri"/>
        <family val="2"/>
        <scheme val="minor"/>
      </rPr>
      <t>FrontEnd</t>
    </r>
  </si>
  <si>
    <t xml:space="preserve">Reingeniería Aplicativos Web </t>
  </si>
  <si>
    <r>
      <rPr>
        <i/>
        <sz val="11"/>
        <color theme="1"/>
        <rFont val="Calibri"/>
        <family val="2"/>
        <scheme val="minor"/>
      </rPr>
      <t>Porting</t>
    </r>
    <r>
      <rPr>
        <sz val="11"/>
        <color theme="1"/>
        <rFont val="Calibri"/>
        <family val="2"/>
        <scheme val="minor"/>
      </rPr>
      <t xml:space="preserve"> aplicaciones interactivas SIM. </t>
    </r>
    <r>
      <rPr>
        <i/>
        <sz val="11"/>
        <color theme="1"/>
        <rFont val="Calibri"/>
        <family val="2"/>
        <scheme val="minor"/>
      </rPr>
      <t>Porting</t>
    </r>
    <r>
      <rPr>
        <sz val="11"/>
        <color theme="1"/>
        <rFont val="Calibri"/>
        <family val="2"/>
        <scheme val="minor"/>
      </rPr>
      <t xml:space="preserve"> de un entorno informático que hoy usa </t>
    </r>
    <r>
      <rPr>
        <i/>
        <sz val="11"/>
        <color theme="1"/>
        <rFont val="Calibri"/>
        <family val="2"/>
        <scheme val="minor"/>
      </rPr>
      <t>applets</t>
    </r>
    <r>
      <rPr>
        <sz val="11"/>
        <color theme="1"/>
        <rFont val="Calibri"/>
        <family val="2"/>
        <scheme val="minor"/>
      </rPr>
      <t xml:space="preserve"> Java (que ya no son soportados por los browsers modernos) a un entorno web puro (.Net con C#)</t>
    </r>
  </si>
  <si>
    <r>
      <rPr>
        <sz val="11"/>
        <color theme="1"/>
        <rFont val="Calibri"/>
        <family val="2"/>
        <scheme val="minor"/>
      </rPr>
      <t xml:space="preserve">Desarrollo de transacciones interactivas. Desarrollo de todas las transacciones interactivas que hoy se ejecutan como </t>
    </r>
    <r>
      <rPr>
        <i/>
        <sz val="11"/>
        <color theme="1"/>
        <rFont val="Calibri"/>
        <family val="2"/>
        <scheme val="minor"/>
      </rPr>
      <t>Forms</t>
    </r>
    <r>
      <rPr>
        <sz val="11"/>
        <color theme="1"/>
        <rFont val="Calibri"/>
        <family val="2"/>
        <scheme val="minor"/>
      </rPr>
      <t xml:space="preserve"> Web en un nuevo entorno informático</t>
    </r>
  </si>
  <si>
    <t>Adecuaciones del FrontEnd de sistemas principales y reingeniería de aplicativos Web para el sistema de seguridad social</t>
  </si>
  <si>
    <t>Actualización de los Sistemas de Informática Tributaria</t>
  </si>
  <si>
    <r>
      <t xml:space="preserve">Desarrollo y Reingeniería de Sistemas Tributarios
1. Aplicativos WEB - Reingenieria MAW
2. Reingeniería Aplicaciones sistemas tributarios
</t>
    </r>
    <r>
      <rPr>
        <u/>
        <sz val="11"/>
        <color rgb="FF000000"/>
        <rFont val="Calibri"/>
        <family val="2"/>
        <scheme val="minor"/>
      </rPr>
      <t xml:space="preserve">Perfiles y Dotación de RRHH Requeridos: </t>
    </r>
    <r>
      <rPr>
        <sz val="11"/>
        <color rgb="FF000000"/>
        <rFont val="Calibri"/>
        <family val="2"/>
        <scheme val="minor"/>
      </rPr>
      <t xml:space="preserve">
Desarrolladores:     5
Tesler:                            1</t>
    </r>
  </si>
  <si>
    <r>
      <t xml:space="preserve">Desarrollo y Actualización de Sistemas de Informática Tributaria
1. Registro Unico Tributario
2. Sistema de Ingresos Directos
3. Reingenieria de Datamart MATT
4. SIAP Reingenieria
5. OSIRIS
6. AcreTa (Acreditaciones Tardias)
7. MulAT (Multiples Administraciones Tributarias)
</t>
    </r>
    <r>
      <rPr>
        <u/>
        <sz val="11"/>
        <color theme="1"/>
        <rFont val="Calibri"/>
        <family val="2"/>
        <scheme val="minor"/>
      </rPr>
      <t xml:space="preserve">Perfiles y Dotación de RRHH:
</t>
    </r>
    <r>
      <rPr>
        <sz val="11"/>
        <color theme="1"/>
        <rFont val="Calibri"/>
        <family val="2"/>
        <scheme val="minor"/>
      </rPr>
      <t>Analistas:                    1
Desarrolladores:     10
Tesler:                           4</t>
    </r>
  </si>
  <si>
    <t>Desarrollo e implementación de sistemas de fiscalización y perfil de riesgo</t>
  </si>
  <si>
    <r>
      <t xml:space="preserve">Desarrollo de un Sistema de Perfil de Riesgo
</t>
    </r>
    <r>
      <rPr>
        <u/>
        <sz val="11"/>
        <color rgb="FF000000"/>
        <rFont val="Calibri"/>
        <family val="2"/>
        <scheme val="minor"/>
      </rPr>
      <t>Perfiles y Dotación de RRHH:</t>
    </r>
    <r>
      <rPr>
        <sz val="11"/>
        <color rgb="FF000000"/>
        <rFont val="Calibri"/>
        <family val="2"/>
        <scheme val="minor"/>
      </rPr>
      <t xml:space="preserve">
Desarrollador:            1</t>
    </r>
  </si>
  <si>
    <r>
      <t xml:space="preserve">Mejora en el acceso a información para análisis de riesgo y control de la tributación en transacciones internacionales y Desarrollo de Sistemas de selección de casos para fiscalización
</t>
    </r>
    <r>
      <rPr>
        <u/>
        <sz val="11"/>
        <color theme="1"/>
        <rFont val="Calibri"/>
        <family val="2"/>
        <scheme val="minor"/>
      </rPr>
      <t xml:space="preserve">
Perfiles y Dotación de RHH:
</t>
    </r>
    <r>
      <rPr>
        <sz val="11"/>
        <color theme="1"/>
        <rFont val="Calibri"/>
        <family val="2"/>
        <scheme val="minor"/>
      </rPr>
      <t>Analistas:                   8
Desarrolladores:       8
Tester:                         1</t>
    </r>
  </si>
  <si>
    <r>
      <t xml:space="preserve">Desarrollo e Implmentación de un sistema integral de gestiòn de solicitudes de devolución o reintegro de impuestos
</t>
    </r>
    <r>
      <rPr>
        <u/>
        <sz val="11"/>
        <color rgb="FF000000"/>
        <rFont val="Calibri"/>
        <family val="2"/>
        <scheme val="minor"/>
      </rPr>
      <t>Perfiles y Dotación de RRHH:</t>
    </r>
    <r>
      <rPr>
        <sz val="11"/>
        <color rgb="FF000000"/>
        <rFont val="Calibri"/>
        <family val="2"/>
        <scheme val="minor"/>
      </rPr>
      <t xml:space="preserve">
Desarrollador:            2</t>
    </r>
  </si>
  <si>
    <r>
      <t xml:space="preserve">Reingeniería Sistema eFisco y  Reiengeniería de Sistema de seguimiento de fiscalizaciones -SEFI-
</t>
    </r>
    <r>
      <rPr>
        <u/>
        <sz val="11"/>
        <color theme="1"/>
        <rFont val="Calibri"/>
        <family val="2"/>
        <scheme val="minor"/>
      </rPr>
      <t xml:space="preserve">
Perfiles y Dotación de RHH:</t>
    </r>
    <r>
      <rPr>
        <sz val="11"/>
        <color theme="1"/>
        <rFont val="Calibri"/>
        <family val="2"/>
        <scheme val="minor"/>
      </rPr>
      <t xml:space="preserve">
Analistas:                   1
Desarrolladores:       5
Tester:                          2
</t>
    </r>
  </si>
  <si>
    <r>
      <t xml:space="preserve">Analisis Sectoriales:
1. Regímenes de control de la cadena comercial del ganado bovino, porcino y sector avícola
2. Regímenes de control de la cadena comercial de granos
3. Regímenes de control de la cadena comercial de algodón
4.Regímenes de control del sector financiero
</t>
    </r>
    <r>
      <rPr>
        <u/>
        <sz val="11"/>
        <color theme="1"/>
        <rFont val="Calibri"/>
        <family val="2"/>
        <scheme val="minor"/>
      </rPr>
      <t>Perfiles y Dotación de RHH:</t>
    </r>
    <r>
      <rPr>
        <sz val="11"/>
        <color theme="1"/>
        <rFont val="Calibri"/>
        <family val="2"/>
        <scheme val="minor"/>
      </rPr>
      <t xml:space="preserve">
Analistas:                    1
Desarrolladores:     5</t>
    </r>
  </si>
  <si>
    <r>
      <t xml:space="preserve">Reingeniería de Sistemas de Registración y Facturación
</t>
    </r>
    <r>
      <rPr>
        <u/>
        <sz val="11"/>
        <color theme="1"/>
        <rFont val="Calibri"/>
        <family val="2"/>
        <scheme val="minor"/>
      </rPr>
      <t>Perfiles y Dotación de RHH:</t>
    </r>
    <r>
      <rPr>
        <sz val="11"/>
        <color theme="1"/>
        <rFont val="Calibri"/>
        <family val="2"/>
        <scheme val="minor"/>
      </rPr>
      <t xml:space="preserve">
Analistas:                    1
Desarrolladores:     4
Tester:                          1</t>
    </r>
  </si>
  <si>
    <t>Desarrollo e implementación de sistemas de seguimiento jurídico</t>
  </si>
  <si>
    <r>
      <t xml:space="preserve">Sistema de Seguimiento Juríduco
1. Nuevo Sistema de Cobranza Coactiva (ex SIRAEF - SOJ)
2. Sistema de Gestion Judicial - Modulo Penal (ex SCP)
3. Sistema de Gestion Judicial - Modulo Contencioso No Tributario (ex QUAESTOR)
</t>
    </r>
    <r>
      <rPr>
        <u/>
        <sz val="11"/>
        <color theme="1"/>
        <rFont val="Calibri"/>
        <family val="2"/>
        <scheme val="minor"/>
      </rPr>
      <t xml:space="preserve">Perfiles y Dotación de RHH:
</t>
    </r>
    <r>
      <rPr>
        <sz val="11"/>
        <color theme="1"/>
        <rFont val="Calibri"/>
        <family val="2"/>
        <scheme val="minor"/>
      </rPr>
      <t>Analistas:                    1
Desarrolladores:      2
Tester:                          1</t>
    </r>
  </si>
  <si>
    <t xml:space="preserve">Consolidación del acervo tecnológico y capacitación de nuevas tecnologías </t>
  </si>
  <si>
    <t>Adquisición de licencias para minería de datos, Analytics, desarrollo de interfaces con bases de datos existentes, motor de inferencia para cruces y extracción.</t>
  </si>
  <si>
    <t>Subcomponente 1.2</t>
  </si>
  <si>
    <t>Modelo Integral de Riesgo</t>
  </si>
  <si>
    <r>
      <t xml:space="preserve">Modelo Integral de Riesgo
1. Desarrollo de un Modelo Integral de Riesgo
</t>
    </r>
    <r>
      <rPr>
        <u/>
        <sz val="11"/>
        <color rgb="FF000000"/>
        <rFont val="Calibri"/>
        <family val="2"/>
        <scheme val="minor"/>
      </rPr>
      <t>Perfiles y Dotación de RHH:</t>
    </r>
    <r>
      <rPr>
        <sz val="11"/>
        <color rgb="FF000000"/>
        <rFont val="Calibri"/>
        <family val="2"/>
        <scheme val="minor"/>
      </rPr>
      <t xml:space="preserve">
Analistas:                    8
Desarrolladores:      18</t>
    </r>
  </si>
  <si>
    <t>Actualización del SIM</t>
  </si>
  <si>
    <r>
      <t xml:space="preserve">Actualización del SIM
1. Actualizacion del SIM
</t>
    </r>
    <r>
      <rPr>
        <u/>
        <sz val="11"/>
        <color rgb="FF000000"/>
        <rFont val="Calibri"/>
        <family val="2"/>
        <scheme val="minor"/>
      </rPr>
      <t>Perfiles y Dotación de RHH:</t>
    </r>
    <r>
      <rPr>
        <sz val="11"/>
        <color rgb="FF000000"/>
        <rFont val="Calibri"/>
        <family val="2"/>
        <scheme val="minor"/>
      </rPr>
      <t xml:space="preserve">
Analistas:                    15
Desarrolladores:      17</t>
    </r>
  </si>
  <si>
    <r>
      <t xml:space="preserve">Sistema de Atenci{on de Frontera
1. Nuevo Modelo de Atención de Frontera
</t>
    </r>
    <r>
      <rPr>
        <u/>
        <sz val="11"/>
        <color rgb="FF000000"/>
        <rFont val="Calibri"/>
        <family val="2"/>
        <scheme val="minor"/>
      </rPr>
      <t>Perfiles y Dotación de RHH:</t>
    </r>
    <r>
      <rPr>
        <sz val="11"/>
        <color rgb="FF000000"/>
        <rFont val="Calibri"/>
        <family val="2"/>
        <scheme val="minor"/>
      </rPr>
      <t xml:space="preserve">
Analistas:                     6
Desarrolladores:      5</t>
    </r>
  </si>
  <si>
    <t>Conectividad de Puertos Operativos</t>
  </si>
  <si>
    <t>Infraestructura operativa y en comunicación</t>
  </si>
  <si>
    <t>Adecuaciones de infraestructura local para garantizar la operación de los equipos a incorporar, y el desarrollo de interfaces de equipamiento específico con el SIM</t>
  </si>
  <si>
    <t>Subcomponente I.3.</t>
  </si>
  <si>
    <t xml:space="preserve">DDJJ Web Régimen General de Empleadores para grandes contribuyentes </t>
  </si>
  <si>
    <r>
      <t xml:space="preserve">Desarrollo y adecuación del Sistema de DDJJ Web Régimen General de Empleadores para grandes contribuyentes
</t>
    </r>
    <r>
      <rPr>
        <u/>
        <sz val="11"/>
        <color theme="1"/>
        <rFont val="Calibri"/>
        <family val="2"/>
        <scheme val="minor"/>
      </rPr>
      <t>Perfiles y Dotación de RHH:</t>
    </r>
    <r>
      <rPr>
        <sz val="11"/>
        <color theme="1"/>
        <rFont val="Calibri"/>
        <family val="2"/>
        <scheme val="minor"/>
      </rPr>
      <t xml:space="preserve">
Desarrolladores:       5
Tester:                           1</t>
    </r>
  </si>
  <si>
    <t>Libro de Sueldos Digital</t>
  </si>
  <si>
    <r>
      <t xml:space="preserve">Desarrollo del Sistema de Libro de Sueldos Digital
</t>
    </r>
    <r>
      <rPr>
        <u/>
        <sz val="11"/>
        <color theme="1"/>
        <rFont val="Calibri"/>
        <family val="2"/>
        <scheme val="minor"/>
      </rPr>
      <t>Perfiles y Dotación de RHH:</t>
    </r>
    <r>
      <rPr>
        <sz val="11"/>
        <color theme="1"/>
        <rFont val="Calibri"/>
        <family val="2"/>
        <scheme val="minor"/>
      </rPr>
      <t xml:space="preserve">
Analistas:                     2
Desarrolladores:       3</t>
    </r>
  </si>
  <si>
    <t>Simplificación Registral</t>
  </si>
  <si>
    <r>
      <t xml:space="preserve">Desarrollo del Sistema de Simplificación Registral
</t>
    </r>
    <r>
      <rPr>
        <u/>
        <sz val="11"/>
        <color theme="1"/>
        <rFont val="Calibri"/>
        <family val="2"/>
        <scheme val="minor"/>
      </rPr>
      <t>Perfiles y Dotación de RHH:</t>
    </r>
    <r>
      <rPr>
        <sz val="11"/>
        <color theme="1"/>
        <rFont val="Calibri"/>
        <family val="2"/>
        <scheme val="minor"/>
      </rPr>
      <t xml:space="preserve">
Analistas:                     2
Desarrolladores:       2</t>
    </r>
  </si>
  <si>
    <t>Cuenta Corriente de Provincias</t>
  </si>
  <si>
    <r>
      <t xml:space="preserve">Desarrollo del Sistema de Cuenta Corriente Provincias
</t>
    </r>
    <r>
      <rPr>
        <u/>
        <sz val="11"/>
        <color theme="1"/>
        <rFont val="Calibri"/>
        <family val="2"/>
        <scheme val="minor"/>
      </rPr>
      <t xml:space="preserve">
Perfiles y Dotación de RHH:</t>
    </r>
    <r>
      <rPr>
        <sz val="11"/>
        <color theme="1"/>
        <rFont val="Calibri"/>
        <family val="2"/>
        <scheme val="minor"/>
      </rPr>
      <t xml:space="preserve">
Analistas:                     2
Desarrolladores:       3</t>
    </r>
  </si>
  <si>
    <t>REM – Relevamiento Electrónico de Monotributistas</t>
  </si>
  <si>
    <r>
      <t xml:space="preserve">Desarrollo del Sistema REM
</t>
    </r>
    <r>
      <rPr>
        <u/>
        <sz val="11"/>
        <color theme="1"/>
        <rFont val="Calibri"/>
        <family val="2"/>
        <scheme val="minor"/>
      </rPr>
      <t xml:space="preserve">
Perfiles y Dotación de RHH:</t>
    </r>
    <r>
      <rPr>
        <sz val="11"/>
        <color theme="1"/>
        <rFont val="Calibri"/>
        <family val="2"/>
        <scheme val="minor"/>
      </rPr>
      <t xml:space="preserve">
Analistas:                     2
Desarrolladores:       3</t>
    </r>
  </si>
  <si>
    <t>Registración, distribución y control de retenciones</t>
  </si>
  <si>
    <r>
      <t xml:space="preserve">Desarrollo del Sistema de Registración distribución y control de Reteneciones
</t>
    </r>
    <r>
      <rPr>
        <u/>
        <sz val="11"/>
        <color theme="1"/>
        <rFont val="Calibri"/>
        <family val="2"/>
        <scheme val="minor"/>
      </rPr>
      <t>Perfiles y Dotación de RHH:</t>
    </r>
    <r>
      <rPr>
        <sz val="11"/>
        <color theme="1"/>
        <rFont val="Calibri"/>
        <family val="2"/>
        <scheme val="minor"/>
      </rPr>
      <t xml:space="preserve">
Analistas:                     1
Desarrolladores:       2</t>
    </r>
  </si>
  <si>
    <t>Total por Categoría -Componente 1</t>
  </si>
  <si>
    <t>Componente 2 Total</t>
  </si>
  <si>
    <t>Subcomponente 2.1.</t>
  </si>
  <si>
    <t>Data Center</t>
  </si>
  <si>
    <t xml:space="preserve">Unidad de almacenamiento. Adquisición de una unidad de almacenamiento High-End conectado a la Storage Área Network para reemplazar el equipo Hitachi VSP. Capacidad estimada 1 PT con soporte por 5 años. </t>
  </si>
  <si>
    <t>Estaciones de trabajo. Adquisición de 10.000 estaciones de trabajo para reemplazar equipamiento obsoleto estimado para los años 2018/2022 con soporte por 5 años.</t>
  </si>
  <si>
    <t xml:space="preserve">Backup. Nueva Solución de backup para las bases de datos centrales y archivos de producción para reducir los tiempos RTO y RPO utilizando tecnología de última generación con soporte por 5 años. </t>
  </si>
  <si>
    <t>Virtual Desktop Infrastructure. Adquisición de una solución VDI para casos específicos (Capacitación, call-center).</t>
  </si>
  <si>
    <t xml:space="preserve">Software de Gateway  - PAM con servicio de soporte y actualizacion tecnologica. </t>
  </si>
  <si>
    <t xml:space="preserve">Adquisicion de 350 servidores de borde para la implementación del Active Directory en áreas desentralizadas  </t>
  </si>
  <si>
    <t xml:space="preserve">Adecuacion Site de contingencia - Infraestructura Critica (Sala, AA, UPS,  etc) </t>
  </si>
  <si>
    <t>Subcomponente 2.2.</t>
  </si>
  <si>
    <t>Actualización de la Arquitectura tecnológica y de Comunicaciones</t>
  </si>
  <si>
    <r>
      <t>Actualización de Activos de Red (</t>
    </r>
    <r>
      <rPr>
        <i/>
        <sz val="11"/>
        <color theme="1"/>
        <rFont val="Calibri"/>
        <family val="2"/>
        <scheme val="minor"/>
      </rPr>
      <t>Router/Switches</t>
    </r>
    <r>
      <rPr>
        <sz val="11"/>
        <color theme="1"/>
        <rFont val="Calibri"/>
        <family val="2"/>
        <scheme val="minor"/>
      </rPr>
      <t xml:space="preserve"> en Dependencias). Provisión, instalación, configuración y puesta en marcha de </t>
    </r>
    <r>
      <rPr>
        <i/>
        <sz val="11"/>
        <color theme="1"/>
        <rFont val="Calibri"/>
        <family val="2"/>
        <scheme val="minor"/>
      </rPr>
      <t>Switches</t>
    </r>
    <r>
      <rPr>
        <sz val="11"/>
        <color theme="1"/>
        <rFont val="Calibri"/>
        <family val="2"/>
        <scheme val="minor"/>
      </rPr>
      <t xml:space="preserve"> y </t>
    </r>
    <r>
      <rPr>
        <i/>
        <sz val="11"/>
        <color theme="1"/>
        <rFont val="Calibri"/>
        <family val="2"/>
        <scheme val="minor"/>
      </rPr>
      <t xml:space="preserve">Routers </t>
    </r>
    <r>
      <rPr>
        <sz val="11"/>
        <color theme="1"/>
        <rFont val="Calibri"/>
        <family val="2"/>
        <scheme val="minor"/>
      </rPr>
      <t>en las redes LAN que poseen las Dependencias de la AFIP de todo el País.</t>
    </r>
  </si>
  <si>
    <t>Actualización de Activos de Red Inalámbricos e Implementación de nuevas zonas WIFI. Actualización tecnológica de las soluciones redes de acceso inalámbrico, permitiendo mayor movilidad y facilitando el acceso a la red del Organismo, manteniendo los niveles de seguridad, asociado a una reducción significativa de costos en obras de cableado (Controlador + 500 AP)</t>
  </si>
  <si>
    <t xml:space="preserve">Actualización y centralización de acceso a la red pública de telefonía. El objetivo es obtener mayor control y eficiencia en las comunicaciones, consolidando una infraestructura inteligente de servicios con altas capacidades de escalamiento y versatilidad. </t>
  </si>
  <si>
    <t>Implementación de nuevos esquemas de conectividad. Con el objeto de mejorar las velocidades de acceso y disminuir los costos de los enlaces actualmente operativos, se propone integrar los Nodos del Organismo a los puntos de acceso distribuidos en el país (IXP Puntos de Intercambio de Internet (CABASE) - Nodo REFEFO (ARSAT)) implementando nuevos esquemas de conectividad. Estas tareas se coordinaran con el Ministerio de Modernización. Costo total estimado US$ 40.000 por sitio - Estimación 10 sitios</t>
  </si>
  <si>
    <t xml:space="preserve">Aprovechamiento de energías renovables. Provisión de energía generada en forma sustentable para dependencias remotas de frontera y otras específicas como sustento integral de vida, eficiencia y calidad de servicio por dificultades de aprovisionamiento de combustibles y otras energía, en consonancia con el Decreto Presidencial 9/2017. </t>
  </si>
  <si>
    <t>Adquisición de equipos de telefonía móvil (continuidad operativa para brindar un servicio ubicuo y móvil en el acceso a las comunicaciones y los sistemas informáticos operativos por parte de los funcionarios de la AFIP)</t>
  </si>
  <si>
    <t xml:space="preserve">Conectividad Proyecto Hidrovía. Requerimiento de la Dirección Regional Aduanera Hidrovía (REF: ACT SIGEA N° 18083-186-2016 / NOTA N° 777/2016 (DI GERP)), respecto de la necesidad de adquirir e instalar un Sistema de CCTV inteligente en puntos estratégicos, se requiere la puesta en funcionamiento de un sistema de interconexión de red de datos entre los puntos específicos de la localidad Isla del Cerrito y sobre el Puente General Belgrano. </t>
  </si>
  <si>
    <t>Subcomponente 2.3.</t>
  </si>
  <si>
    <t>Seguridad Informática</t>
  </si>
  <si>
    <r>
      <rPr>
        <sz val="11"/>
        <color theme="1"/>
        <rFont val="Calibri"/>
        <family val="2"/>
        <scheme val="minor"/>
      </rPr>
      <t xml:space="preserve">Adquisición de Sistema Para Detección y Análisis de amenazas avanzadas. Solución para la recopilación y correlación de eventos de múltiples dispositivos de seguridad, permitiendo mediante la administración y análisis de </t>
    </r>
    <r>
      <rPr>
        <i/>
        <sz val="11"/>
        <color theme="1"/>
        <rFont val="Calibri"/>
        <family val="2"/>
        <scheme val="minor"/>
      </rPr>
      <t>Big Data</t>
    </r>
    <r>
      <rPr>
        <sz val="11"/>
        <color theme="1"/>
        <rFont val="Calibri"/>
        <family val="2"/>
        <scheme val="minor"/>
      </rPr>
      <t xml:space="preserve">, sumado a la visibilidad completa del tráfico de red, la posibilidad de detección y mitigación de amenazas que no pueden ser identificadas en forma desagregada. </t>
    </r>
  </si>
  <si>
    <t xml:space="preserve">Actualización de Firewalls para dependencias. Actualización tecnológica de los Firewalls distribuidos en los nodos de la red de AFIP junto con su plataforma de administración centralizada. </t>
  </si>
  <si>
    <r>
      <rPr>
        <sz val="11"/>
        <color theme="1"/>
        <rFont val="Calibri"/>
        <family val="2"/>
        <scheme val="minor"/>
      </rPr>
      <t xml:space="preserve">Adquisición de plataforma de mitigación de DDOS en la nube para CABASE. (Mitigación temprana de ataques de DDOS dentro de </t>
    </r>
    <r>
      <rPr>
        <i/>
        <sz val="11"/>
        <color theme="1"/>
        <rFont val="Calibri"/>
        <family val="2"/>
        <scheme val="minor"/>
      </rPr>
      <t xml:space="preserve">backbone </t>
    </r>
    <r>
      <rPr>
        <sz val="11"/>
        <color theme="1"/>
        <rFont val="Calibri"/>
        <family val="2"/>
        <scheme val="minor"/>
      </rPr>
      <t>de CABASE).</t>
    </r>
  </si>
  <si>
    <r>
      <rPr>
        <sz val="11"/>
        <color theme="1"/>
        <rFont val="Calibri"/>
        <family val="2"/>
        <scheme val="minor"/>
      </rPr>
      <t xml:space="preserve">Adquisición de plataforma de Firewall de Aplicaciones WEB. Incorporación de dispositivos WAF para mitigación de ataques sobre aplicaciones WEB y </t>
    </r>
    <r>
      <rPr>
        <i/>
        <sz val="11"/>
        <color theme="1"/>
        <rFont val="Calibri"/>
        <family val="2"/>
        <scheme val="minor"/>
      </rPr>
      <t>webservices</t>
    </r>
    <r>
      <rPr>
        <sz val="11"/>
        <color theme="1"/>
        <rFont val="Calibri"/>
        <family val="2"/>
        <scheme val="minor"/>
      </rPr>
      <t xml:space="preserve"> en el centro de cómputos de AFIP. </t>
    </r>
  </si>
  <si>
    <r>
      <rPr>
        <sz val="11"/>
        <color theme="1"/>
        <rFont val="Calibri"/>
        <family val="2"/>
        <scheme val="minor"/>
      </rPr>
      <t xml:space="preserve">Adquisición de software Token. Software de autenticación con contraseñas de un sólo uso (OTP – </t>
    </r>
    <r>
      <rPr>
        <i/>
        <sz val="11"/>
        <color theme="1"/>
        <rFont val="Calibri"/>
        <family val="2"/>
        <scheme val="minor"/>
      </rPr>
      <t>One Time Password</t>
    </r>
    <r>
      <rPr>
        <sz val="11"/>
        <color theme="1"/>
        <rFont val="Calibri"/>
        <family val="2"/>
        <scheme val="minor"/>
      </rPr>
      <t xml:space="preserve"> utilizando la tecnología OATH) que combina la seguridad de un esquema de doble factor con la practicidad de que las mismas se generen en los dispositivos de tecnología móvil.</t>
    </r>
  </si>
  <si>
    <r>
      <t>Actualización de HSM. A los efectos de cumplimentar los requerimientos establecidos para el licenciamiento como Autoridad Certificante dentro de la Infraestructura de Firma Digital de la República Argentina, en el año 2006 esta Administración Federal ha adquirido dispositivos criptográficos de seguridad denominados HSM (</t>
    </r>
    <r>
      <rPr>
        <i/>
        <sz val="11"/>
        <color theme="1"/>
        <rFont val="Calibri"/>
        <family val="2"/>
        <scheme val="minor"/>
      </rPr>
      <t>Hardware Security Module</t>
    </r>
    <r>
      <rPr>
        <sz val="11"/>
        <color theme="1"/>
        <rFont val="Calibri"/>
        <family val="2"/>
        <scheme val="minor"/>
      </rPr>
      <t xml:space="preserve">). </t>
    </r>
  </si>
  <si>
    <t>Adquisición y consultoría para la implementación de IBM QRadar (SIEM)</t>
  </si>
  <si>
    <t xml:space="preserve">Adquisición de Micro Focus Fortify </t>
  </si>
  <si>
    <t>Software sin discriminar</t>
  </si>
  <si>
    <t>Total por Categoría - Componente 2</t>
  </si>
  <si>
    <t>Componente 3 Total</t>
  </si>
  <si>
    <t>Subcomponente 3.1.</t>
  </si>
  <si>
    <t>Mejora normativa, simplificación de procedimientos y cambio de enfoque en la atención (CRM)</t>
  </si>
  <si>
    <r>
      <t xml:space="preserve">Diseño y Desarrollo de un CMR
1. Integración de Base de Conocimiento al CRM
2. Módulo de Reclamos y Sugerencias
3. Integración de información de sistemas externos al CRM
4. Módulo de gestión de Consultas de Organismos de Seguridad Social
5. Módulo de Calidad de atención
6. Módulo de Campañas Salientes
</t>
    </r>
    <r>
      <rPr>
        <u/>
        <sz val="11"/>
        <color theme="1"/>
        <rFont val="Calibri"/>
        <family val="2"/>
        <scheme val="minor"/>
      </rPr>
      <t>Perfiles y Doración de RHH:</t>
    </r>
    <r>
      <rPr>
        <sz val="11"/>
        <color theme="1"/>
        <rFont val="Calibri"/>
        <family val="2"/>
        <scheme val="minor"/>
      </rPr>
      <t xml:space="preserve">
Analistas:                          9
Desarrolladores:           9
Tester:                                 3</t>
    </r>
  </si>
  <si>
    <t xml:space="preserve">
</t>
  </si>
  <si>
    <t>Subcomponente 3.2.</t>
  </si>
  <si>
    <t>Sala Cofre completa (llave en mano y soporte por 3 años)</t>
  </si>
  <si>
    <t>Desarrollo de Aplicaciones Móviles de Viajeros y de Denuncias</t>
  </si>
  <si>
    <r>
      <t xml:space="preserve">Dearrollo de Aplicaciones Móviles
1. Aplicación Móvil de Viajeros
2. Aplicación Móvil de Denuncias
</t>
    </r>
    <r>
      <rPr>
        <u/>
        <sz val="11"/>
        <color theme="1"/>
        <rFont val="Calibri"/>
        <family val="2"/>
        <scheme val="minor"/>
      </rPr>
      <t>Perfiles y Doración de RHH:</t>
    </r>
    <r>
      <rPr>
        <sz val="11"/>
        <color theme="1"/>
        <rFont val="Calibri"/>
        <family val="2"/>
        <scheme val="minor"/>
      </rPr>
      <t xml:space="preserve">
Desarrolladores:           1</t>
    </r>
  </si>
  <si>
    <t>Nuevos canales de Atención</t>
  </si>
  <si>
    <r>
      <t xml:space="preserve">Canales de Atención
1. Modulos de autogestión y cabinas de atención rápida
2. Modelo de trazabilidad de los turnos de verificación aduaneros
</t>
    </r>
    <r>
      <rPr>
        <u/>
        <sz val="11"/>
        <color rgb="FF000000"/>
        <rFont val="Calibri"/>
        <family val="2"/>
        <scheme val="minor"/>
      </rPr>
      <t xml:space="preserve">Perfiles y Dotación de RRHH:
</t>
    </r>
    <r>
      <rPr>
        <sz val="11"/>
        <color rgb="FF000000"/>
        <rFont val="Calibri"/>
        <family val="2"/>
        <scheme val="minor"/>
      </rPr>
      <t>Analistas:                  10
Desarrolladores:       8</t>
    </r>
  </si>
  <si>
    <t>Subcomponente 3.3.</t>
  </si>
  <si>
    <t>Analisis y Definición del Nuevo Modelo de Gestión</t>
  </si>
  <si>
    <r>
      <t xml:space="preserve">Nuevo Modelo de Gestión
1. Análisis y definición del nuevo modelo de gestión
2. Canales de Atención
</t>
    </r>
    <r>
      <rPr>
        <u/>
        <sz val="11"/>
        <color theme="1"/>
        <rFont val="Calibri"/>
        <family val="2"/>
        <scheme val="minor"/>
      </rPr>
      <t>Perfiles y Dotación de RRHH</t>
    </r>
    <r>
      <rPr>
        <sz val="11"/>
        <color theme="1"/>
        <rFont val="Calibri"/>
        <family val="2"/>
        <scheme val="minor"/>
      </rPr>
      <t>:
Analistas:                    5
Desarrolladores:       8</t>
    </r>
  </si>
  <si>
    <t>Reingeniería SARHA</t>
  </si>
  <si>
    <r>
      <t xml:space="preserve">Reingeniería del Sistema SARHA
1. Aplicación Móvil de Viajeros
2. Aplicación Móvil de Denuncias
</t>
    </r>
    <r>
      <rPr>
        <u/>
        <sz val="11"/>
        <color theme="1"/>
        <rFont val="Calibri"/>
        <family val="2"/>
        <scheme val="minor"/>
      </rPr>
      <t>Perfiles y Doración de RHH:</t>
    </r>
    <r>
      <rPr>
        <sz val="11"/>
        <color theme="1"/>
        <rFont val="Calibri"/>
        <family val="2"/>
        <scheme val="minor"/>
      </rPr>
      <t xml:space="preserve">
Desarrolladores:           6
Tester:                               2</t>
    </r>
  </si>
  <si>
    <t>Implementación del Sistema COMPRAR</t>
  </si>
  <si>
    <r>
      <t xml:space="preserve">Consultoría Interna Sistema COMPRAR
1. Aplicación Móvil de Viajeros
2. Aplicación Móvil de Denuncias
</t>
    </r>
    <r>
      <rPr>
        <u/>
        <sz val="11"/>
        <color theme="1"/>
        <rFont val="Calibri"/>
        <family val="2"/>
        <scheme val="minor"/>
      </rPr>
      <t>Perfiles y Doración de RHH:</t>
    </r>
    <r>
      <rPr>
        <sz val="11"/>
        <color theme="1"/>
        <rFont val="Calibri"/>
        <family val="2"/>
        <scheme val="minor"/>
      </rPr>
      <t xml:space="preserve">
Analista:                            1
Desarrolladores:           2
Tester:                               1</t>
    </r>
  </si>
  <si>
    <r>
      <t xml:space="preserve">Consultoría Interna Implementación del Sisteama de Gestión Documental Electrónica (GDE)
1. Aplicación Móvil de Viajeros
2. Aplicación Móvil de Denuncias
</t>
    </r>
    <r>
      <rPr>
        <u/>
        <sz val="11"/>
        <color theme="1"/>
        <rFont val="Calibri"/>
        <family val="2"/>
        <scheme val="minor"/>
      </rPr>
      <t>Perfiles y Doración de RHH:</t>
    </r>
    <r>
      <rPr>
        <sz val="11"/>
        <color theme="1"/>
        <rFont val="Calibri"/>
        <family val="2"/>
        <scheme val="minor"/>
      </rPr>
      <t xml:space="preserve">
Analista:                            1
Desarrolladores:           2
Tester:                               1</t>
    </r>
  </si>
  <si>
    <t>Total por Categoría - Componente 3</t>
  </si>
  <si>
    <t>Total por Categoría - Programa</t>
  </si>
  <si>
    <t>Administración del Programa Total</t>
  </si>
  <si>
    <t>Administración del Programa</t>
  </si>
  <si>
    <t>Consultoría técnica y gerencial de apoyo a la  ejecución</t>
  </si>
  <si>
    <t xml:space="preserve">Consultoría técnica y gerencial de apoyo a la  ejecución
</t>
  </si>
  <si>
    <t>Especialista financiero</t>
  </si>
  <si>
    <t>Especialsitas en temas Financieros</t>
  </si>
  <si>
    <t>Monitoreo</t>
  </si>
  <si>
    <t>Especilsita en Mnitoreo  Seguimiento</t>
  </si>
  <si>
    <t>Evaluación</t>
  </si>
  <si>
    <t>Evaluacion Intermedia</t>
  </si>
  <si>
    <t>Evaluación Final</t>
  </si>
  <si>
    <t>Económica</t>
  </si>
  <si>
    <t>Impacto</t>
  </si>
  <si>
    <t>PCR</t>
  </si>
  <si>
    <t>Auditoria</t>
  </si>
  <si>
    <t>Especialista Senior en Adquisiciones</t>
  </si>
  <si>
    <t xml:space="preserve">Especialistas temáticas para la gerencia y especificaciones técnicas de adquisiciones del proyecto </t>
  </si>
  <si>
    <t>Otras</t>
  </si>
  <si>
    <t>Total por Categoría Administración</t>
  </si>
  <si>
    <t>TOTAL SIN IMPUESTO AL VALOR AGREGADO (IVA)</t>
  </si>
  <si>
    <t>IMPUESTO AL VALOR AGREGADO</t>
  </si>
  <si>
    <t>El IVA sólo se contempla para aquellos Item en donde el Programa reconoce el pago del impuesto a los provedores de bienes y servicios</t>
  </si>
  <si>
    <t>Plan de Ejecución Plurianual - PEP</t>
  </si>
  <si>
    <t>En Miles</t>
  </si>
  <si>
    <t>Componentes</t>
  </si>
  <si>
    <t>TOTAL PROYECTO</t>
  </si>
  <si>
    <t>Año 1</t>
  </si>
  <si>
    <t>Año 2</t>
  </si>
  <si>
    <t>Año 3</t>
  </si>
  <si>
    <t>Año 4</t>
  </si>
  <si>
    <t>Año 5</t>
  </si>
  <si>
    <t>BID</t>
  </si>
  <si>
    <t>Local</t>
  </si>
  <si>
    <t>1.1</t>
  </si>
  <si>
    <t>1.2</t>
  </si>
  <si>
    <t>1.3</t>
  </si>
  <si>
    <t>2.1</t>
  </si>
  <si>
    <t>2.2</t>
  </si>
  <si>
    <t>2.3</t>
  </si>
  <si>
    <t>3.1</t>
  </si>
  <si>
    <t>3.2</t>
  </si>
  <si>
    <t>3.3</t>
  </si>
  <si>
    <t>Totales</t>
  </si>
  <si>
    <t>Plan de Adquisiciones - 18 primeros meses</t>
  </si>
  <si>
    <t>LOCAL</t>
  </si>
  <si>
    <t>TOTAL</t>
  </si>
  <si>
    <t>Fortalecimiento de la gestión de riesgo de la AFIP</t>
  </si>
  <si>
    <t xml:space="preserve">Fortalecimiento del control y fiscalización en la administración de tributos internos </t>
  </si>
  <si>
    <t>Fortalecimiento de los controles aduaneros y nueva estrategia de control mediante el uso de medios no intrusivos y una gestión de riesgo integral</t>
  </si>
  <si>
    <t>Fortalecimiento del control y fiscalización de los recursos de la seguridad social y mejora de la formalización del sector laboral</t>
  </si>
  <si>
    <t>Fortalecimiento de los sistemas de información de la AFIP</t>
  </si>
  <si>
    <t>Data Center (Software&amp;Hardware y Capacitación)</t>
  </si>
  <si>
    <t>Comunicaciones (adquisión de equipos y actualizacion de sistemas)</t>
  </si>
  <si>
    <t>Seguridad Informática (adquisión de equipos y actualización de sistemas)</t>
  </si>
  <si>
    <t>Mejora de los servicios de atención al contribuyente y del modelo de gestión, de planificación y desarrollo de servicios de las áreas centrales de la AFIP</t>
  </si>
  <si>
    <t>Incorporación de nuevos medios y tecnologías y reorientación del rol de las sucursales/agencias que constituyen el despliegue territorial de la AFIP</t>
  </si>
  <si>
    <t>Nuevo modelo de gestión, planificación y organización</t>
  </si>
  <si>
    <t>Administración y gestión del programa</t>
  </si>
  <si>
    <t>Presupuesto Total del Proyecto</t>
  </si>
  <si>
    <t>Categorías</t>
  </si>
  <si>
    <t>%</t>
  </si>
  <si>
    <t>Costos Totales</t>
  </si>
  <si>
    <t>1. Costos Directos</t>
  </si>
  <si>
    <r>
      <t xml:space="preserve">Componente 1: </t>
    </r>
    <r>
      <rPr>
        <b/>
        <sz val="10"/>
        <color rgb="FF000000"/>
        <rFont val="Calibri"/>
        <family val="2"/>
        <scheme val="minor"/>
      </rPr>
      <t>Fortalecimiento de la gestión de riesgo de la AFIP</t>
    </r>
  </si>
  <si>
    <t>Subcomponente 1.1: Fortalecimiento del control y fiscalización en la administración de tributos internos</t>
  </si>
  <si>
    <r>
      <t>Producto 1.1.1:</t>
    </r>
    <r>
      <rPr>
        <sz val="10"/>
        <color theme="1"/>
        <rFont val="Calibri"/>
        <family val="2"/>
        <scheme val="minor"/>
      </rPr>
      <t xml:space="preserve"> Sistema de Cuentas Tributarias (SCT) reformado</t>
    </r>
  </si>
  <si>
    <r>
      <t>Producto 1.1.2:</t>
    </r>
    <r>
      <rPr>
        <sz val="10"/>
        <color theme="1"/>
        <rFont val="Calibri"/>
        <family val="2"/>
        <scheme val="minor"/>
      </rPr>
      <t xml:space="preserve"> Sistemas de informática tributaria actualizados</t>
    </r>
  </si>
  <si>
    <r>
      <t>Producto 1.1.3:</t>
    </r>
    <r>
      <rPr>
        <sz val="10"/>
        <color theme="1"/>
        <rFont val="Calibri"/>
        <family val="2"/>
        <scheme val="minor"/>
      </rPr>
      <t xml:space="preserve"> Sistema integral de fiscalización y perfil de riesgo integral desarrollado e implementado </t>
    </r>
  </si>
  <si>
    <r>
      <t>Producto 1.1.4:</t>
    </r>
    <r>
      <rPr>
        <sz val="10"/>
        <color theme="1"/>
        <rFont val="Calibri"/>
        <family val="2"/>
        <scheme val="minor"/>
      </rPr>
      <t xml:space="preserve"> Desarrollo e implementación de sistemas de seguimiento jurídico</t>
    </r>
  </si>
  <si>
    <r>
      <t xml:space="preserve">Producto 1.1.5. </t>
    </r>
    <r>
      <rPr>
        <sz val="10"/>
        <color theme="1"/>
        <rFont val="Calibri"/>
        <family val="2"/>
        <scheme val="minor"/>
      </rPr>
      <t>Minería de datos, Analytics, Big Data</t>
    </r>
  </si>
  <si>
    <t>Producto 1.1.6 Capacitación en nuevas tecnologías</t>
  </si>
  <si>
    <r>
      <t>Subcomponente 1.2: Fortalecimiento de los controles aduaneros y nueva estrategia de control mediante el uso de medios no intrusivos y una gestión de riesgo integral</t>
    </r>
    <r>
      <rPr>
        <sz val="10"/>
        <color theme="1"/>
        <rFont val="Calibri"/>
        <family val="2"/>
        <scheme val="minor"/>
      </rPr>
      <t>.</t>
    </r>
  </si>
  <si>
    <r>
      <t>Producto 1.2.1:</t>
    </r>
    <r>
      <rPr>
        <sz val="10"/>
        <color theme="1"/>
        <rFont val="Calibri"/>
        <family val="2"/>
        <scheme val="minor"/>
      </rPr>
      <t xml:space="preserve"> Modelo Integral de Riesgo</t>
    </r>
  </si>
  <si>
    <r>
      <t>Producto 1.2.2:</t>
    </r>
    <r>
      <rPr>
        <sz val="10"/>
        <color theme="1"/>
        <rFont val="Calibri"/>
        <family val="2"/>
        <scheme val="minor"/>
      </rPr>
      <t xml:space="preserve"> Actualización del SIM</t>
    </r>
  </si>
  <si>
    <r>
      <t>Producto 1.2.3:</t>
    </r>
    <r>
      <rPr>
        <sz val="10"/>
        <color theme="1"/>
        <rFont val="Calibri"/>
        <family val="2"/>
        <scheme val="minor"/>
      </rPr>
      <t xml:space="preserve"> Equipos de computación actualizados </t>
    </r>
  </si>
  <si>
    <r>
      <t xml:space="preserve">Producto 1.2.4: </t>
    </r>
    <r>
      <rPr>
        <sz val="10"/>
        <color theme="1"/>
        <rFont val="Calibri"/>
        <family val="2"/>
        <scheme val="minor"/>
      </rPr>
      <t>Puertos con conectividad mejorada</t>
    </r>
  </si>
  <si>
    <r>
      <t>Producto 1.2.5:</t>
    </r>
    <r>
      <rPr>
        <sz val="10"/>
        <color theme="1"/>
        <rFont val="Calibri"/>
        <family val="2"/>
        <scheme val="minor"/>
      </rPr>
      <t xml:space="preserve"> Adecuación de infraestructura edilicia</t>
    </r>
  </si>
  <si>
    <r>
      <t>Producto 1.2.6:</t>
    </r>
    <r>
      <rPr>
        <sz val="10"/>
        <color theme="1"/>
        <rFont val="Calibri"/>
        <family val="2"/>
        <scheme val="minor"/>
      </rPr>
      <t xml:space="preserve"> Sistema de Atención en Frontera</t>
    </r>
  </si>
  <si>
    <t>Subcomponente 1.3: Fortalecimiento del control y fiscalización de los recursos de la seguridad social y mejora de la formalización del sector laboral</t>
  </si>
  <si>
    <r>
      <t xml:space="preserve">Producto 1.3.1: </t>
    </r>
    <r>
      <rPr>
        <sz val="10"/>
        <color rgb="FF000000"/>
        <rFont val="Calibri"/>
        <family val="2"/>
        <scheme val="minor"/>
      </rPr>
      <t xml:space="preserve">Web Régimen General de Empleadores para grandes contribuyentes  </t>
    </r>
  </si>
  <si>
    <r>
      <t>Producto 1.3.2</t>
    </r>
    <r>
      <rPr>
        <sz val="10"/>
        <color rgb="FF000000"/>
        <rFont val="Calibri"/>
        <family val="2"/>
        <scheme val="minor"/>
      </rPr>
      <t>: Libro de Sueldos Digital</t>
    </r>
  </si>
  <si>
    <r>
      <t xml:space="preserve">Producto 1.3.3: </t>
    </r>
    <r>
      <rPr>
        <sz val="10"/>
        <color rgb="FF000000"/>
        <rFont val="Calibri"/>
        <family val="2"/>
        <scheme val="minor"/>
      </rPr>
      <t>Simplificación Registral</t>
    </r>
  </si>
  <si>
    <r>
      <t xml:space="preserve">Producto 1.3.4: </t>
    </r>
    <r>
      <rPr>
        <sz val="10"/>
        <color rgb="FF000000"/>
        <rFont val="Calibri"/>
        <family val="2"/>
        <scheme val="minor"/>
      </rPr>
      <t>Cuenta Corriente de Provincias</t>
    </r>
  </si>
  <si>
    <r>
      <t xml:space="preserve">Producto 1.3.5: </t>
    </r>
    <r>
      <rPr>
        <sz val="10"/>
        <color rgb="FF000000"/>
        <rFont val="Calibri"/>
        <family val="2"/>
        <scheme val="minor"/>
      </rPr>
      <t>Relevamiento Electrónico de Monotributistas</t>
    </r>
  </si>
  <si>
    <r>
      <t xml:space="preserve">Producto 1.3.5: </t>
    </r>
    <r>
      <rPr>
        <sz val="10"/>
        <color rgb="FF000000"/>
        <rFont val="Calibri"/>
        <family val="2"/>
        <scheme val="minor"/>
      </rPr>
      <t>Registración y control de retenciones</t>
    </r>
  </si>
  <si>
    <t>Componente 2: Fortalecimiento de los sistemas de información de la AFIP</t>
  </si>
  <si>
    <r>
      <t>Producto 2.1.1</t>
    </r>
    <r>
      <rPr>
        <b/>
        <sz val="10"/>
        <color rgb="FF000000"/>
        <rFont val="Calibri"/>
        <family val="2"/>
        <scheme val="minor"/>
      </rPr>
      <t xml:space="preserve">: </t>
    </r>
    <r>
      <rPr>
        <sz val="10"/>
        <color rgb="FF000000"/>
        <rFont val="Calibri"/>
        <family val="2"/>
        <scheme val="minor"/>
      </rPr>
      <t>Unidad de Almacenamiento</t>
    </r>
  </si>
  <si>
    <r>
      <t xml:space="preserve">Producto 2.1.2: </t>
    </r>
    <r>
      <rPr>
        <sz val="10"/>
        <color rgb="FF000000"/>
        <rFont val="Calibri"/>
        <family val="2"/>
        <scheme val="minor"/>
      </rPr>
      <t>Estaciones de trabajo</t>
    </r>
  </si>
  <si>
    <r>
      <t xml:space="preserve">Producto 2.1.3: </t>
    </r>
    <r>
      <rPr>
        <sz val="10"/>
        <color rgb="FF000000"/>
        <rFont val="Calibri"/>
        <family val="2"/>
        <scheme val="minor"/>
      </rPr>
      <t>Solución de Backup</t>
    </r>
  </si>
  <si>
    <r>
      <t xml:space="preserve">Producto 2.1.4: </t>
    </r>
    <r>
      <rPr>
        <sz val="10"/>
        <color rgb="FF000000"/>
        <rFont val="Calibri"/>
        <family val="2"/>
        <scheme val="minor"/>
      </rPr>
      <t>Solución VDI</t>
    </r>
  </si>
  <si>
    <r>
      <t xml:space="preserve">Producto 2.1.5: </t>
    </r>
    <r>
      <rPr>
        <sz val="10"/>
        <color rgb="FF000000"/>
        <rFont val="Calibri"/>
        <family val="2"/>
        <scheme val="minor"/>
      </rPr>
      <t>Software de Gateway</t>
    </r>
  </si>
  <si>
    <r>
      <t xml:space="preserve">Producto 2.1.6 </t>
    </r>
    <r>
      <rPr>
        <sz val="10"/>
        <color rgb="FF000000"/>
        <rFont val="Calibri"/>
        <family val="2"/>
        <scheme val="minor"/>
      </rPr>
      <t>Servidores</t>
    </r>
  </si>
  <si>
    <r>
      <t xml:space="preserve">Producto 2.1.7 </t>
    </r>
    <r>
      <rPr>
        <sz val="10"/>
        <color theme="1"/>
        <rFont val="Calibri"/>
        <family val="2"/>
        <scheme val="minor"/>
      </rPr>
      <t>Site de Contingencia</t>
    </r>
  </si>
  <si>
    <r>
      <t>Producto 2.2.1</t>
    </r>
    <r>
      <rPr>
        <b/>
        <sz val="10"/>
        <color rgb="FF000000"/>
        <rFont val="Calibri"/>
        <family val="2"/>
        <scheme val="minor"/>
      </rPr>
      <t xml:space="preserve">: </t>
    </r>
    <r>
      <rPr>
        <sz val="10"/>
        <color rgb="FF000000"/>
        <rFont val="Calibri"/>
        <family val="2"/>
        <scheme val="minor"/>
      </rPr>
      <t>Routers actualizados en las reders LAN</t>
    </r>
  </si>
  <si>
    <r>
      <t xml:space="preserve">Producto 2.2.2: </t>
    </r>
    <r>
      <rPr>
        <sz val="10"/>
        <color rgb="FF000000"/>
        <rFont val="Calibri"/>
        <family val="2"/>
        <scheme val="minor"/>
      </rPr>
      <t>Software de red inalámbrica</t>
    </r>
  </si>
  <si>
    <r>
      <t xml:space="preserve">Producto 2.2.3: </t>
    </r>
    <r>
      <rPr>
        <sz val="10"/>
        <color rgb="FF000000"/>
        <rFont val="Calibri"/>
        <family val="2"/>
        <scheme val="minor"/>
      </rPr>
      <t>Tecnología de acceso telefónico</t>
    </r>
  </si>
  <si>
    <r>
      <t xml:space="preserve">Producto 2.2.4: </t>
    </r>
    <r>
      <rPr>
        <sz val="10"/>
        <color rgb="FF000000"/>
        <rFont val="Calibri"/>
        <family val="2"/>
        <scheme val="minor"/>
      </rPr>
      <t>Nodos de Conectividad</t>
    </r>
  </si>
  <si>
    <r>
      <t xml:space="preserve">Producto 2.2.5: </t>
    </r>
    <r>
      <rPr>
        <sz val="10"/>
        <color rgb="FF000000"/>
        <rFont val="Calibri"/>
        <family val="2"/>
        <scheme val="minor"/>
      </rPr>
      <t>Equipo de energía renovable</t>
    </r>
  </si>
  <si>
    <r>
      <t xml:space="preserve">Producto 2.2.6 </t>
    </r>
    <r>
      <rPr>
        <sz val="10"/>
        <color rgb="FF000000"/>
        <rFont val="Calibri"/>
        <family val="2"/>
        <scheme val="minor"/>
      </rPr>
      <t>Servicios de movilidad</t>
    </r>
  </si>
  <si>
    <r>
      <t xml:space="preserve">Producto 2.2.7 </t>
    </r>
    <r>
      <rPr>
        <sz val="10"/>
        <color theme="1"/>
        <rFont val="Calibri"/>
        <family val="2"/>
        <scheme val="minor"/>
      </rPr>
      <t>Sistema de CCTV</t>
    </r>
  </si>
  <si>
    <r>
      <t xml:space="preserve">Producto 2.3.1 </t>
    </r>
    <r>
      <rPr>
        <sz val="10"/>
        <color theme="1"/>
        <rFont val="Calibri"/>
        <family val="2"/>
        <scheme val="minor"/>
      </rPr>
      <t>Sistema de detección de amenazas avanzadas</t>
    </r>
  </si>
  <si>
    <r>
      <t xml:space="preserve">Producto 2.3.2 </t>
    </r>
    <r>
      <rPr>
        <sz val="10"/>
        <color theme="1"/>
        <rFont val="Calibri"/>
        <family val="2"/>
        <scheme val="minor"/>
      </rPr>
      <t>Plataforma DDOS</t>
    </r>
  </si>
  <si>
    <r>
      <t xml:space="preserve">Producto 2.3.3 </t>
    </r>
    <r>
      <rPr>
        <sz val="10"/>
        <color theme="1"/>
        <rFont val="Calibri"/>
        <family val="2"/>
        <scheme val="minor"/>
      </rPr>
      <t>Firewall actualizado</t>
    </r>
  </si>
  <si>
    <r>
      <t xml:space="preserve">Producto 2.3.4 </t>
    </r>
    <r>
      <rPr>
        <sz val="10"/>
        <color theme="1"/>
        <rFont val="Calibri"/>
        <family val="2"/>
        <scheme val="minor"/>
      </rPr>
      <t>Token</t>
    </r>
  </si>
  <si>
    <r>
      <t>Producto 2.3.5</t>
    </r>
    <r>
      <rPr>
        <sz val="10"/>
        <color theme="1"/>
        <rFont val="Calibri"/>
        <family val="2"/>
        <scheme val="minor"/>
      </rPr>
      <t xml:space="preserve"> IBM QRadar</t>
    </r>
  </si>
  <si>
    <r>
      <t>Producto 2.3.6</t>
    </r>
    <r>
      <rPr>
        <sz val="10"/>
        <color theme="1"/>
        <rFont val="Calibri"/>
        <family val="2"/>
        <scheme val="minor"/>
      </rPr>
      <t xml:space="preserve"> Micro Focus</t>
    </r>
  </si>
  <si>
    <r>
      <t xml:space="preserve">Producto 2.3.7 </t>
    </r>
    <r>
      <rPr>
        <sz val="10"/>
        <color theme="1"/>
        <rFont val="Calibri"/>
        <family val="2"/>
        <scheme val="minor"/>
      </rPr>
      <t>Actualización HSM</t>
    </r>
  </si>
  <si>
    <t>Producto 2.3.8. Software Segurida Informatica</t>
  </si>
  <si>
    <t>Componente 3: Mejora de los servicios de atención al contribuyente y del modelo de gestión, de planificación y desarrollo de servicios de las áreas centrales de la AFIP</t>
  </si>
  <si>
    <r>
      <t xml:space="preserve">Producto 3.1 </t>
    </r>
    <r>
      <rPr>
        <sz val="10"/>
        <color theme="1"/>
        <rFont val="Calibri"/>
        <family val="2"/>
        <scheme val="minor"/>
      </rPr>
      <t>CRM</t>
    </r>
  </si>
  <si>
    <r>
      <t xml:space="preserve">Producto 3.2: </t>
    </r>
    <r>
      <rPr>
        <sz val="10"/>
        <color rgb="FF000000"/>
        <rFont val="Calibri"/>
        <family val="2"/>
        <scheme val="minor"/>
      </rPr>
      <t xml:space="preserve"> Nuevos medios y tecnologías de atención</t>
    </r>
  </si>
  <si>
    <r>
      <t xml:space="preserve">Producto 3.3  </t>
    </r>
    <r>
      <rPr>
        <sz val="10"/>
        <color theme="1"/>
        <rFont val="Calibri"/>
        <family val="2"/>
        <scheme val="minor"/>
      </rPr>
      <t>Modelo de gestión y planificación</t>
    </r>
    <r>
      <rPr>
        <b/>
        <sz val="10"/>
        <color theme="1"/>
        <rFont val="Calibri"/>
        <family val="2"/>
        <scheme val="minor"/>
      </rPr>
      <t xml:space="preserve"> </t>
    </r>
  </si>
  <si>
    <t>2.   Administración del proyecto</t>
  </si>
  <si>
    <t>Total SIN  IVA</t>
  </si>
  <si>
    <t>TOTAL CON IVA</t>
  </si>
  <si>
    <t>IVA</t>
  </si>
  <si>
    <t>Financiamiento Anual</t>
  </si>
  <si>
    <t>Fuente de financiamiento</t>
  </si>
  <si>
    <t>1.    Costos Directos</t>
  </si>
  <si>
    <t>ANEXO. DETALLE DE CONSULTORIAS POR FIRMA</t>
  </si>
  <si>
    <t>INFORMATICA TRIBUTARIA</t>
  </si>
  <si>
    <t xml:space="preserve">Consultoría 1. </t>
  </si>
  <si>
    <t>Consultoría 2</t>
  </si>
  <si>
    <t>Honorarios por Todo Concepto</t>
  </si>
  <si>
    <t>Perfil</t>
  </si>
  <si>
    <t>Honorario x RRHH</t>
  </si>
  <si>
    <t>Presupuesto</t>
  </si>
  <si>
    <t>Costo sin IVA</t>
  </si>
  <si>
    <t>Analista</t>
  </si>
  <si>
    <t>Desarrollador</t>
  </si>
  <si>
    <t>Tester</t>
  </si>
  <si>
    <t>Moralidad: Firma Consultora</t>
  </si>
  <si>
    <t>Productos</t>
  </si>
  <si>
    <t>1. Aplicativos WEB - Reingenieria MAW</t>
  </si>
  <si>
    <t>1. Registro Unico Tributario</t>
  </si>
  <si>
    <t>2. Reingeniería Aplicaciones sistemas tributarios</t>
  </si>
  <si>
    <t>2. Sistema de Ingresos Directos</t>
  </si>
  <si>
    <t>3. Reingenieria de Datamart MATT</t>
  </si>
  <si>
    <t>4. SIAP Reingenieria</t>
  </si>
  <si>
    <t>5. OSIRIS</t>
  </si>
  <si>
    <t>6. AcreTa (Acreditaciones Tardias)</t>
  </si>
  <si>
    <t>7. MulAT (Multiples Administraciones Tributarias)</t>
  </si>
  <si>
    <t>INFORMATICA JURIDICA</t>
  </si>
  <si>
    <t>1. Nuevo Sistema de Cobranza Coactiva (ex SIRAEF - SOJ)</t>
  </si>
  <si>
    <t>2. Sistema de Gestion Judicial - Modulo Penal (ex SCP)</t>
  </si>
  <si>
    <t>3. Sistema de Gestion Judicial - Modulo Contencioso No Tributario (ex QUAESTOR)</t>
  </si>
  <si>
    <t>FISCALIZACION TRIBUTARIA</t>
  </si>
  <si>
    <t>Consultoría 1. Analisis Sectoriales</t>
  </si>
  <si>
    <t>Consultoría 2. Facturación y Registración Electrónica</t>
  </si>
  <si>
    <t>1. Regímenes de control de la cadena comercial del ganado bovino, porcino y sector avícola</t>
  </si>
  <si>
    <t>1. Facturación y Registración Eletrónica</t>
  </si>
  <si>
    <t>2. Regímenes de control de la cadena comercial de granos</t>
  </si>
  <si>
    <t>3. Regímenes de control de la cadena comercial de algodón</t>
  </si>
  <si>
    <t>4.Regímenes de control del sector financiero</t>
  </si>
  <si>
    <t xml:space="preserve">Consultoría 3. </t>
  </si>
  <si>
    <t xml:space="preserve">Consultoría 4. </t>
  </si>
  <si>
    <t>1. Reingeniería eFisco</t>
  </si>
  <si>
    <t>1. Mejora en el acceso a información para análisis de riesgo y control de la tributación en transacciones internacionales</t>
  </si>
  <si>
    <t>2. Reingeniería del sistema de seguimiento de fiscalizaciones -SEFI-</t>
  </si>
  <si>
    <t>2. Sistemas de selección de casos para fiscalización</t>
  </si>
  <si>
    <t>GESTION DE RIESGO INTEGRAL - ADUANA</t>
  </si>
  <si>
    <t>Consultoría 1. Modelo Integral de Riesgo</t>
  </si>
  <si>
    <t>Consultoría 2. Actualización del SIM</t>
  </si>
  <si>
    <t xml:space="preserve">1. Modelo Integral de Riesgo </t>
  </si>
  <si>
    <t>1. Actualización del SIM</t>
  </si>
  <si>
    <t>Consultoría 3. Sistema de Atención en Frontera</t>
  </si>
  <si>
    <t>1. Nuevo Modelo de Atención de Frontera</t>
  </si>
  <si>
    <t>SEGURIDAD SOCIAL</t>
  </si>
  <si>
    <t>Consultoría 1</t>
  </si>
  <si>
    <t>Consultoría 3</t>
  </si>
  <si>
    <t>Consultoría 4</t>
  </si>
  <si>
    <t>Consultoría 5</t>
  </si>
  <si>
    <t>Consultoría 6</t>
  </si>
  <si>
    <t>NUEVO MODELO DE GESTION</t>
  </si>
  <si>
    <t>Consultoría 1.</t>
  </si>
  <si>
    <t>Consultoría 2.</t>
  </si>
  <si>
    <t>Adecuaciones Sistema COMPRAR</t>
  </si>
  <si>
    <t>Adecuaciones Sistema GDE</t>
  </si>
  <si>
    <t>1. Modulos de autogestión y cabinas de atención rápida</t>
  </si>
  <si>
    <t>1. Análisis y definición del nuevo modelo de gestión</t>
  </si>
  <si>
    <t>2. Modelo de trazabilidad de los turnos de verificación aduaneros</t>
  </si>
  <si>
    <t>2. Canales de Atención</t>
  </si>
  <si>
    <t>TOTAL FIRMAS CONSULTORAS</t>
  </si>
  <si>
    <t>Total Con IVA</t>
  </si>
  <si>
    <t>Nota: Todas las consultorias incluyen Viaticos y Gastos para Capacitación</t>
  </si>
  <si>
    <t>ANEXO. DETALLE DE CONSULTORIAS INDIVIDUALES</t>
  </si>
  <si>
    <t>Moralidad: Consultoría Individual</t>
  </si>
  <si>
    <t>1. Sistema de Perfil de Riesgo</t>
  </si>
  <si>
    <t>1. Sistema Integral de Recuperos</t>
  </si>
  <si>
    <t>MODELO DE GESTION</t>
  </si>
  <si>
    <t>1. Integración de Base de Conocimiento al CRM</t>
  </si>
  <si>
    <t>2. Módulo de Reclamos y Sugerencias</t>
  </si>
  <si>
    <t>3. Integración de información de sistemas externos al CRM</t>
  </si>
  <si>
    <t>4. Módulo de gestión de Consultas de Organismos de Seguridad Social</t>
  </si>
  <si>
    <t>5. Módulo de Calidad de atención</t>
  </si>
  <si>
    <t>6. Módulo de Campañas Salientes</t>
  </si>
  <si>
    <t>Consultoría 3.</t>
  </si>
  <si>
    <t>1. Aplicación Móvil de Viajeros</t>
  </si>
  <si>
    <t>2. Aplicación Móvil de Denuncias</t>
  </si>
  <si>
    <t>TOTAL CONSULTORIAS IND.</t>
  </si>
  <si>
    <t>Nota: Todas las consultorias incluyen Viaticos</t>
  </si>
  <si>
    <t>ANEXO. Equipamiento y Adecuación de Infraestructura</t>
  </si>
  <si>
    <t>Conectividad de Puertos Operativos - Actualización de Infraestructura Tecnológica</t>
  </si>
  <si>
    <t>Equipamiento</t>
  </si>
  <si>
    <t>Costo con sin IVA</t>
  </si>
  <si>
    <t>Costo Con IVA</t>
  </si>
  <si>
    <t xml:space="preserve">Total </t>
  </si>
  <si>
    <t>Conceptos</t>
  </si>
  <si>
    <t>Equipamiento e Infraestructura C / IVA</t>
  </si>
  <si>
    <t>ANEXO. Adquisición de Hardware &amp; Software</t>
  </si>
  <si>
    <t>Arquitectura Tecnológica y de Infraestructura</t>
  </si>
  <si>
    <t>Costo s/IVA</t>
  </si>
  <si>
    <t>Costo c/ IVA</t>
  </si>
  <si>
    <t>Proyectos Informática Tributaria</t>
  </si>
  <si>
    <r>
      <t xml:space="preserve">Unidad de almacenamiento. Adquisición de una unidad de almacenamiento </t>
    </r>
    <r>
      <rPr>
        <i/>
        <sz val="11"/>
        <color theme="1"/>
        <rFont val="Calibri"/>
        <family val="2"/>
        <scheme val="minor"/>
      </rPr>
      <t>High-End</t>
    </r>
    <r>
      <rPr>
        <sz val="11"/>
        <color theme="1"/>
        <rFont val="Calibri"/>
        <family val="2"/>
        <scheme val="minor"/>
      </rPr>
      <t xml:space="preserve"> conectado a la </t>
    </r>
    <r>
      <rPr>
        <i/>
        <sz val="11"/>
        <color theme="1"/>
        <rFont val="Calibri"/>
        <family val="2"/>
        <scheme val="minor"/>
      </rPr>
      <t>Storage Área Network</t>
    </r>
    <r>
      <rPr>
        <sz val="11"/>
        <color theme="1"/>
        <rFont val="Calibri"/>
        <family val="2"/>
        <scheme val="minor"/>
      </rPr>
      <t xml:space="preserve"> para reemplazar el equipo Hitachi VSP. Capacidad estimada 1 PT con soporte por 5 años. </t>
    </r>
  </si>
  <si>
    <r>
      <rPr>
        <i/>
        <sz val="11"/>
        <color theme="1"/>
        <rFont val="Calibri"/>
        <family val="2"/>
        <scheme val="minor"/>
      </rPr>
      <t>Backup</t>
    </r>
    <r>
      <rPr>
        <sz val="11"/>
        <color theme="1"/>
        <rFont val="Calibri"/>
        <family val="2"/>
        <scheme val="minor"/>
      </rPr>
      <t xml:space="preserve">. Nueva Solución de </t>
    </r>
    <r>
      <rPr>
        <i/>
        <sz val="11"/>
        <color theme="1"/>
        <rFont val="Calibri"/>
        <family val="2"/>
        <scheme val="minor"/>
      </rPr>
      <t>backup</t>
    </r>
    <r>
      <rPr>
        <sz val="11"/>
        <color theme="1"/>
        <rFont val="Calibri"/>
        <family val="2"/>
        <scheme val="minor"/>
      </rPr>
      <t xml:space="preserve"> para las bases de datos centrales y archivos de producción para reducir los tiempos RTO y RPO utilizando tecnología de última generación con soporte por 5 años. </t>
    </r>
  </si>
  <si>
    <t>Proyectos Informática Aduanera</t>
  </si>
  <si>
    <r>
      <rPr>
        <i/>
        <sz val="11"/>
        <color theme="1"/>
        <rFont val="Calibri"/>
        <family val="2"/>
        <scheme val="minor"/>
      </rPr>
      <t xml:space="preserve">Virtual Desktop Infrastructure. </t>
    </r>
    <r>
      <rPr>
        <sz val="11"/>
        <color theme="1"/>
        <rFont val="Calibri"/>
        <family val="2"/>
        <scheme val="minor"/>
      </rPr>
      <t xml:space="preserve">Adquisición de una solución VDI para casos específicos (Capacitación, </t>
    </r>
    <r>
      <rPr>
        <i/>
        <sz val="11"/>
        <color theme="1"/>
        <rFont val="Calibri"/>
        <family val="2"/>
        <scheme val="minor"/>
      </rPr>
      <t>call-center</t>
    </r>
    <r>
      <rPr>
        <sz val="11"/>
        <color theme="1"/>
        <rFont val="Calibri"/>
        <family val="2"/>
        <scheme val="minor"/>
      </rPr>
      <t>).</t>
    </r>
  </si>
  <si>
    <t xml:space="preserve">Software de Gateway  - PAM con servicio de soporte y actualizacion tecnologica. (Implementacion de medidas adicionales de seguridad IG 2/2017 - Punto 7)  Presupuesto a verificar </t>
  </si>
  <si>
    <r>
      <rPr>
        <sz val="11"/>
        <color theme="1"/>
        <rFont val="Calibri"/>
        <family val="2"/>
        <scheme val="minor"/>
      </rPr>
      <t xml:space="preserve">Desarrollo de transacciones interactivas. Desarrollo todas las transacciones interactivas que hoy se ejecutan como </t>
    </r>
    <r>
      <rPr>
        <i/>
        <sz val="11"/>
        <color theme="1"/>
        <rFont val="Calibri"/>
        <family val="2"/>
        <scheme val="minor"/>
      </rPr>
      <t>Forms</t>
    </r>
    <r>
      <rPr>
        <sz val="11"/>
        <color theme="1"/>
        <rFont val="Calibri"/>
        <family val="2"/>
        <scheme val="minor"/>
      </rPr>
      <t xml:space="preserve"> Web en un nuevo entorno informático</t>
    </r>
  </si>
  <si>
    <t>Proyectos Informática Seguridad Social</t>
  </si>
  <si>
    <r>
      <rPr>
        <sz val="11"/>
        <color theme="1"/>
        <rFont val="Calibri"/>
        <family val="2"/>
        <scheme val="minor"/>
      </rPr>
      <t xml:space="preserve">Adecuaciones del </t>
    </r>
    <r>
      <rPr>
        <i/>
        <sz val="11"/>
        <color theme="1"/>
        <rFont val="Calibri"/>
        <family val="2"/>
        <scheme val="minor"/>
      </rPr>
      <t>FrontEnd</t>
    </r>
    <r>
      <rPr>
        <sz val="11"/>
        <color theme="1"/>
        <rFont val="Calibri"/>
        <family val="2"/>
        <scheme val="minor"/>
      </rPr>
      <t xml:space="preserve"> de sistemas principales y reingeniería de aplicativos Web para el sistema de seguridad social</t>
    </r>
  </si>
  <si>
    <t>Comunicación</t>
  </si>
  <si>
    <t>Consolidación del acervo tecnológico y capacitación de nuevas tecnologías (Minería de datos, Analytics, Big Data, capacitación)
En Miles</t>
  </si>
  <si>
    <t xml:space="preserve">Aprovechamiento de energías renovables. Provisión de energía generada en forma sustentable para dependencias remotas de frontera y otras específicas como sustento integral de vida, eficiencia y calidad de servicio por dificultades de aprovisionamiento de combustibles y otras energía, en consonancia con el Decreto Presidencial 9/2017. Esta actividad se desarrollará con la colaboración de diversos organismos del Estado (v.g. INVAP, Ministerio de Ciencia, Tecnología e Innovación Productiva). </t>
  </si>
  <si>
    <t>Adquisición de equipos de telefonía móvil. A efectos de mantener la continuidad operativa para brindar un servicio ubicuo y móvil en el acceso a las comunicaciones y los sistemas informáticos operativos por parte de los funcionarios de la AFIP</t>
  </si>
  <si>
    <r>
      <rPr>
        <sz val="11"/>
        <color theme="1"/>
        <rFont val="Times New Roman"/>
        <family val="1"/>
      </rPr>
      <t xml:space="preserve"> </t>
    </r>
    <r>
      <rPr>
        <sz val="11"/>
        <color theme="1"/>
        <rFont val="Calibri"/>
        <family val="2"/>
        <scheme val="minor"/>
      </rPr>
      <t xml:space="preserve">Conectividad Proyecto Hidrovía. Atento al requerimiento efectuado por la Dirección Regional Aduanera Hidrovía (REF: ACT SIGEA N° 18083-186-2016 / NOTA N° 777/2016 (DI GERP)), respecto de la necesidad de adquirir e instalar un Sistema de CCTV inteligente en puntos estratégicos, se requiere la puesta en funcionamiento de un sistema de interconexión de red de datos entre los puntos específicos de la localidad Isla del Cerrito y sobre el Puente General Belgrano. </t>
    </r>
  </si>
  <si>
    <t>Seguridad informática</t>
  </si>
  <si>
    <r>
      <t xml:space="preserve">Adquisición de Sistema Para Detección y Análisis de amenazas avanzadas. Solución para la recopilación y correlación de eventos de múltiples dispositivos de seguridad, permitiendo mediante la administración y análisis de </t>
    </r>
    <r>
      <rPr>
        <i/>
        <sz val="11"/>
        <color theme="1"/>
        <rFont val="Calibri"/>
        <family val="2"/>
        <scheme val="minor"/>
      </rPr>
      <t>Big Data</t>
    </r>
    <r>
      <rPr>
        <sz val="11"/>
        <color theme="1"/>
        <rFont val="Calibri"/>
        <family val="2"/>
        <scheme val="minor"/>
      </rPr>
      <t xml:space="preserve">, sumado a la visibilidad completa del tráfico de red, la posibilidad de detección y mitigación de amenazas que no pueden ser identificadas en forma desagregada. </t>
    </r>
  </si>
  <si>
    <r>
      <t xml:space="preserve">Adquisición de plataforma de mitigación de DDOS en la nube para CABASE. El objetivo de esta plataforma es la mitigación temprana de ataques de DDOS dentro de </t>
    </r>
    <r>
      <rPr>
        <i/>
        <sz val="11"/>
        <color theme="1"/>
        <rFont val="Calibri"/>
        <family val="2"/>
        <scheme val="minor"/>
      </rPr>
      <t xml:space="preserve">backbone </t>
    </r>
    <r>
      <rPr>
        <sz val="11"/>
        <color theme="1"/>
        <rFont val="Calibri"/>
        <family val="2"/>
        <scheme val="minor"/>
      </rPr>
      <t>de CABASE.</t>
    </r>
  </si>
  <si>
    <r>
      <t xml:space="preserve">Adquisición de plataforma de Firewall de Aplicaciones WEB. Incorporación de dispositivos WAF para mitigación de ataques sobre aplicaciones WEB y </t>
    </r>
    <r>
      <rPr>
        <i/>
        <sz val="11"/>
        <color theme="1"/>
        <rFont val="Calibri"/>
        <family val="2"/>
        <scheme val="minor"/>
      </rPr>
      <t>webservices</t>
    </r>
    <r>
      <rPr>
        <sz val="11"/>
        <color theme="1"/>
        <rFont val="Calibri"/>
        <family val="2"/>
        <scheme val="minor"/>
      </rPr>
      <t xml:space="preserve"> en el centro de cómputos de AFIP. </t>
    </r>
  </si>
  <si>
    <r>
      <t xml:space="preserve">Adquisición de software Token. Software de autenticación con contraseñas de un sólo uso (OTP – </t>
    </r>
    <r>
      <rPr>
        <i/>
        <sz val="11"/>
        <color theme="1"/>
        <rFont val="Calibri"/>
        <family val="2"/>
        <scheme val="minor"/>
      </rPr>
      <t>One Time Password</t>
    </r>
    <r>
      <rPr>
        <sz val="11"/>
        <color theme="1"/>
        <rFont val="Calibri"/>
        <family val="2"/>
        <scheme val="minor"/>
      </rPr>
      <t xml:space="preserve"> utilizando la tecnología OATH) que combina la seguridad de un esquema de doble factor con la practicidad de que las mismas se generen en los dispositivos de tecnología móvil.</t>
    </r>
  </si>
  <si>
    <r>
      <t>Actualización de HSM. A los efectos de cumplimentar los requerimientos establecidos para el licenciamiento como Autoridad Certificante dentro de la Infraestructura de Firma Digital de la República Argentina, en el año 2006 esta Administración Federal ha adquirido dispositivos criptográficos de seguridad denominados HSM (</t>
    </r>
    <r>
      <rPr>
        <i/>
        <sz val="11"/>
        <color theme="1"/>
        <rFont val="Calibri"/>
        <family val="2"/>
        <scheme val="minor"/>
      </rPr>
      <t>Hardware Security Module</t>
    </r>
    <r>
      <rPr>
        <sz val="11"/>
        <color theme="1"/>
        <rFont val="Calibri"/>
        <family val="2"/>
        <scheme val="minor"/>
      </rPr>
      <t xml:space="preserve">). Considerando la evolución tecnológica, se requiere el reemplazo del hardware en cuestión. </t>
    </r>
  </si>
  <si>
    <t>Software Segurida Informatica</t>
  </si>
  <si>
    <t>Hardware &amp; Software C / IVA</t>
  </si>
  <si>
    <t>ANEXO. Administración del Programa Total</t>
  </si>
  <si>
    <t>RRHH</t>
  </si>
  <si>
    <t>Meses</t>
  </si>
  <si>
    <t>Monto Mensual</t>
  </si>
  <si>
    <t>Evaluaciónes:</t>
  </si>
  <si>
    <t>Evaluación Intermedia</t>
  </si>
  <si>
    <t>Ev. Económica</t>
  </si>
  <si>
    <t>Ev. De Impacto</t>
  </si>
  <si>
    <t>Subtotal Totales</t>
  </si>
  <si>
    <t>Resumen</t>
  </si>
  <si>
    <t>Por Item del Gasto</t>
  </si>
  <si>
    <t>Por Componente</t>
  </si>
  <si>
    <t>Monto</t>
  </si>
  <si>
    <t>Concepto</t>
  </si>
  <si>
    <t>Firmas</t>
  </si>
  <si>
    <t>Componente 1</t>
  </si>
  <si>
    <t>Individuales</t>
  </si>
  <si>
    <t>Componente 2</t>
  </si>
  <si>
    <t>Soft</t>
  </si>
  <si>
    <t>Componente 3</t>
  </si>
  <si>
    <t>Hard</t>
  </si>
  <si>
    <t>Adminsitración</t>
  </si>
  <si>
    <t>Obra</t>
  </si>
  <si>
    <t>Total sin IVA</t>
  </si>
  <si>
    <t>Presupuesto Perfil</t>
  </si>
  <si>
    <t>COMPONENTE</t>
  </si>
  <si>
    <t>FUENTE</t>
  </si>
  <si>
    <t>EXTERNA</t>
  </si>
  <si>
    <t>Detalle Por Item del Gasto</t>
  </si>
  <si>
    <t>Plan de Adquisiciones - 18 meses</t>
  </si>
  <si>
    <t>Descripcion</t>
  </si>
  <si>
    <t>1.1.1</t>
  </si>
  <si>
    <t>Software</t>
  </si>
  <si>
    <t>Simplificación del SCT y monitoreo</t>
  </si>
  <si>
    <t>Control de saldos a favor y su forma de utilización</t>
  </si>
  <si>
    <t>Control de computables</t>
  </si>
  <si>
    <t>Impuestos conceptos y funcionalidades faltantes</t>
  </si>
  <si>
    <t>Interacción con otros sistemas</t>
  </si>
  <si>
    <t>Incorporación de los cargos aduaneros</t>
  </si>
  <si>
    <t>1.1.2</t>
  </si>
  <si>
    <t>Actualización de los sistemas de informática tributaria</t>
  </si>
  <si>
    <t>Firma</t>
  </si>
  <si>
    <t>Aplicativos WEB - Reingenieria MAW</t>
  </si>
  <si>
    <t>Reingeniería Aplicaciones sistemas tributarios</t>
  </si>
  <si>
    <t>Registro Unico Tributario</t>
  </si>
  <si>
    <t>Sistema de Ingresos Directos</t>
  </si>
  <si>
    <t>Reingenieria de Datamart MATT</t>
  </si>
  <si>
    <t>Reingeniería SIAP</t>
  </si>
  <si>
    <t>OSIRIS</t>
  </si>
  <si>
    <t>AcreTa (Acreditaciones Tardias)</t>
  </si>
  <si>
    <t>MulAT (Multiples Administraciones Tributarias)</t>
  </si>
  <si>
    <t>1.1.3</t>
  </si>
  <si>
    <t>Desarrollo de sistema de perfil de riesgo</t>
  </si>
  <si>
    <t>Individual</t>
  </si>
  <si>
    <t>Mejora en el acceso a información para análisis de riesgo y control de la tributación en transacciones internacionales</t>
  </si>
  <si>
    <t>Sistemas de selección de casos para fiscalización</t>
  </si>
  <si>
    <t>Reingeniería de la aplicación -eFISCO-</t>
  </si>
  <si>
    <t>Reingeniería del sistema de seguimiento de fiscalizaciones -SEFI-</t>
  </si>
  <si>
    <t>Análisis de casos sectoriales</t>
  </si>
  <si>
    <t>Reingeniería de los Sistemas de registración y facturación electrónica</t>
  </si>
  <si>
    <t>Desarrollo e Implmentación de un sistema integral de gestiòn de solicitudes de devolución o reintegro de impuestos</t>
  </si>
  <si>
    <t>1.1.4</t>
  </si>
  <si>
    <t>Nuevo Sistema de Cobranza Coactiva (ex SIRAEF - SOJ)</t>
  </si>
  <si>
    <t>Sistema de Gestion Judicial - Modulo Penal (ex SCP)</t>
  </si>
  <si>
    <t>Sistema de Gestion Judicial - Modulo Contencioso No Tributario (ex QUAESTOR)</t>
  </si>
  <si>
    <t>1.1.5</t>
  </si>
  <si>
    <t>Consolidación del acervo tecnológico y capacitación de nuevas tecnologías (Minería de datos, Analytics, Big Data, capacitación)</t>
  </si>
  <si>
    <t>1.2.1</t>
  </si>
  <si>
    <t>1.2.2</t>
  </si>
  <si>
    <t>1.2.3</t>
  </si>
  <si>
    <t>Actualización de Infraestructura Tecnológica</t>
  </si>
  <si>
    <t>Equipamiento&amp;Edilicia</t>
  </si>
  <si>
    <t>1.2.4</t>
  </si>
  <si>
    <t>Nuevo Sistema de Atención en Frontera</t>
  </si>
  <si>
    <t>Hardware</t>
  </si>
  <si>
    <t>Integración de Base de Conocimiento al CRM</t>
  </si>
  <si>
    <t>Módulo de Reclamos y Sugerencias</t>
  </si>
  <si>
    <t>Integración de información de sistemas externos al CRM</t>
  </si>
  <si>
    <t>Módulo de gestión de Consultas de Organismos de Seguridad Social</t>
  </si>
  <si>
    <t>Módulo de Calidad de atención</t>
  </si>
  <si>
    <t>Módulo de Campañas Salientes</t>
  </si>
  <si>
    <t>Modulo aduanero</t>
  </si>
  <si>
    <t>Aplicación Móvil de Viajeros</t>
  </si>
  <si>
    <t>Aplicación Móvil de Denuncias</t>
  </si>
  <si>
    <t>Modulos de autogestión y cabinas de atención rápida</t>
  </si>
  <si>
    <t>Modelo de trazabilidad de los turnos de verificación aduaneros</t>
  </si>
  <si>
    <t>Análisis y definición del nuevo modelo</t>
  </si>
  <si>
    <t>Canales de Atención</t>
  </si>
  <si>
    <t>Consultores Internos Comprar</t>
  </si>
  <si>
    <t>Consultores Internos GDE</t>
  </si>
  <si>
    <t>Adminsitracion</t>
  </si>
  <si>
    <t xml:space="preserv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</si>
</sst>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_(* #,##0_);_(* \(#,##0\);_(* &quot;-&quot;??_);_(@_)"/>
    <numFmt numFmtId="165" formatCode="_(* #,##0.0_);_(* \(#,##0.0\);_(* &quot;-&quot;??_);_(@_)"/>
    <numFmt numFmtId="166" formatCode="0.0%"/>
    <numFmt numFmtId="167" formatCode="_-* #,##0.0\ _€_-;\-* #,##0.0\ _€_-;_-* &quot;-&quot;?\ _€_-;_-@_-"/>
    <numFmt numFmtId="168" formatCode="[$USD]\ #,##0.0\ "/>
    <numFmt numFmtId="169" formatCode="[$USD]\ #,##0.0"/>
    <numFmt numFmtId="170" formatCode="[$USD]\ #,##0\ "/>
    <numFmt numFmtId="171" formatCode="#,##0.0\ [$USD]"/>
    <numFmt numFmtId="172" formatCode="\ [$USD]\ #,##0.0"/>
    <numFmt numFmtId="173" formatCode="\ [$USD]\ #,##0"/>
    <numFmt numFmtId="174" formatCode="_ * #,##0.0_ ;_ * \-#,##0.0_ ;_ * &quot;-&quot;?_ ;_ @_ "/>
    <numFmt numFmtId="175" formatCode="_(* #,##0.000_);_(* \(#,##0.000\);_(* &quot;-&quot;??_);_(@_)"/>
  </numFmts>
  <fonts count="6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sz val="12"/>
      <color theme="1"/>
      <name val="Calibri"/>
      <family val="2"/>
      <scheme val="minor"/>
    </font>
    <font>
      <sz val="11"/>
      <color theme="1"/>
      <name val="Times New Roman"/>
      <family val="1"/>
    </font>
    <font>
      <b/>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1"/>
      <name val="Tahoma"/>
      <family val="2"/>
    </font>
    <font>
      <b/>
      <sz val="9"/>
      <color indexed="81"/>
      <name val="Tahoma"/>
      <family val="2"/>
    </font>
    <font>
      <sz val="11"/>
      <color rgb="FF000000"/>
      <name val="Calibri"/>
      <family val="2"/>
      <charset val="1"/>
    </font>
    <font>
      <b/>
      <sz val="10"/>
      <color rgb="FFFFFFFF"/>
      <name val="Calibri"/>
      <family val="2"/>
      <scheme val="minor"/>
    </font>
    <font>
      <b/>
      <sz val="10"/>
      <color rgb="FF000000"/>
      <name val="Calibri"/>
      <family val="2"/>
      <scheme val="minor"/>
    </font>
    <font>
      <sz val="10"/>
      <color rgb="FF000000"/>
      <name val="Calibri"/>
      <family val="2"/>
      <scheme val="minor"/>
    </font>
    <font>
      <sz val="10"/>
      <color theme="1"/>
      <name val="Calibri"/>
      <family val="2"/>
      <scheme val="minor"/>
    </font>
    <font>
      <b/>
      <sz val="9"/>
      <color rgb="FF000000"/>
      <name val="Calibri"/>
      <family val="2"/>
      <scheme val="minor"/>
    </font>
    <font>
      <sz val="9"/>
      <color rgb="FF000000"/>
      <name val="Calibri"/>
      <family val="2"/>
      <scheme val="minor"/>
    </font>
    <font>
      <sz val="11"/>
      <color rgb="FF000000"/>
      <name val="Calibri"/>
      <family val="2"/>
      <scheme val="minor"/>
    </font>
    <font>
      <b/>
      <sz val="11"/>
      <color rgb="FF000000"/>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b/>
      <sz val="11"/>
      <name val="Calibri"/>
      <family val="2"/>
      <scheme val="minor"/>
    </font>
    <font>
      <sz val="11"/>
      <name val="Calibri"/>
      <family val="2"/>
      <scheme val="minor"/>
    </font>
    <font>
      <sz val="14"/>
      <color theme="1"/>
      <name val="Calibri"/>
      <family val="2"/>
      <scheme val="minor"/>
    </font>
    <font>
      <u/>
      <sz val="11"/>
      <name val="Calibri"/>
      <family val="2"/>
      <scheme val="minor"/>
    </font>
    <font>
      <u/>
      <sz val="11"/>
      <color theme="1"/>
      <name val="Calibri"/>
      <family val="2"/>
      <scheme val="minor"/>
    </font>
    <font>
      <i/>
      <sz val="11"/>
      <color theme="1"/>
      <name val="Calibri"/>
      <family val="2"/>
      <scheme val="minor"/>
    </font>
    <font>
      <sz val="11"/>
      <color theme="1"/>
      <name val="Symbol"/>
      <family val="1"/>
      <charset val="2"/>
    </font>
    <font>
      <b/>
      <sz val="18"/>
      <color theme="1"/>
      <name val="Calibri"/>
      <family val="2"/>
      <scheme val="minor"/>
    </font>
    <font>
      <b/>
      <sz val="20"/>
      <color theme="1"/>
      <name val="Calibri"/>
      <family val="2"/>
      <scheme val="minor"/>
    </font>
    <font>
      <b/>
      <sz val="12"/>
      <color rgb="FF000000"/>
      <name val="Calibri"/>
      <family val="2"/>
      <scheme val="minor"/>
    </font>
    <font>
      <sz val="10"/>
      <name val="Calibri"/>
      <family val="2"/>
      <scheme val="minor"/>
    </font>
    <font>
      <b/>
      <sz val="10"/>
      <color theme="1"/>
      <name val="Calibri"/>
      <family val="2"/>
      <scheme val="minor"/>
    </font>
    <font>
      <u/>
      <sz val="11"/>
      <color rgb="FF000000"/>
      <name val="Calibri"/>
      <family val="2"/>
      <scheme val="minor"/>
    </font>
    <font>
      <b/>
      <sz val="22"/>
      <color theme="1"/>
      <name val="Calibri"/>
      <family val="2"/>
      <scheme val="minor"/>
    </font>
    <font>
      <sz val="11"/>
      <color rgb="FF000000"/>
      <name val="Arial"/>
      <family val="2"/>
    </font>
  </fonts>
  <fills count="52">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C0C0C0"/>
        <bgColor indexed="64"/>
      </patternFill>
    </fill>
    <fill>
      <patternFill patternType="solid">
        <fgColor rgb="FFBFBFBF"/>
        <bgColor indexed="64"/>
      </patternFill>
    </fill>
    <fill>
      <patternFill patternType="solid">
        <fgColor theme="9" tint="0.39997558519241921"/>
        <bgColor indexed="64"/>
      </patternFill>
    </fill>
    <fill>
      <patternFill patternType="solid">
        <fgColor theme="9"/>
        <bgColor indexed="64"/>
      </patternFill>
    </fill>
    <fill>
      <patternFill patternType="solid">
        <fgColor rgb="FF404040"/>
        <bgColor indexed="64"/>
      </patternFill>
    </fill>
    <fill>
      <patternFill patternType="solid">
        <fgColor rgb="FFA5A5A5"/>
        <bgColor indexed="64"/>
      </patternFill>
    </fill>
    <fill>
      <patternFill patternType="solid">
        <fgColor rgb="FF00000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rgb="FFFF0000"/>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C000"/>
        <bgColor indexed="64"/>
      </patternFill>
    </fill>
    <fill>
      <patternFill patternType="solid">
        <fgColor rgb="FFC2D69B"/>
        <bgColor indexed="64"/>
      </patternFill>
    </fill>
    <fill>
      <patternFill patternType="solid">
        <fgColor rgb="FFD6E3BC"/>
        <bgColor indexed="64"/>
      </patternFill>
    </fill>
    <fill>
      <patternFill patternType="solid">
        <fgColor rgb="FFD9D9D9"/>
        <bgColor indexed="64"/>
      </patternFill>
    </fill>
    <fill>
      <patternFill patternType="solid">
        <fgColor theme="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92D050"/>
        <bgColor indexed="64"/>
      </patternFill>
    </fill>
  </fills>
  <borders count="78">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rgb="FF000000"/>
      </right>
      <top/>
      <bottom style="medium">
        <color rgb="FF000000"/>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medium">
        <color indexed="64"/>
      </right>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rgb="FF000000"/>
      </bottom>
      <diagonal/>
    </border>
    <border>
      <left/>
      <right style="medium">
        <color rgb="FF000000"/>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indexed="64"/>
      </right>
      <top/>
      <bottom/>
      <diagonal/>
    </border>
    <border>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auto="1"/>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38">
    <xf numFmtId="0" fontId="0" fillId="0" borderId="0"/>
    <xf numFmtId="0" fontId="8" fillId="0" borderId="0"/>
    <xf numFmtId="0" fontId="8" fillId="0" borderId="0"/>
    <xf numFmtId="0" fontId="7" fillId="0" borderId="0"/>
    <xf numFmtId="0" fontId="6" fillId="0" borderId="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6"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24" borderId="3" applyNumberFormat="0" applyAlignment="0" applyProtection="0"/>
    <xf numFmtId="0" fontId="16" fillId="24" borderId="3" applyNumberFormat="0" applyAlignment="0" applyProtection="0"/>
    <xf numFmtId="0" fontId="16" fillId="24" borderId="3" applyNumberFormat="0" applyAlignment="0" applyProtection="0"/>
    <xf numFmtId="0" fontId="17" fillId="25" borderId="4" applyNumberFormat="0" applyAlignment="0" applyProtection="0"/>
    <xf numFmtId="0" fontId="17" fillId="25" borderId="4" applyNumberFormat="0" applyAlignment="0" applyProtection="0"/>
    <xf numFmtId="0" fontId="17" fillId="25" borderId="4"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8"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1" borderId="3" applyNumberFormat="0" applyAlignment="0" applyProtection="0"/>
    <xf numFmtId="0" fontId="23" fillId="11" borderId="3" applyNumberFormat="0" applyAlignment="0" applyProtection="0"/>
    <xf numFmtId="0" fontId="23" fillId="11" borderId="3" applyNumberFormat="0" applyAlignment="0" applyProtection="0"/>
    <xf numFmtId="0" fontId="24" fillId="0" borderId="8" applyNumberFormat="0" applyFill="0" applyAlignment="0" applyProtection="0"/>
    <xf numFmtId="0" fontId="24" fillId="0" borderId="8" applyNumberFormat="0" applyFill="0" applyAlignment="0" applyProtection="0"/>
    <xf numFmtId="0" fontId="24" fillId="0" borderId="8" applyNumberFormat="0" applyFill="0" applyAlignment="0" applyProtection="0"/>
    <xf numFmtId="0" fontId="25" fillId="26" borderId="0" applyNumberFormat="0" applyBorder="0" applyAlignment="0" applyProtection="0"/>
    <xf numFmtId="0" fontId="25" fillId="26" borderId="0" applyNumberFormat="0" applyBorder="0" applyAlignment="0" applyProtection="0"/>
    <xf numFmtId="0" fontId="25" fillId="26" borderId="0" applyNumberFormat="0" applyBorder="0" applyAlignment="0" applyProtection="0"/>
    <xf numFmtId="0" fontId="8" fillId="0" borderId="0"/>
    <xf numFmtId="0" fontId="8" fillId="0" borderId="0"/>
    <xf numFmtId="0" fontId="8" fillId="0" borderId="0"/>
    <xf numFmtId="0" fontId="8" fillId="0" borderId="0"/>
    <xf numFmtId="0" fontId="8" fillId="27" borderId="9" applyNumberFormat="0" applyFont="0" applyAlignment="0" applyProtection="0"/>
    <xf numFmtId="0" fontId="8" fillId="27" borderId="9" applyNumberFormat="0" applyFont="0" applyAlignment="0" applyProtection="0"/>
    <xf numFmtId="0" fontId="8" fillId="27" borderId="9" applyNumberFormat="0" applyFont="0" applyAlignment="0" applyProtection="0"/>
    <xf numFmtId="0" fontId="26" fillId="24" borderId="10" applyNumberFormat="0" applyAlignment="0" applyProtection="0"/>
    <xf numFmtId="0" fontId="26" fillId="24" borderId="10" applyNumberFormat="0" applyAlignment="0" applyProtection="0"/>
    <xf numFmtId="0" fontId="26" fillId="24" borderId="10" applyNumberFormat="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0" fontId="28" fillId="0" borderId="11" applyNumberFormat="0" applyFill="0" applyAlignment="0" applyProtection="0"/>
    <xf numFmtId="0" fontId="28" fillId="0" borderId="1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10" fillId="0" borderId="0" applyFont="0" applyFill="0" applyBorder="0" applyAlignment="0" applyProtection="0"/>
    <xf numFmtId="0" fontId="5" fillId="0" borderId="0"/>
    <xf numFmtId="0" fontId="32" fillId="0" borderId="0"/>
    <xf numFmtId="9" fontId="10" fillId="0" borderId="0" applyFont="0" applyFill="0" applyBorder="0" applyAlignment="0" applyProtection="0"/>
    <xf numFmtId="0" fontId="3" fillId="0" borderId="0"/>
    <xf numFmtId="0" fontId="3" fillId="0" borderId="0"/>
  </cellStyleXfs>
  <cellXfs count="636">
    <xf numFmtId="0" fontId="0" fillId="0" borderId="0" xfId="0"/>
    <xf numFmtId="3" fontId="0" fillId="0" borderId="0" xfId="0" applyNumberFormat="1"/>
    <xf numFmtId="0" fontId="9" fillId="0" borderId="0" xfId="0" applyFont="1"/>
    <xf numFmtId="0" fontId="12" fillId="31" borderId="19" xfId="3" applyFont="1" applyFill="1" applyBorder="1" applyProtection="1">
      <protection locked="0"/>
    </xf>
    <xf numFmtId="0" fontId="33" fillId="32" borderId="12" xfId="0" applyFont="1" applyFill="1" applyBorder="1" applyAlignment="1">
      <alignment horizontal="center" vertical="center"/>
    </xf>
    <xf numFmtId="0" fontId="33" fillId="32" borderId="15" xfId="0" applyFont="1" applyFill="1" applyBorder="1" applyAlignment="1">
      <alignment horizontal="center" vertical="center"/>
    </xf>
    <xf numFmtId="0" fontId="35" fillId="0" borderId="15" xfId="0" applyFont="1" applyBorder="1" applyAlignment="1">
      <alignment horizontal="center" vertical="center"/>
    </xf>
    <xf numFmtId="166" fontId="33" fillId="34" borderId="16" xfId="135" applyNumberFormat="1" applyFont="1" applyFill="1" applyBorder="1" applyAlignment="1">
      <alignment horizontal="right" vertical="center"/>
    </xf>
    <xf numFmtId="0" fontId="4" fillId="0" borderId="0" xfId="3" applyFont="1" applyProtection="1">
      <protection locked="0"/>
    </xf>
    <xf numFmtId="0" fontId="41" fillId="0" borderId="0" xfId="3" applyFont="1" applyProtection="1">
      <protection locked="0"/>
    </xf>
    <xf numFmtId="0" fontId="12" fillId="36" borderId="0" xfId="3" applyFont="1" applyFill="1" applyBorder="1" applyProtection="1">
      <protection locked="0"/>
    </xf>
    <xf numFmtId="0" fontId="0" fillId="0" borderId="0" xfId="0" applyFont="1"/>
    <xf numFmtId="0" fontId="12" fillId="0" borderId="0" xfId="0" applyFont="1"/>
    <xf numFmtId="0" fontId="42" fillId="0" borderId="0" xfId="0" applyFont="1"/>
    <xf numFmtId="0" fontId="4" fillId="0" borderId="0" xfId="0" applyFont="1"/>
    <xf numFmtId="0" fontId="4" fillId="0" borderId="0" xfId="4" applyFont="1"/>
    <xf numFmtId="0" fontId="12" fillId="28" borderId="13" xfId="4" applyFont="1" applyFill="1" applyBorder="1" applyAlignment="1">
      <alignment horizontal="center" vertical="center" wrapText="1"/>
    </xf>
    <xf numFmtId="0" fontId="12" fillId="28" borderId="14" xfId="4" applyFont="1" applyFill="1" applyBorder="1" applyAlignment="1">
      <alignment horizontal="center" vertical="center" wrapText="1"/>
    </xf>
    <xf numFmtId="0" fontId="12" fillId="0" borderId="15" xfId="4" applyFont="1" applyBorder="1" applyAlignment="1">
      <alignment horizontal="left" vertical="center" wrapText="1" indent="1"/>
    </xf>
    <xf numFmtId="4" fontId="40" fillId="0" borderId="16" xfId="4" applyNumberFormat="1" applyFont="1" applyBorder="1" applyAlignment="1">
      <alignment horizontal="center" vertical="center" wrapText="1"/>
    </xf>
    <xf numFmtId="0" fontId="12" fillId="28" borderId="15" xfId="4" applyFont="1" applyFill="1" applyBorder="1" applyAlignment="1">
      <alignment vertical="center" wrapText="1"/>
    </xf>
    <xf numFmtId="4" fontId="40" fillId="5" borderId="16" xfId="4" applyNumberFormat="1" applyFont="1" applyFill="1" applyBorder="1" applyAlignment="1">
      <alignment horizontal="center" vertical="center" wrapText="1"/>
    </xf>
    <xf numFmtId="0" fontId="4" fillId="36" borderId="0" xfId="3" applyFont="1" applyFill="1" applyBorder="1" applyProtection="1">
      <protection locked="0"/>
    </xf>
    <xf numFmtId="0" fontId="4" fillId="0" borderId="0" xfId="3" applyFont="1" applyAlignment="1" applyProtection="1">
      <alignment horizontal="right"/>
      <protection locked="0"/>
    </xf>
    <xf numFmtId="0" fontId="12" fillId="0" borderId="0" xfId="3" applyFont="1" applyBorder="1" applyProtection="1">
      <protection locked="0"/>
    </xf>
    <xf numFmtId="3" fontId="12" fillId="0" borderId="0" xfId="3" applyNumberFormat="1" applyFont="1" applyProtection="1">
      <protection locked="0"/>
    </xf>
    <xf numFmtId="0" fontId="10" fillId="0" borderId="0" xfId="0" applyFont="1"/>
    <xf numFmtId="0" fontId="9" fillId="0" borderId="0" xfId="3" applyFont="1" applyProtection="1">
      <protection locked="0"/>
    </xf>
    <xf numFmtId="0" fontId="42" fillId="0" borderId="0" xfId="3" applyFont="1" applyProtection="1">
      <protection locked="0"/>
    </xf>
    <xf numFmtId="0" fontId="47" fillId="0" borderId="0" xfId="4" applyFont="1"/>
    <xf numFmtId="0" fontId="41" fillId="0" borderId="0" xfId="0" applyFont="1"/>
    <xf numFmtId="164" fontId="0" fillId="0" borderId="0" xfId="0" applyNumberFormat="1"/>
    <xf numFmtId="0" fontId="52" fillId="0" borderId="0" xfId="3" applyFont="1" applyProtection="1">
      <protection locked="0"/>
    </xf>
    <xf numFmtId="0" fontId="12" fillId="31" borderId="2" xfId="3" applyFont="1" applyFill="1" applyBorder="1" applyAlignment="1" applyProtection="1">
      <alignment horizontal="left" vertical="center" wrapText="1"/>
      <protection locked="0"/>
    </xf>
    <xf numFmtId="3" fontId="12" fillId="31" borderId="2" xfId="0" applyNumberFormat="1" applyFont="1" applyFill="1" applyBorder="1" applyAlignment="1" applyProtection="1">
      <alignment horizontal="right" vertical="center" wrapText="1"/>
      <protection locked="0"/>
    </xf>
    <xf numFmtId="3" fontId="12" fillId="31" borderId="2" xfId="3" applyNumberFormat="1" applyFont="1" applyFill="1" applyBorder="1" applyAlignment="1" applyProtection="1">
      <alignment horizontal="right" vertical="center" wrapText="1"/>
    </xf>
    <xf numFmtId="0" fontId="12" fillId="31" borderId="2" xfId="0" applyFont="1" applyFill="1" applyBorder="1" applyAlignment="1" applyProtection="1">
      <alignment horizontal="left" vertical="center" wrapText="1"/>
      <protection locked="0"/>
    </xf>
    <xf numFmtId="0" fontId="53" fillId="0" borderId="0" xfId="3" applyFont="1" applyProtection="1">
      <protection locked="0"/>
    </xf>
    <xf numFmtId="0" fontId="0" fillId="0" borderId="0" xfId="0" applyAlignment="1">
      <alignment horizontal="left" wrapText="1"/>
    </xf>
    <xf numFmtId="167" fontId="0" fillId="0" borderId="0" xfId="0" applyNumberFormat="1"/>
    <xf numFmtId="165" fontId="9" fillId="0" borderId="0" xfId="0" applyNumberFormat="1" applyFont="1"/>
    <xf numFmtId="0" fontId="36" fillId="0" borderId="0" xfId="0" applyFont="1"/>
    <xf numFmtId="166" fontId="42" fillId="0" borderId="0" xfId="135" applyNumberFormat="1" applyFont="1"/>
    <xf numFmtId="166" fontId="0" fillId="0" borderId="0" xfId="135" applyNumberFormat="1" applyFont="1"/>
    <xf numFmtId="166" fontId="36" fillId="0" borderId="0" xfId="135" applyNumberFormat="1" applyFont="1"/>
    <xf numFmtId="0" fontId="9" fillId="5" borderId="46" xfId="0" applyFont="1" applyFill="1" applyBorder="1" applyAlignment="1">
      <alignment horizontal="center"/>
    </xf>
    <xf numFmtId="0" fontId="9" fillId="5" borderId="47" xfId="0" applyFont="1" applyFill="1" applyBorder="1" applyAlignment="1">
      <alignment horizontal="center"/>
    </xf>
    <xf numFmtId="0" fontId="9" fillId="5" borderId="48" xfId="0" applyFont="1" applyFill="1" applyBorder="1" applyAlignment="1">
      <alignment horizontal="center"/>
    </xf>
    <xf numFmtId="0" fontId="9" fillId="5" borderId="56" xfId="0" applyFont="1" applyFill="1" applyBorder="1" applyAlignment="1">
      <alignment horizontal="center"/>
    </xf>
    <xf numFmtId="0" fontId="9" fillId="5" borderId="31" xfId="0" applyFont="1" applyFill="1" applyBorder="1" applyAlignment="1">
      <alignment horizontal="center"/>
    </xf>
    <xf numFmtId="0" fontId="9" fillId="5" borderId="32" xfId="0" applyFont="1" applyFill="1" applyBorder="1" applyAlignment="1">
      <alignment horizontal="center"/>
    </xf>
    <xf numFmtId="0" fontId="9" fillId="5" borderId="60" xfId="0" applyFont="1" applyFill="1" applyBorder="1" applyAlignment="1">
      <alignment horizontal="center"/>
    </xf>
    <xf numFmtId="0" fontId="9" fillId="5" borderId="61" xfId="0" applyFont="1" applyFill="1" applyBorder="1" applyAlignment="1">
      <alignment horizontal="center"/>
    </xf>
    <xf numFmtId="0" fontId="54" fillId="33" borderId="15" xfId="0" applyFont="1" applyFill="1" applyBorder="1" applyAlignment="1">
      <alignment horizontal="center" vertical="center"/>
    </xf>
    <xf numFmtId="0" fontId="54" fillId="33" borderId="16" xfId="0" applyFont="1" applyFill="1" applyBorder="1" applyAlignment="1">
      <alignment horizontal="left" vertical="center"/>
    </xf>
    <xf numFmtId="166" fontId="54" fillId="33" borderId="16" xfId="0" applyNumberFormat="1" applyFont="1" applyFill="1" applyBorder="1" applyAlignment="1">
      <alignment horizontal="right" vertical="center"/>
    </xf>
    <xf numFmtId="0" fontId="39" fillId="48" borderId="15" xfId="0" applyFont="1" applyFill="1" applyBorder="1" applyAlignment="1">
      <alignment horizontal="center" vertical="center"/>
    </xf>
    <xf numFmtId="0" fontId="40" fillId="48" borderId="16" xfId="0" applyFont="1" applyFill="1" applyBorder="1" applyAlignment="1">
      <alignment horizontal="left" vertical="center" wrapText="1"/>
    </xf>
    <xf numFmtId="166" fontId="40" fillId="48" borderId="16" xfId="0" applyNumberFormat="1" applyFont="1" applyFill="1" applyBorder="1" applyAlignment="1">
      <alignment horizontal="right" vertical="center"/>
    </xf>
    <xf numFmtId="0" fontId="35" fillId="36" borderId="63" xfId="0" applyFont="1" applyFill="1" applyBorder="1" applyAlignment="1">
      <alignment horizontal="center" vertical="center"/>
    </xf>
    <xf numFmtId="0" fontId="35" fillId="36" borderId="63" xfId="0" applyFont="1" applyFill="1" applyBorder="1" applyAlignment="1">
      <alignment horizontal="left" vertical="center" wrapText="1"/>
    </xf>
    <xf numFmtId="166" fontId="35" fillId="36" borderId="59" xfId="0" applyNumberFormat="1" applyFont="1" applyFill="1" applyBorder="1" applyAlignment="1">
      <alignment horizontal="right" vertical="center"/>
    </xf>
    <xf numFmtId="0" fontId="38" fillId="36" borderId="64" xfId="0" applyFont="1" applyFill="1" applyBorder="1" applyAlignment="1">
      <alignment horizontal="center" vertical="center"/>
    </xf>
    <xf numFmtId="0" fontId="38" fillId="36" borderId="64" xfId="0" applyFont="1" applyFill="1" applyBorder="1" applyAlignment="1">
      <alignment horizontal="left" vertical="center" wrapText="1"/>
    </xf>
    <xf numFmtId="166" fontId="38" fillId="36" borderId="65" xfId="0" applyNumberFormat="1" applyFont="1" applyFill="1" applyBorder="1" applyAlignment="1">
      <alignment horizontal="right" vertical="center"/>
    </xf>
    <xf numFmtId="0" fontId="38" fillId="36" borderId="66" xfId="0" applyFont="1" applyFill="1" applyBorder="1" applyAlignment="1">
      <alignment horizontal="center" vertical="center"/>
    </xf>
    <xf numFmtId="0" fontId="38" fillId="36" borderId="66" xfId="0" applyFont="1" applyFill="1" applyBorder="1" applyAlignment="1">
      <alignment horizontal="left" vertical="center" wrapText="1"/>
    </xf>
    <xf numFmtId="166" fontId="38" fillId="36" borderId="62" xfId="0" applyNumberFormat="1" applyFont="1" applyFill="1" applyBorder="1" applyAlignment="1">
      <alignment horizontal="right" vertical="center"/>
    </xf>
    <xf numFmtId="0" fontId="35" fillId="36" borderId="67" xfId="0" applyFont="1" applyFill="1" applyBorder="1" applyAlignment="1">
      <alignment horizontal="center" vertical="center"/>
    </xf>
    <xf numFmtId="166" fontId="35" fillId="36" borderId="68" xfId="0" applyNumberFormat="1" applyFont="1" applyFill="1" applyBorder="1" applyAlignment="1">
      <alignment horizontal="right" vertical="center"/>
    </xf>
    <xf numFmtId="0" fontId="38" fillId="0" borderId="64" xfId="0" applyFont="1" applyBorder="1" applyAlignment="1">
      <alignment horizontal="center" vertical="center"/>
    </xf>
    <xf numFmtId="164" fontId="44" fillId="0" borderId="65" xfId="132" applyNumberFormat="1" applyFont="1" applyBorder="1" applyAlignment="1">
      <alignment horizontal="right" vertical="center"/>
    </xf>
    <xf numFmtId="0" fontId="38" fillId="0" borderId="69" xfId="0" applyFont="1" applyBorder="1" applyAlignment="1">
      <alignment horizontal="center" vertical="center"/>
    </xf>
    <xf numFmtId="0" fontId="35" fillId="0" borderId="63" xfId="0" applyFont="1" applyBorder="1" applyAlignment="1">
      <alignment horizontal="center" vertical="center"/>
    </xf>
    <xf numFmtId="0" fontId="44" fillId="0" borderId="64" xfId="0" applyFont="1" applyBorder="1" applyAlignment="1">
      <alignment horizontal="left" vertical="center" wrapText="1"/>
    </xf>
    <xf numFmtId="166" fontId="44" fillId="0" borderId="65" xfId="0" applyNumberFormat="1" applyFont="1" applyBorder="1" applyAlignment="1">
      <alignment vertical="center"/>
    </xf>
    <xf numFmtId="0" fontId="38" fillId="0" borderId="64" xfId="0" applyFont="1" applyFill="1" applyBorder="1" applyAlignment="1">
      <alignment horizontal="center" vertical="center"/>
    </xf>
    <xf numFmtId="0" fontId="44" fillId="0" borderId="64" xfId="0" applyFont="1" applyFill="1" applyBorder="1" applyAlignment="1">
      <alignment horizontal="left" vertical="center" wrapText="1"/>
    </xf>
    <xf numFmtId="166" fontId="44" fillId="0" borderId="65" xfId="0" applyNumberFormat="1" applyFont="1" applyFill="1" applyBorder="1" applyAlignment="1">
      <alignment vertical="center"/>
    </xf>
    <xf numFmtId="0" fontId="38" fillId="0" borderId="66" xfId="0" applyFont="1" applyBorder="1" applyAlignment="1">
      <alignment horizontal="center" vertical="center"/>
    </xf>
    <xf numFmtId="0" fontId="44" fillId="0" borderId="66" xfId="0" applyFont="1" applyBorder="1" applyAlignment="1">
      <alignment horizontal="left" vertical="center" wrapText="1"/>
    </xf>
    <xf numFmtId="164" fontId="44" fillId="0" borderId="62" xfId="132" applyNumberFormat="1" applyFont="1" applyBorder="1" applyAlignment="1">
      <alignment horizontal="right" vertical="center"/>
    </xf>
    <xf numFmtId="166" fontId="44" fillId="0" borderId="62" xfId="0" applyNumberFormat="1" applyFont="1" applyBorder="1" applyAlignment="1">
      <alignment vertical="center"/>
    </xf>
    <xf numFmtId="0" fontId="36" fillId="0" borderId="59" xfId="0" applyFont="1" applyBorder="1" applyAlignment="1">
      <alignment horizontal="left" vertical="center" wrapText="1"/>
    </xf>
    <xf numFmtId="0" fontId="36" fillId="0" borderId="16" xfId="0" applyFont="1" applyBorder="1" applyAlignment="1">
      <alignment horizontal="left" vertical="center" wrapText="1"/>
    </xf>
    <xf numFmtId="166" fontId="35" fillId="36" borderId="16" xfId="0" applyNumberFormat="1" applyFont="1" applyFill="1" applyBorder="1" applyAlignment="1">
      <alignment horizontal="right" vertical="center"/>
    </xf>
    <xf numFmtId="0" fontId="40" fillId="48" borderId="15" xfId="0" applyFont="1" applyFill="1" applyBorder="1" applyAlignment="1">
      <alignment horizontal="center" vertical="center"/>
    </xf>
    <xf numFmtId="0" fontId="12" fillId="48" borderId="16" xfId="0" applyFont="1" applyFill="1" applyBorder="1" applyAlignment="1">
      <alignment horizontal="left" vertical="center" wrapText="1"/>
    </xf>
    <xf numFmtId="0" fontId="36" fillId="0" borderId="63" xfId="0" applyFont="1" applyFill="1" applyBorder="1" applyAlignment="1">
      <alignment horizontal="center" vertical="center"/>
    </xf>
    <xf numFmtId="0" fontId="36" fillId="0" borderId="63" xfId="0" applyFont="1" applyFill="1" applyBorder="1" applyAlignment="1">
      <alignment horizontal="left" vertical="center" wrapText="1"/>
    </xf>
    <xf numFmtId="0" fontId="36" fillId="36" borderId="64" xfId="0" applyFont="1" applyFill="1" applyBorder="1" applyAlignment="1">
      <alignment horizontal="center" vertical="center"/>
    </xf>
    <xf numFmtId="0" fontId="36" fillId="36" borderId="66" xfId="0" applyFont="1" applyFill="1" applyBorder="1" applyAlignment="1">
      <alignment horizontal="center" vertical="center"/>
    </xf>
    <xf numFmtId="0" fontId="36" fillId="0" borderId="62" xfId="0" applyFont="1" applyBorder="1" applyAlignment="1">
      <alignment horizontal="left" vertical="center" wrapText="1"/>
    </xf>
    <xf numFmtId="0" fontId="35" fillId="36" borderId="29" xfId="0" applyFont="1" applyFill="1" applyBorder="1" applyAlignment="1">
      <alignment horizontal="center" vertical="center"/>
    </xf>
    <xf numFmtId="0" fontId="35" fillId="0" borderId="63" xfId="0" applyFont="1" applyBorder="1" applyAlignment="1">
      <alignment horizontal="left" vertical="center"/>
    </xf>
    <xf numFmtId="0" fontId="35" fillId="0" borderId="44" xfId="0" applyFont="1" applyBorder="1" applyAlignment="1">
      <alignment horizontal="center" vertical="center"/>
    </xf>
    <xf numFmtId="0" fontId="35" fillId="0" borderId="64" xfId="0" applyFont="1" applyBorder="1" applyAlignment="1">
      <alignment horizontal="left" vertical="center"/>
    </xf>
    <xf numFmtId="164" fontId="35" fillId="0" borderId="65" xfId="132" applyNumberFormat="1" applyFont="1" applyBorder="1" applyAlignment="1">
      <alignment horizontal="right" vertical="center"/>
    </xf>
    <xf numFmtId="0" fontId="35" fillId="0" borderId="66" xfId="0" applyFont="1" applyBorder="1" applyAlignment="1">
      <alignment horizontal="left" vertical="center"/>
    </xf>
    <xf numFmtId="164" fontId="35" fillId="0" borderId="62" xfId="132" applyNumberFormat="1" applyFont="1" applyBorder="1" applyAlignment="1">
      <alignment horizontal="right" vertical="center"/>
    </xf>
    <xf numFmtId="0" fontId="35" fillId="0" borderId="63" xfId="0" applyFont="1" applyFill="1" applyBorder="1" applyAlignment="1">
      <alignment horizontal="center" vertical="center"/>
    </xf>
    <xf numFmtId="0" fontId="35" fillId="0" borderId="64" xfId="0" applyFont="1" applyBorder="1" applyAlignment="1">
      <alignment horizontal="center" vertical="center"/>
    </xf>
    <xf numFmtId="0" fontId="35" fillId="0" borderId="66" xfId="0" applyFont="1" applyBorder="1" applyAlignment="1">
      <alignment horizontal="center" vertical="center"/>
    </xf>
    <xf numFmtId="0" fontId="54" fillId="33" borderId="16" xfId="0" applyFont="1" applyFill="1" applyBorder="1" applyAlignment="1">
      <alignment horizontal="left" vertical="center" wrapText="1"/>
    </xf>
    <xf numFmtId="0" fontId="35" fillId="0" borderId="59" xfId="0" applyFont="1" applyFill="1" applyBorder="1" applyAlignment="1">
      <alignment horizontal="left" vertical="center" wrapText="1"/>
    </xf>
    <xf numFmtId="166" fontId="35" fillId="0" borderId="59" xfId="0" applyNumberFormat="1" applyFont="1" applyFill="1" applyBorder="1" applyAlignment="1">
      <alignment horizontal="right" vertical="center"/>
    </xf>
    <xf numFmtId="0" fontId="35" fillId="0" borderId="62" xfId="0" applyFont="1" applyBorder="1" applyAlignment="1">
      <alignment horizontal="left" vertical="center"/>
    </xf>
    <xf numFmtId="0" fontId="36" fillId="0" borderId="59" xfId="0" applyFont="1" applyFill="1" applyBorder="1" applyAlignment="1">
      <alignment horizontal="left" vertical="center" wrapText="1"/>
    </xf>
    <xf numFmtId="0" fontId="35" fillId="0" borderId="65" xfId="0" applyFont="1" applyBorder="1" applyAlignment="1">
      <alignment horizontal="left" vertical="center"/>
    </xf>
    <xf numFmtId="0" fontId="35" fillId="0" borderId="64" xfId="0" applyFont="1" applyFill="1" applyBorder="1" applyAlignment="1">
      <alignment horizontal="center" vertical="center"/>
    </xf>
    <xf numFmtId="0" fontId="35" fillId="0" borderId="65" xfId="0" applyFont="1" applyFill="1" applyBorder="1" applyAlignment="1">
      <alignment horizontal="left" vertical="center"/>
    </xf>
    <xf numFmtId="0" fontId="35" fillId="0" borderId="66" xfId="0" applyFont="1" applyFill="1" applyBorder="1" applyAlignment="1">
      <alignment horizontal="center" vertical="center"/>
    </xf>
    <xf numFmtId="0" fontId="35" fillId="0" borderId="62" xfId="0" applyFont="1" applyFill="1" applyBorder="1" applyAlignment="1">
      <alignment horizontal="left" vertical="center"/>
    </xf>
    <xf numFmtId="0" fontId="35" fillId="0" borderId="15" xfId="0" applyFont="1" applyFill="1" applyBorder="1" applyAlignment="1">
      <alignment horizontal="center" vertical="center"/>
    </xf>
    <xf numFmtId="0" fontId="35" fillId="0" borderId="16" xfId="0" applyFont="1" applyFill="1" applyBorder="1" applyAlignment="1">
      <alignment horizontal="left" vertical="center" wrapText="1"/>
    </xf>
    <xf numFmtId="166" fontId="35" fillId="0" borderId="16" xfId="0" applyNumberFormat="1" applyFont="1" applyFill="1" applyBorder="1" applyAlignment="1">
      <alignment horizontal="right" vertical="center"/>
    </xf>
    <xf numFmtId="0" fontId="35" fillId="0" borderId="59" xfId="0" applyFont="1" applyFill="1" applyBorder="1" applyAlignment="1">
      <alignment horizontal="left" vertical="center"/>
    </xf>
    <xf numFmtId="0" fontId="35" fillId="0" borderId="65" xfId="0" applyFont="1" applyFill="1" applyBorder="1" applyAlignment="1">
      <alignment horizontal="left" vertical="center" wrapText="1"/>
    </xf>
    <xf numFmtId="0" fontId="35" fillId="0" borderId="65" xfId="0" applyFont="1" applyBorder="1" applyAlignment="1">
      <alignment horizontal="left" vertical="center" wrapText="1"/>
    </xf>
    <xf numFmtId="0" fontId="35" fillId="0" borderId="62" xfId="0" applyFont="1" applyBorder="1" applyAlignment="1">
      <alignment horizontal="left" vertical="center" wrapText="1"/>
    </xf>
    <xf numFmtId="0" fontId="40" fillId="33" borderId="15" xfId="0" applyFont="1" applyFill="1" applyBorder="1" applyAlignment="1">
      <alignment horizontal="center" vertical="center"/>
    </xf>
    <xf numFmtId="0" fontId="40" fillId="33" borderId="16" xfId="0" applyFont="1" applyFill="1" applyBorder="1" applyAlignment="1">
      <alignment horizontal="left" vertical="center"/>
    </xf>
    <xf numFmtId="166" fontId="40" fillId="33" borderId="16" xfId="0" applyNumberFormat="1" applyFont="1" applyFill="1" applyBorder="1" applyAlignment="1">
      <alignment horizontal="right" vertical="center"/>
    </xf>
    <xf numFmtId="0" fontId="9" fillId="0" borderId="63" xfId="0" applyFont="1" applyBorder="1" applyAlignment="1">
      <alignment horizontal="center" vertical="center"/>
    </xf>
    <xf numFmtId="0" fontId="0" fillId="0" borderId="64" xfId="0" applyBorder="1" applyAlignment="1">
      <alignment horizontal="center" vertical="center"/>
    </xf>
    <xf numFmtId="0" fontId="9" fillId="0" borderId="64" xfId="0" applyFont="1" applyBorder="1" applyAlignment="1">
      <alignment horizontal="center" vertical="center"/>
    </xf>
    <xf numFmtId="0" fontId="9" fillId="0" borderId="66" xfId="0" applyFont="1" applyBorder="1" applyAlignment="1">
      <alignment horizontal="center" vertical="center"/>
    </xf>
    <xf numFmtId="0" fontId="9" fillId="0" borderId="63" xfId="0" applyFont="1" applyBorder="1" applyAlignment="1">
      <alignment horizontal="left" vertical="center" wrapText="1"/>
    </xf>
    <xf numFmtId="0" fontId="0" fillId="0" borderId="64" xfId="0" applyBorder="1" applyAlignment="1">
      <alignment horizontal="left" vertical="center" wrapText="1"/>
    </xf>
    <xf numFmtId="0" fontId="9" fillId="0" borderId="64" xfId="0" applyFont="1" applyBorder="1" applyAlignment="1">
      <alignment horizontal="left" vertical="center" wrapText="1"/>
    </xf>
    <xf numFmtId="0" fontId="9" fillId="0" borderId="66" xfId="0" applyFont="1" applyBorder="1" applyAlignment="1">
      <alignment horizontal="left" vertical="center" wrapText="1"/>
    </xf>
    <xf numFmtId="166" fontId="9" fillId="0" borderId="0" xfId="135" applyNumberFormat="1" applyFont="1"/>
    <xf numFmtId="10" fontId="9" fillId="0" borderId="0" xfId="135" applyNumberFormat="1" applyFont="1"/>
    <xf numFmtId="0" fontId="12" fillId="0" borderId="0" xfId="0" applyFont="1" applyFill="1" applyBorder="1" applyAlignment="1"/>
    <xf numFmtId="0" fontId="0" fillId="0" borderId="0" xfId="0" applyBorder="1"/>
    <xf numFmtId="3" fontId="0" fillId="0" borderId="0" xfId="0" applyNumberFormat="1" applyBorder="1"/>
    <xf numFmtId="0" fontId="12" fillId="49" borderId="55" xfId="0" applyFont="1" applyFill="1" applyBorder="1" applyAlignment="1">
      <alignment horizontal="center" vertical="center" wrapText="1"/>
    </xf>
    <xf numFmtId="3" fontId="12" fillId="49" borderId="55" xfId="0" applyNumberFormat="1" applyFont="1" applyFill="1" applyBorder="1" applyAlignment="1">
      <alignment horizontal="center" vertical="center" wrapText="1"/>
    </xf>
    <xf numFmtId="0" fontId="0" fillId="0" borderId="55" xfId="0" applyFill="1" applyBorder="1" applyAlignment="1">
      <alignment wrapText="1"/>
    </xf>
    <xf numFmtId="0" fontId="12" fillId="0" borderId="0" xfId="0" applyFont="1" applyBorder="1"/>
    <xf numFmtId="0" fontId="0" fillId="0" borderId="0" xfId="0" applyBorder="1" applyAlignment="1"/>
    <xf numFmtId="3" fontId="0" fillId="0" borderId="55" xfId="0" applyNumberFormat="1" applyBorder="1" applyAlignment="1">
      <alignment horizontal="center"/>
    </xf>
    <xf numFmtId="3" fontId="12" fillId="0" borderId="0" xfId="0" applyNumberFormat="1" applyFont="1"/>
    <xf numFmtId="0" fontId="9" fillId="0" borderId="0" xfId="0" applyFont="1" applyBorder="1"/>
    <xf numFmtId="0" fontId="12" fillId="50" borderId="55" xfId="0" applyFont="1" applyFill="1" applyBorder="1" applyAlignment="1">
      <alignment wrapText="1"/>
    </xf>
    <xf numFmtId="3" fontId="12" fillId="50" borderId="55" xfId="0" applyNumberFormat="1" applyFont="1" applyFill="1" applyBorder="1" applyAlignment="1">
      <alignment horizontal="center"/>
    </xf>
    <xf numFmtId="3" fontId="12" fillId="50" borderId="55" xfId="0" applyNumberFormat="1" applyFont="1" applyFill="1" applyBorder="1"/>
    <xf numFmtId="0" fontId="9" fillId="35" borderId="55" xfId="0" applyFont="1" applyFill="1" applyBorder="1"/>
    <xf numFmtId="168" fontId="36" fillId="0" borderId="0" xfId="0" applyNumberFormat="1" applyFont="1"/>
    <xf numFmtId="168" fontId="36" fillId="0" borderId="13" xfId="132" applyNumberFormat="1" applyFont="1" applyBorder="1" applyAlignment="1">
      <alignment vertical="center" wrapText="1"/>
    </xf>
    <xf numFmtId="0" fontId="9" fillId="47" borderId="42" xfId="0" applyFont="1" applyFill="1" applyBorder="1" applyAlignment="1">
      <alignment horizontal="center" vertical="center" wrapText="1"/>
    </xf>
    <xf numFmtId="0" fontId="9" fillId="47" borderId="29" xfId="0" applyFont="1" applyFill="1" applyBorder="1" applyAlignment="1">
      <alignment horizontal="center" vertical="center" wrapText="1"/>
    </xf>
    <xf numFmtId="166" fontId="9" fillId="47" borderId="13" xfId="135" applyNumberFormat="1" applyFont="1" applyFill="1" applyBorder="1" applyAlignment="1">
      <alignment horizontal="center" vertical="center" wrapText="1"/>
    </xf>
    <xf numFmtId="0" fontId="56" fillId="47" borderId="28" xfId="0" applyFont="1" applyFill="1" applyBorder="1" applyAlignment="1">
      <alignment horizontal="left" vertical="center" wrapText="1"/>
    </xf>
    <xf numFmtId="168" fontId="56" fillId="47" borderId="13" xfId="132" applyNumberFormat="1" applyFont="1" applyFill="1" applyBorder="1" applyAlignment="1">
      <alignment vertical="center" wrapText="1"/>
    </xf>
    <xf numFmtId="166" fontId="56" fillId="47" borderId="13" xfId="135" applyNumberFormat="1" applyFont="1" applyFill="1" applyBorder="1" applyAlignment="1">
      <alignment vertical="center" wrapText="1"/>
    </xf>
    <xf numFmtId="168" fontId="56" fillId="47" borderId="15" xfId="132" applyNumberFormat="1" applyFont="1" applyFill="1" applyBorder="1" applyAlignment="1">
      <alignment vertical="center" wrapText="1"/>
    </xf>
    <xf numFmtId="166" fontId="56" fillId="47" borderId="15" xfId="135" applyNumberFormat="1" applyFont="1" applyFill="1" applyBorder="1" applyAlignment="1">
      <alignment vertical="center" wrapText="1"/>
    </xf>
    <xf numFmtId="0" fontId="56" fillId="45" borderId="39" xfId="0" applyFont="1" applyFill="1" applyBorder="1" applyAlignment="1">
      <alignment vertical="center" wrapText="1"/>
    </xf>
    <xf numFmtId="168" fontId="56" fillId="45" borderId="13" xfId="132" applyNumberFormat="1" applyFont="1" applyFill="1" applyBorder="1" applyAlignment="1">
      <alignment vertical="center" wrapText="1"/>
    </xf>
    <xf numFmtId="166" fontId="56" fillId="45" borderId="13" xfId="135" applyNumberFormat="1" applyFont="1" applyFill="1" applyBorder="1" applyAlignment="1">
      <alignment vertical="center" wrapText="1"/>
    </xf>
    <xf numFmtId="0" fontId="56" fillId="46" borderId="28" xfId="0" applyFont="1" applyFill="1" applyBorder="1" applyAlignment="1">
      <alignment horizontal="left" vertical="center" wrapText="1"/>
    </xf>
    <xf numFmtId="168" fontId="56" fillId="46" borderId="13" xfId="132" applyNumberFormat="1" applyFont="1" applyFill="1" applyBorder="1" applyAlignment="1">
      <alignment vertical="center" wrapText="1"/>
    </xf>
    <xf numFmtId="166" fontId="56" fillId="46" borderId="14" xfId="135" applyNumberFormat="1" applyFont="1" applyFill="1" applyBorder="1" applyAlignment="1">
      <alignment vertical="center" wrapText="1"/>
    </xf>
    <xf numFmtId="0" fontId="56" fillId="0" borderId="43" xfId="0" applyFont="1" applyBorder="1" applyAlignment="1">
      <alignment vertical="center" wrapText="1"/>
    </xf>
    <xf numFmtId="9" fontId="36" fillId="0" borderId="13" xfId="135" applyFont="1" applyBorder="1" applyAlignment="1">
      <alignment vertical="center" wrapText="1"/>
    </xf>
    <xf numFmtId="0" fontId="56" fillId="0" borderId="40" xfId="0" applyFont="1" applyBorder="1" applyAlignment="1">
      <alignment vertical="center" wrapText="1"/>
    </xf>
    <xf numFmtId="3" fontId="0" fillId="0" borderId="0" xfId="0" applyNumberFormat="1" applyFont="1"/>
    <xf numFmtId="0" fontId="56" fillId="46" borderId="13" xfId="0" applyFont="1" applyFill="1" applyBorder="1" applyAlignment="1">
      <alignment vertical="center" wrapText="1"/>
    </xf>
    <xf numFmtId="165" fontId="0" fillId="0" borderId="0" xfId="0" applyNumberFormat="1" applyFont="1"/>
    <xf numFmtId="167" fontId="0" fillId="0" borderId="0" xfId="0" applyNumberFormat="1" applyFont="1"/>
    <xf numFmtId="0" fontId="56" fillId="0" borderId="13" xfId="0" applyFont="1" applyBorder="1" applyAlignment="1">
      <alignment vertical="center" wrapText="1"/>
    </xf>
    <xf numFmtId="0" fontId="56" fillId="0" borderId="38" xfId="0" applyFont="1" applyBorder="1" applyAlignment="1">
      <alignment vertical="center" wrapText="1"/>
    </xf>
    <xf numFmtId="164" fontId="0" fillId="0" borderId="0" xfId="0" applyNumberFormat="1" applyFont="1"/>
    <xf numFmtId="0" fontId="56" fillId="0" borderId="41" xfId="0" applyFont="1" applyBorder="1" applyAlignment="1">
      <alignment vertical="center" wrapText="1"/>
    </xf>
    <xf numFmtId="166" fontId="36" fillId="0" borderId="18" xfId="135" applyNumberFormat="1" applyFont="1" applyBorder="1" applyAlignment="1">
      <alignment vertical="center" wrapText="1"/>
    </xf>
    <xf numFmtId="0" fontId="56" fillId="47" borderId="13" xfId="0" applyFont="1" applyFill="1" applyBorder="1" applyAlignment="1">
      <alignment horizontal="left" vertical="center" wrapText="1"/>
    </xf>
    <xf numFmtId="168" fontId="56" fillId="0" borderId="13" xfId="132" applyNumberFormat="1" applyFont="1" applyBorder="1" applyAlignment="1">
      <alignment vertical="center" wrapText="1"/>
    </xf>
    <xf numFmtId="168" fontId="56" fillId="5" borderId="13" xfId="132" applyNumberFormat="1" applyFont="1" applyFill="1" applyBorder="1" applyAlignment="1">
      <alignment vertical="center" wrapText="1"/>
    </xf>
    <xf numFmtId="43" fontId="56" fillId="5" borderId="13" xfId="132" applyFont="1" applyFill="1" applyBorder="1" applyAlignment="1">
      <alignment vertical="center" wrapText="1"/>
    </xf>
    <xf numFmtId="4" fontId="12" fillId="28" borderId="16" xfId="4" applyNumberFormat="1" applyFont="1" applyFill="1" applyBorder="1" applyAlignment="1">
      <alignment horizontal="center" vertical="center" wrapText="1"/>
    </xf>
    <xf numFmtId="169" fontId="42" fillId="0" borderId="0" xfId="3" applyNumberFormat="1" applyFont="1" applyProtection="1">
      <protection locked="0"/>
    </xf>
    <xf numFmtId="169" fontId="0" fillId="0" borderId="0" xfId="0" applyNumberFormat="1" applyFont="1"/>
    <xf numFmtId="169" fontId="9" fillId="0" borderId="0" xfId="3" applyNumberFormat="1" applyFont="1" applyProtection="1">
      <protection locked="0"/>
    </xf>
    <xf numFmtId="169" fontId="37" fillId="29" borderId="13" xfId="0" applyNumberFormat="1" applyFont="1" applyFill="1" applyBorder="1" applyAlignment="1">
      <alignment horizontal="center" vertical="center"/>
    </xf>
    <xf numFmtId="169" fontId="37" fillId="29" borderId="14" xfId="0" applyNumberFormat="1" applyFont="1" applyFill="1" applyBorder="1" applyAlignment="1">
      <alignment horizontal="center" vertical="center"/>
    </xf>
    <xf numFmtId="169" fontId="12" fillId="0" borderId="25" xfId="4" applyNumberFormat="1" applyFont="1" applyBorder="1" applyAlignment="1">
      <alignment horizontal="center" vertical="center" wrapText="1"/>
    </xf>
    <xf numFmtId="169" fontId="36" fillId="0" borderId="28" xfId="132" applyNumberFormat="1" applyFont="1" applyBorder="1"/>
    <xf numFmtId="169" fontId="36" fillId="0" borderId="13" xfId="132" applyNumberFormat="1" applyFont="1" applyBorder="1"/>
    <xf numFmtId="169" fontId="36" fillId="0" borderId="14" xfId="132" applyNumberFormat="1" applyFont="1" applyBorder="1"/>
    <xf numFmtId="169" fontId="34" fillId="2" borderId="14" xfId="132" applyNumberFormat="1" applyFont="1" applyFill="1" applyBorder="1" applyAlignment="1">
      <alignment horizontal="right" vertical="center"/>
    </xf>
    <xf numFmtId="169" fontId="45" fillId="37" borderId="25" xfId="4" applyNumberFormat="1" applyFont="1" applyFill="1" applyBorder="1" applyAlignment="1">
      <alignment horizontal="center" vertical="center" wrapText="1"/>
    </xf>
    <xf numFmtId="169" fontId="37" fillId="37" borderId="13" xfId="132" applyNumberFormat="1" applyFont="1" applyFill="1" applyBorder="1" applyAlignment="1">
      <alignment horizontal="right" vertical="center"/>
    </xf>
    <xf numFmtId="169" fontId="37" fillId="5" borderId="27" xfId="0" applyNumberFormat="1" applyFont="1" applyFill="1" applyBorder="1" applyAlignment="1">
      <alignment horizontal="center" vertical="center"/>
    </xf>
    <xf numFmtId="169" fontId="9" fillId="0" borderId="33" xfId="132" applyNumberFormat="1" applyFont="1" applyBorder="1" applyAlignment="1">
      <alignment horizontal="center"/>
    </xf>
    <xf numFmtId="169" fontId="9" fillId="0" borderId="57" xfId="132" applyNumberFormat="1" applyFont="1" applyBorder="1" applyAlignment="1">
      <alignment horizontal="center" vertical="center"/>
    </xf>
    <xf numFmtId="169" fontId="9" fillId="0" borderId="49" xfId="132" applyNumberFormat="1" applyFont="1" applyBorder="1" applyAlignment="1">
      <alignment horizontal="center"/>
    </xf>
    <xf numFmtId="169" fontId="9" fillId="0" borderId="2" xfId="132" applyNumberFormat="1" applyFont="1" applyBorder="1" applyAlignment="1">
      <alignment horizontal="center"/>
    </xf>
    <xf numFmtId="169" fontId="9" fillId="0" borderId="50" xfId="132" applyNumberFormat="1" applyFont="1" applyBorder="1" applyAlignment="1">
      <alignment horizontal="center"/>
    </xf>
    <xf numFmtId="169" fontId="9" fillId="0" borderId="20" xfId="132" applyNumberFormat="1" applyFont="1" applyBorder="1" applyAlignment="1">
      <alignment horizontal="center"/>
    </xf>
    <xf numFmtId="169" fontId="0" fillId="0" borderId="51" xfId="132" applyNumberFormat="1" applyFont="1" applyBorder="1" applyAlignment="1">
      <alignment horizontal="center" vertical="center" wrapText="1"/>
    </xf>
    <xf numFmtId="169" fontId="0" fillId="0" borderId="55" xfId="132" applyNumberFormat="1" applyFont="1" applyBorder="1" applyAlignment="1">
      <alignment horizontal="center" vertical="center" wrapText="1"/>
    </xf>
    <xf numFmtId="169" fontId="0" fillId="0" borderId="52" xfId="132" applyNumberFormat="1" applyFont="1" applyBorder="1" applyAlignment="1">
      <alignment horizontal="center" vertical="center" wrapText="1"/>
    </xf>
    <xf numFmtId="169" fontId="0" fillId="0" borderId="54" xfId="132" applyNumberFormat="1" applyFont="1" applyBorder="1" applyAlignment="1">
      <alignment horizontal="center" vertical="center" wrapText="1"/>
    </xf>
    <xf numFmtId="169" fontId="0" fillId="0" borderId="57" xfId="132" applyNumberFormat="1" applyFont="1" applyBorder="1" applyAlignment="1">
      <alignment horizontal="center" vertical="center" wrapText="1"/>
    </xf>
    <xf numFmtId="169" fontId="0" fillId="0" borderId="54" xfId="132" applyNumberFormat="1" applyFont="1" applyBorder="1" applyAlignment="1">
      <alignment vertical="center"/>
    </xf>
    <xf numFmtId="169" fontId="0" fillId="0" borderId="55" xfId="132" applyNumberFormat="1" applyFont="1" applyBorder="1" applyAlignment="1">
      <alignment vertical="center"/>
    </xf>
    <xf numFmtId="169" fontId="9" fillId="0" borderId="54" xfId="132" applyNumberFormat="1" applyFont="1" applyBorder="1" applyAlignment="1">
      <alignment horizontal="center" vertical="center"/>
    </xf>
    <xf numFmtId="169" fontId="9" fillId="0" borderId="51" xfId="132" applyNumberFormat="1" applyFont="1" applyBorder="1" applyAlignment="1">
      <alignment horizontal="center"/>
    </xf>
    <xf numFmtId="169" fontId="9" fillId="0" borderId="55" xfId="132" applyNumberFormat="1" applyFont="1" applyBorder="1" applyAlignment="1">
      <alignment horizontal="center"/>
    </xf>
    <xf numFmtId="169" fontId="9" fillId="0" borderId="52" xfId="132" applyNumberFormat="1" applyFont="1" applyBorder="1" applyAlignment="1">
      <alignment horizontal="center"/>
    </xf>
    <xf numFmtId="169" fontId="9" fillId="0" borderId="54" xfId="132" applyNumberFormat="1" applyFont="1" applyBorder="1" applyAlignment="1">
      <alignment horizontal="center"/>
    </xf>
    <xf numFmtId="169" fontId="9" fillId="0" borderId="57" xfId="132" applyNumberFormat="1" applyFont="1" applyBorder="1" applyAlignment="1">
      <alignment horizontal="center"/>
    </xf>
    <xf numFmtId="169" fontId="10" fillId="0" borderId="57" xfId="132" applyNumberFormat="1" applyFont="1" applyBorder="1" applyAlignment="1">
      <alignment horizontal="center" vertical="center" wrapText="1"/>
    </xf>
    <xf numFmtId="169" fontId="9" fillId="37" borderId="56" xfId="132" applyNumberFormat="1" applyFont="1" applyFill="1" applyBorder="1" applyAlignment="1">
      <alignment horizontal="center" vertical="center"/>
    </xf>
    <xf numFmtId="169" fontId="9" fillId="37" borderId="53" xfId="132" applyNumberFormat="1" applyFont="1" applyFill="1" applyBorder="1" applyAlignment="1">
      <alignment horizontal="center"/>
    </xf>
    <xf numFmtId="169" fontId="9" fillId="37" borderId="47" xfId="132" applyNumberFormat="1" applyFont="1" applyFill="1" applyBorder="1" applyAlignment="1">
      <alignment horizontal="center"/>
    </xf>
    <xf numFmtId="169" fontId="9" fillId="37" borderId="48" xfId="132" applyNumberFormat="1" applyFont="1" applyFill="1" applyBorder="1" applyAlignment="1">
      <alignment horizontal="center"/>
    </xf>
    <xf numFmtId="169" fontId="9" fillId="37" borderId="46" xfId="132" applyNumberFormat="1" applyFont="1" applyFill="1" applyBorder="1" applyAlignment="1">
      <alignment horizontal="center"/>
    </xf>
    <xf numFmtId="169" fontId="9" fillId="37" borderId="56" xfId="132" applyNumberFormat="1" applyFont="1" applyFill="1" applyBorder="1" applyAlignment="1">
      <alignment horizontal="center"/>
    </xf>
    <xf numFmtId="168" fontId="0" fillId="0" borderId="55" xfId="0" applyNumberFormat="1" applyBorder="1"/>
    <xf numFmtId="168" fontId="12" fillId="50" borderId="55" xfId="0" applyNumberFormat="1" applyFont="1" applyFill="1" applyBorder="1"/>
    <xf numFmtId="168" fontId="12" fillId="42" borderId="0" xfId="132" applyNumberFormat="1" applyFont="1" applyFill="1"/>
    <xf numFmtId="169" fontId="54" fillId="33" borderId="16" xfId="132" applyNumberFormat="1" applyFont="1" applyFill="1" applyBorder="1" applyAlignment="1">
      <alignment horizontal="right" vertical="center"/>
    </xf>
    <xf numFmtId="169" fontId="40" fillId="48" borderId="16" xfId="132" applyNumberFormat="1" applyFont="1" applyFill="1" applyBorder="1" applyAlignment="1">
      <alignment horizontal="right" vertical="center"/>
    </xf>
    <xf numFmtId="169" fontId="35" fillId="36" borderId="59" xfId="132" applyNumberFormat="1" applyFont="1" applyFill="1" applyBorder="1" applyAlignment="1">
      <alignment horizontal="right" vertical="center"/>
    </xf>
    <xf numFmtId="169" fontId="38" fillId="36" borderId="65" xfId="132" applyNumberFormat="1" applyFont="1" applyFill="1" applyBorder="1" applyAlignment="1">
      <alignment horizontal="right" vertical="center"/>
    </xf>
    <xf numFmtId="169" fontId="38" fillId="36" borderId="62" xfId="132" applyNumberFormat="1" applyFont="1" applyFill="1" applyBorder="1" applyAlignment="1">
      <alignment horizontal="right" vertical="center"/>
    </xf>
    <xf numFmtId="169" fontId="44" fillId="0" borderId="65" xfId="132" applyNumberFormat="1" applyFont="1" applyBorder="1" applyAlignment="1">
      <alignment horizontal="right" vertical="center"/>
    </xf>
    <xf numFmtId="169" fontId="38" fillId="0" borderId="65" xfId="132" applyNumberFormat="1" applyFont="1" applyBorder="1" applyAlignment="1">
      <alignment horizontal="right" vertical="center"/>
    </xf>
    <xf numFmtId="169" fontId="44" fillId="0" borderId="65" xfId="132" applyNumberFormat="1" applyFont="1" applyFill="1" applyBorder="1" applyAlignment="1">
      <alignment horizontal="right" vertical="center"/>
    </xf>
    <xf numFmtId="169" fontId="38" fillId="0" borderId="65" xfId="132" applyNumberFormat="1" applyFont="1" applyFill="1" applyBorder="1" applyAlignment="1">
      <alignment horizontal="right" vertical="center"/>
    </xf>
    <xf numFmtId="169" fontId="44" fillId="0" borderId="62" xfId="132" applyNumberFormat="1" applyFont="1" applyBorder="1" applyAlignment="1">
      <alignment horizontal="right" vertical="center"/>
    </xf>
    <xf numFmtId="169" fontId="38" fillId="0" borderId="62" xfId="132" applyNumberFormat="1" applyFont="1" applyBorder="1" applyAlignment="1">
      <alignment horizontal="right" vertical="center"/>
    </xf>
    <xf numFmtId="169" fontId="36" fillId="0" borderId="59" xfId="132" applyNumberFormat="1" applyFont="1" applyBorder="1" applyAlignment="1">
      <alignment horizontal="right" vertical="center"/>
    </xf>
    <xf numFmtId="169" fontId="36" fillId="0" borderId="16" xfId="132" applyNumberFormat="1" applyFont="1" applyBorder="1" applyAlignment="1">
      <alignment horizontal="right" vertical="center"/>
    </xf>
    <xf numFmtId="169" fontId="35" fillId="0" borderId="16" xfId="132" applyNumberFormat="1" applyFont="1" applyBorder="1" applyAlignment="1">
      <alignment horizontal="right" vertical="center"/>
    </xf>
    <xf numFmtId="169" fontId="12" fillId="48" borderId="16" xfId="132" applyNumberFormat="1" applyFont="1" applyFill="1" applyBorder="1" applyAlignment="1">
      <alignment horizontal="right" vertical="center"/>
    </xf>
    <xf numFmtId="169" fontId="36" fillId="0" borderId="59" xfId="132" applyNumberFormat="1" applyFont="1" applyFill="1" applyBorder="1" applyAlignment="1">
      <alignment horizontal="right" vertical="center"/>
    </xf>
    <xf numFmtId="169" fontId="35" fillId="0" borderId="59" xfId="132" applyNumberFormat="1" applyFont="1" applyFill="1" applyBorder="1" applyAlignment="1">
      <alignment horizontal="right" vertical="center"/>
    </xf>
    <xf numFmtId="169" fontId="36" fillId="36" borderId="62" xfId="132" applyNumberFormat="1" applyFont="1" applyFill="1" applyBorder="1" applyAlignment="1">
      <alignment horizontal="right" vertical="center"/>
    </xf>
    <xf numFmtId="169" fontId="35" fillId="36" borderId="62" xfId="132" applyNumberFormat="1" applyFont="1" applyFill="1" applyBorder="1" applyAlignment="1">
      <alignment horizontal="right" vertical="center"/>
    </xf>
    <xf numFmtId="169" fontId="35" fillId="36" borderId="65" xfId="132" applyNumberFormat="1" applyFont="1" applyFill="1" applyBorder="1" applyAlignment="1">
      <alignment horizontal="right" vertical="center"/>
    </xf>
    <xf numFmtId="169" fontId="35" fillId="0" borderId="65" xfId="132" applyNumberFormat="1" applyFont="1" applyBorder="1" applyAlignment="1">
      <alignment horizontal="right" vertical="center"/>
    </xf>
    <xf numFmtId="169" fontId="35" fillId="0" borderId="62" xfId="132" applyNumberFormat="1" applyFont="1" applyBorder="1" applyAlignment="1">
      <alignment horizontal="right" vertical="center"/>
    </xf>
    <xf numFmtId="169" fontId="36" fillId="0" borderId="65" xfId="132" applyNumberFormat="1" applyFont="1" applyBorder="1" applyAlignment="1">
      <alignment horizontal="right" vertical="center"/>
    </xf>
    <xf numFmtId="169" fontId="36" fillId="0" borderId="62" xfId="132" applyNumberFormat="1" applyFont="1" applyBorder="1" applyAlignment="1">
      <alignment horizontal="right" vertical="center"/>
    </xf>
    <xf numFmtId="169" fontId="55" fillId="0" borderId="59" xfId="132" applyNumberFormat="1" applyFont="1" applyFill="1" applyBorder="1" applyAlignment="1">
      <alignment horizontal="right" vertical="center"/>
    </xf>
    <xf numFmtId="169" fontId="36" fillId="0" borderId="65" xfId="132" applyNumberFormat="1" applyFont="1" applyFill="1" applyBorder="1" applyAlignment="1">
      <alignment horizontal="right" vertical="center"/>
    </xf>
    <xf numFmtId="169" fontId="35" fillId="0" borderId="65" xfId="132" applyNumberFormat="1" applyFont="1" applyFill="1" applyBorder="1" applyAlignment="1">
      <alignment horizontal="right" vertical="center"/>
    </xf>
    <xf numFmtId="169" fontId="36" fillId="0" borderId="62" xfId="132" applyNumberFormat="1" applyFont="1" applyFill="1" applyBorder="1" applyAlignment="1">
      <alignment horizontal="right" vertical="center"/>
    </xf>
    <xf numFmtId="169" fontId="35" fillId="0" borderId="62" xfId="132" applyNumberFormat="1" applyFont="1" applyFill="1" applyBorder="1" applyAlignment="1">
      <alignment horizontal="right" vertical="center"/>
    </xf>
    <xf numFmtId="169" fontId="40" fillId="33" borderId="16" xfId="132" applyNumberFormat="1" applyFont="1" applyFill="1" applyBorder="1" applyAlignment="1">
      <alignment horizontal="right" vertical="center"/>
    </xf>
    <xf numFmtId="169" fontId="33" fillId="34" borderId="16" xfId="132" applyNumberFormat="1" applyFont="1" applyFill="1" applyBorder="1" applyAlignment="1">
      <alignment horizontal="right" vertical="center"/>
    </xf>
    <xf numFmtId="171" fontId="0" fillId="0" borderId="0" xfId="0" applyNumberFormat="1"/>
    <xf numFmtId="169" fontId="0" fillId="0" borderId="0" xfId="0" applyNumberFormat="1"/>
    <xf numFmtId="168" fontId="0" fillId="0" borderId="0" xfId="0" applyNumberFormat="1" applyFont="1"/>
    <xf numFmtId="0" fontId="0" fillId="0" borderId="0" xfId="0" applyAlignment="1">
      <alignment horizontal="center"/>
    </xf>
    <xf numFmtId="169" fontId="0" fillId="0" borderId="0" xfId="0" applyNumberFormat="1" applyAlignment="1">
      <alignment horizontal="center"/>
    </xf>
    <xf numFmtId="171" fontId="0" fillId="0" borderId="0" xfId="0" applyNumberFormat="1" applyFont="1"/>
    <xf numFmtId="168" fontId="0" fillId="0" borderId="0" xfId="0" applyNumberFormat="1"/>
    <xf numFmtId="167" fontId="0" fillId="0" borderId="0" xfId="0" applyNumberFormat="1" applyAlignment="1">
      <alignment horizontal="center"/>
    </xf>
    <xf numFmtId="0" fontId="0" fillId="0" borderId="0" xfId="0" applyAlignment="1">
      <alignment vertical="top" wrapText="1"/>
    </xf>
    <xf numFmtId="0" fontId="0" fillId="0" borderId="0" xfId="0" quotePrefix="1" applyAlignment="1">
      <alignment vertical="top" wrapText="1"/>
    </xf>
    <xf numFmtId="168" fontId="9" fillId="35" borderId="55" xfId="0" applyNumberFormat="1" applyFont="1" applyFill="1" applyBorder="1"/>
    <xf numFmtId="168" fontId="12" fillId="35" borderId="55" xfId="0" applyNumberFormat="1" applyFont="1" applyFill="1" applyBorder="1"/>
    <xf numFmtId="0" fontId="0" fillId="0" borderId="55" xfId="0" applyBorder="1"/>
    <xf numFmtId="168" fontId="0" fillId="0" borderId="55" xfId="132" applyNumberFormat="1" applyFont="1" applyBorder="1" applyAlignment="1">
      <alignment horizontal="right"/>
    </xf>
    <xf numFmtId="170" fontId="0" fillId="0" borderId="55" xfId="132" applyNumberFormat="1" applyFont="1" applyBorder="1" applyAlignment="1">
      <alignment horizontal="right"/>
    </xf>
    <xf numFmtId="0" fontId="9" fillId="37" borderId="55" xfId="0" applyFont="1" applyFill="1" applyBorder="1" applyAlignment="1">
      <alignment horizontal="center"/>
    </xf>
    <xf numFmtId="170" fontId="9" fillId="37" borderId="55" xfId="132" applyNumberFormat="1" applyFont="1" applyFill="1" applyBorder="1" applyAlignment="1">
      <alignment horizontal="right"/>
    </xf>
    <xf numFmtId="0" fontId="9" fillId="37" borderId="55" xfId="0" applyFont="1" applyFill="1" applyBorder="1"/>
    <xf numFmtId="0" fontId="9" fillId="0" borderId="55" xfId="0" applyFont="1" applyBorder="1" applyAlignment="1">
      <alignment horizontal="center" vertical="center"/>
    </xf>
    <xf numFmtId="0" fontId="0" fillId="0" borderId="55" xfId="0" applyBorder="1" applyAlignment="1">
      <alignment horizontal="center" vertical="center"/>
    </xf>
    <xf numFmtId="0" fontId="0" fillId="0" borderId="57" xfId="0" applyBorder="1" applyAlignment="1">
      <alignment horizontal="left" wrapText="1"/>
    </xf>
    <xf numFmtId="171" fontId="0" fillId="0" borderId="55" xfId="0" applyNumberFormat="1" applyBorder="1"/>
    <xf numFmtId="0" fontId="0" fillId="37" borderId="55" xfId="0" applyFill="1" applyBorder="1" applyAlignment="1">
      <alignment horizontal="left" wrapText="1"/>
    </xf>
    <xf numFmtId="171" fontId="9" fillId="0" borderId="55" xfId="0" applyNumberFormat="1" applyFont="1" applyBorder="1"/>
    <xf numFmtId="166" fontId="0" fillId="0" borderId="55" xfId="135" applyNumberFormat="1" applyFont="1" applyBorder="1"/>
    <xf numFmtId="166" fontId="9" fillId="0" borderId="55" xfId="135" applyNumberFormat="1" applyFont="1" applyBorder="1"/>
    <xf numFmtId="0" fontId="9" fillId="0" borderId="0" xfId="0" applyFont="1" applyAlignment="1">
      <alignment horizontal="left"/>
    </xf>
    <xf numFmtId="169" fontId="9" fillId="0" borderId="54" xfId="132" applyNumberFormat="1" applyFont="1" applyBorder="1" applyAlignment="1">
      <alignment vertical="center"/>
    </xf>
    <xf numFmtId="165" fontId="9" fillId="37" borderId="55" xfId="0" applyNumberFormat="1" applyFont="1" applyFill="1" applyBorder="1" applyAlignment="1">
      <alignment horizontal="center"/>
    </xf>
    <xf numFmtId="10" fontId="9" fillId="37" borderId="55" xfId="135" applyNumberFormat="1" applyFont="1" applyFill="1" applyBorder="1" applyAlignment="1">
      <alignment horizontal="center"/>
    </xf>
    <xf numFmtId="166" fontId="9" fillId="37" borderId="55" xfId="135" applyNumberFormat="1" applyFont="1" applyFill="1" applyBorder="1" applyAlignment="1">
      <alignment horizontal="center"/>
    </xf>
    <xf numFmtId="0" fontId="9" fillId="0" borderId="71" xfId="0" applyFont="1" applyBorder="1" applyAlignment="1">
      <alignment horizontal="center" vertical="center"/>
    </xf>
    <xf numFmtId="0" fontId="0" fillId="0" borderId="72" xfId="0" applyBorder="1" applyAlignment="1">
      <alignment horizontal="left" wrapText="1"/>
    </xf>
    <xf numFmtId="171" fontId="0" fillId="0" borderId="71" xfId="0" applyNumberFormat="1" applyBorder="1"/>
    <xf numFmtId="171" fontId="9" fillId="0" borderId="71" xfId="0" applyNumberFormat="1" applyFont="1" applyBorder="1"/>
    <xf numFmtId="166" fontId="0" fillId="0" borderId="71" xfId="135" applyNumberFormat="1" applyFont="1" applyBorder="1"/>
    <xf numFmtId="0" fontId="9" fillId="37" borderId="28" xfId="0" applyFont="1" applyFill="1" applyBorder="1"/>
    <xf numFmtId="0" fontId="9" fillId="37" borderId="32" xfId="0" applyFont="1" applyFill="1" applyBorder="1" applyAlignment="1">
      <alignment horizontal="left" wrapText="1"/>
    </xf>
    <xf numFmtId="171" fontId="9" fillId="37" borderId="32" xfId="0" applyNumberFormat="1" applyFont="1" applyFill="1" applyBorder="1"/>
    <xf numFmtId="166" fontId="9" fillId="37" borderId="32" xfId="135" applyNumberFormat="1" applyFont="1" applyFill="1" applyBorder="1"/>
    <xf numFmtId="166" fontId="9" fillId="37" borderId="60" xfId="135" applyNumberFormat="1" applyFont="1" applyFill="1" applyBorder="1"/>
    <xf numFmtId="168" fontId="9" fillId="0" borderId="0" xfId="0" applyNumberFormat="1" applyFont="1" applyAlignment="1">
      <alignment horizontal="left" vertical="top" wrapText="1"/>
    </xf>
    <xf numFmtId="168" fontId="42" fillId="0" borderId="0" xfId="0" applyNumberFormat="1" applyFont="1"/>
    <xf numFmtId="168" fontId="9" fillId="0" borderId="0" xfId="0" applyNumberFormat="1" applyFont="1"/>
    <xf numFmtId="168" fontId="50" fillId="0" borderId="55" xfId="0" applyNumberFormat="1" applyFont="1" applyBorder="1" applyAlignment="1">
      <alignment horizontal="justify" vertical="center"/>
    </xf>
    <xf numFmtId="168" fontId="46" fillId="36" borderId="55" xfId="132" applyNumberFormat="1" applyFont="1" applyFill="1" applyBorder="1" applyAlignment="1">
      <alignment vertical="center"/>
    </xf>
    <xf numFmtId="168" fontId="0" fillId="0" borderId="55" xfId="0" applyNumberFormat="1" applyFont="1" applyBorder="1"/>
    <xf numFmtId="168" fontId="9" fillId="37" borderId="55" xfId="132" applyNumberFormat="1" applyFont="1" applyFill="1" applyBorder="1" applyAlignment="1">
      <alignment horizontal="right"/>
    </xf>
    <xf numFmtId="0" fontId="12" fillId="5" borderId="32" xfId="0" applyFont="1" applyFill="1" applyBorder="1" applyAlignment="1">
      <alignment horizontal="center"/>
    </xf>
    <xf numFmtId="0" fontId="12" fillId="5" borderId="60" xfId="0" applyFont="1" applyFill="1" applyBorder="1" applyAlignment="1">
      <alignment horizontal="center"/>
    </xf>
    <xf numFmtId="0" fontId="12" fillId="5" borderId="61" xfId="0" applyFont="1" applyFill="1" applyBorder="1" applyAlignment="1">
      <alignment horizontal="center"/>
    </xf>
    <xf numFmtId="172" fontId="12" fillId="37" borderId="31" xfId="0" applyNumberFormat="1" applyFont="1" applyFill="1" applyBorder="1" applyAlignment="1">
      <alignment horizontal="center"/>
    </xf>
    <xf numFmtId="173" fontId="12" fillId="37" borderId="32" xfId="0" applyNumberFormat="1" applyFont="1" applyFill="1" applyBorder="1" applyAlignment="1">
      <alignment horizontal="center"/>
    </xf>
    <xf numFmtId="172" fontId="12" fillId="37" borderId="61" xfId="132" applyNumberFormat="1" applyFont="1" applyFill="1" applyBorder="1"/>
    <xf numFmtId="172" fontId="12" fillId="37" borderId="60" xfId="0" applyNumberFormat="1" applyFont="1" applyFill="1" applyBorder="1"/>
    <xf numFmtId="165" fontId="39" fillId="0" borderId="55" xfId="132" applyNumberFormat="1" applyFont="1" applyBorder="1" applyAlignment="1">
      <alignment horizontal="center" vertical="center" wrapText="1"/>
    </xf>
    <xf numFmtId="43" fontId="39" fillId="0" borderId="57" xfId="132" applyFont="1" applyBorder="1" applyAlignment="1">
      <alignment horizontal="center" vertical="center" wrapText="1"/>
    </xf>
    <xf numFmtId="0" fontId="39" fillId="0" borderId="54" xfId="0" applyFont="1" applyBorder="1" applyAlignment="1">
      <alignment horizontal="left" vertical="center" wrapText="1"/>
    </xf>
    <xf numFmtId="0" fontId="39" fillId="0" borderId="2" xfId="0" quotePrefix="1" applyFont="1" applyBorder="1" applyAlignment="1">
      <alignment horizontal="left" vertical="center" wrapText="1"/>
    </xf>
    <xf numFmtId="0" fontId="39" fillId="36" borderId="55" xfId="0" applyFont="1" applyFill="1" applyBorder="1" applyAlignment="1">
      <alignment horizontal="left" vertical="center" wrapText="1"/>
    </xf>
    <xf numFmtId="0" fontId="39" fillId="50" borderId="55" xfId="0" applyFont="1" applyFill="1" applyBorder="1" applyAlignment="1">
      <alignment horizontal="left" vertical="center" wrapText="1"/>
    </xf>
    <xf numFmtId="0" fontId="39" fillId="50" borderId="1" xfId="0" applyFont="1" applyFill="1" applyBorder="1" applyAlignment="1">
      <alignment horizontal="left" vertical="center" wrapText="1"/>
    </xf>
    <xf numFmtId="0" fontId="39" fillId="50" borderId="71" xfId="0" applyFont="1" applyFill="1" applyBorder="1" applyAlignment="1">
      <alignment horizontal="left" vertical="center" wrapText="1"/>
    </xf>
    <xf numFmtId="165" fontId="39" fillId="50" borderId="71" xfId="132" applyNumberFormat="1" applyFont="1" applyFill="1" applyBorder="1" applyAlignment="1">
      <alignment horizontal="left" vertical="center" wrapText="1"/>
    </xf>
    <xf numFmtId="165" fontId="39" fillId="50" borderId="55" xfId="132" applyNumberFormat="1" applyFont="1" applyFill="1" applyBorder="1" applyAlignment="1">
      <alignment horizontal="left" vertical="center" wrapText="1"/>
    </xf>
    <xf numFmtId="0" fontId="48" fillId="50" borderId="55" xfId="0" applyFont="1" applyFill="1" applyBorder="1" applyAlignment="1" applyProtection="1">
      <alignment horizontal="left" vertical="center" wrapText="1"/>
      <protection locked="0"/>
    </xf>
    <xf numFmtId="0" fontId="48" fillId="50" borderId="2" xfId="0" applyFont="1" applyFill="1" applyBorder="1" applyAlignment="1" applyProtection="1">
      <alignment horizontal="left" vertical="center" wrapText="1"/>
      <protection locked="0"/>
    </xf>
    <xf numFmtId="0" fontId="39" fillId="50" borderId="55" xfId="0" quotePrefix="1" applyFont="1" applyFill="1" applyBorder="1" applyAlignment="1">
      <alignment horizontal="left" vertical="center" wrapText="1"/>
    </xf>
    <xf numFmtId="0" fontId="39" fillId="50" borderId="72" xfId="0" applyFont="1" applyFill="1" applyBorder="1" applyAlignment="1">
      <alignment horizontal="left" vertical="center" wrapText="1"/>
    </xf>
    <xf numFmtId="0" fontId="39" fillId="50" borderId="36" xfId="0" applyFont="1" applyFill="1" applyBorder="1" applyAlignment="1">
      <alignment horizontal="left" vertical="center" wrapText="1"/>
    </xf>
    <xf numFmtId="0" fontId="39" fillId="50" borderId="37" xfId="0" applyFont="1" applyFill="1" applyBorder="1" applyAlignment="1">
      <alignment horizontal="left" vertical="center" wrapText="1"/>
    </xf>
    <xf numFmtId="0" fontId="39" fillId="50" borderId="34" xfId="0" applyFont="1" applyFill="1" applyBorder="1" applyAlignment="1">
      <alignment horizontal="left" vertical="center" wrapText="1"/>
    </xf>
    <xf numFmtId="0" fontId="39" fillId="50" borderId="0" xfId="0" applyFont="1" applyFill="1" applyBorder="1" applyAlignment="1">
      <alignment horizontal="left" vertical="center" wrapText="1"/>
    </xf>
    <xf numFmtId="0" fontId="39" fillId="50" borderId="35" xfId="0" applyFont="1" applyFill="1" applyBorder="1" applyAlignment="1">
      <alignment horizontal="left" vertical="center" wrapText="1"/>
    </xf>
    <xf numFmtId="0" fontId="39" fillId="50" borderId="20" xfId="0" applyFont="1" applyFill="1" applyBorder="1" applyAlignment="1">
      <alignment horizontal="left" vertical="center" wrapText="1"/>
    </xf>
    <xf numFmtId="0" fontId="39" fillId="50" borderId="2" xfId="0" applyFont="1" applyFill="1" applyBorder="1" applyAlignment="1">
      <alignment horizontal="left" vertical="center" wrapText="1"/>
    </xf>
    <xf numFmtId="0" fontId="39" fillId="50" borderId="21" xfId="0" applyFont="1" applyFill="1" applyBorder="1" applyAlignment="1">
      <alignment horizontal="left" vertical="center" wrapText="1"/>
    </xf>
    <xf numFmtId="0" fontId="39" fillId="50" borderId="33" xfId="0" applyFont="1" applyFill="1" applyBorder="1" applyAlignment="1">
      <alignment horizontal="left" vertical="center" wrapText="1"/>
    </xf>
    <xf numFmtId="0" fontId="39" fillId="36" borderId="71" xfId="0" applyFont="1" applyFill="1" applyBorder="1" applyAlignment="1">
      <alignment horizontal="left" vertical="center" wrapText="1"/>
    </xf>
    <xf numFmtId="165" fontId="39" fillId="36" borderId="71" xfId="132" applyNumberFormat="1" applyFont="1" applyFill="1" applyBorder="1" applyAlignment="1">
      <alignment horizontal="center" vertical="center" wrapText="1"/>
    </xf>
    <xf numFmtId="0" fontId="39" fillId="36" borderId="71" xfId="0" applyFont="1" applyFill="1" applyBorder="1" applyAlignment="1">
      <alignment horizontal="center" vertical="center" wrapText="1"/>
    </xf>
    <xf numFmtId="0" fontId="48" fillId="50" borderId="71" xfId="0" applyFont="1" applyFill="1" applyBorder="1" applyAlignment="1" applyProtection="1">
      <alignment horizontal="left" vertical="center" wrapText="1"/>
      <protection locked="0"/>
    </xf>
    <xf numFmtId="0" fontId="49" fillId="50" borderId="55" xfId="3" applyFont="1" applyFill="1" applyBorder="1" applyAlignment="1" applyProtection="1">
      <alignment vertical="center" wrapText="1"/>
      <protection locked="0"/>
    </xf>
    <xf numFmtId="0" fontId="49" fillId="50" borderId="55" xfId="3" applyFont="1" applyFill="1" applyBorder="1" applyAlignment="1" applyProtection="1">
      <alignment horizontal="left" vertical="center" wrapText="1"/>
      <protection locked="0"/>
    </xf>
    <xf numFmtId="0" fontId="39" fillId="0" borderId="0" xfId="0" applyFont="1" applyAlignment="1">
      <alignment vertical="center" wrapText="1"/>
    </xf>
    <xf numFmtId="0" fontId="59" fillId="50" borderId="55" xfId="0" applyFont="1" applyFill="1" applyBorder="1" applyAlignment="1">
      <alignment horizontal="center" vertical="center"/>
    </xf>
    <xf numFmtId="164" fontId="9" fillId="50" borderId="55" xfId="0" quotePrefix="1" applyNumberFormat="1" applyFont="1" applyFill="1" applyBorder="1" applyAlignment="1">
      <alignment vertical="top" wrapText="1"/>
    </xf>
    <xf numFmtId="0" fontId="49" fillId="50" borderId="2" xfId="3" applyFont="1" applyFill="1" applyBorder="1" applyAlignment="1" applyProtection="1">
      <alignment vertical="center" wrapText="1"/>
      <protection locked="0"/>
    </xf>
    <xf numFmtId="0" fontId="36" fillId="36" borderId="13" xfId="0" applyFont="1" applyFill="1" applyBorder="1" applyAlignment="1">
      <alignment vertical="center" wrapText="1"/>
    </xf>
    <xf numFmtId="168" fontId="0" fillId="36" borderId="55" xfId="0" applyNumberFormat="1" applyFont="1" applyFill="1" applyBorder="1"/>
    <xf numFmtId="0" fontId="12" fillId="42" borderId="2" xfId="0" applyFont="1" applyFill="1" applyBorder="1"/>
    <xf numFmtId="169" fontId="12" fillId="35" borderId="55" xfId="0" applyNumberFormat="1" applyFont="1" applyFill="1" applyBorder="1"/>
    <xf numFmtId="0" fontId="0" fillId="0" borderId="0" xfId="0" applyFont="1" applyBorder="1"/>
    <xf numFmtId="0" fontId="39" fillId="50" borderId="71" xfId="0" applyFont="1" applyFill="1" applyBorder="1" applyAlignment="1">
      <alignment horizontal="center" vertical="center" wrapText="1"/>
    </xf>
    <xf numFmtId="3" fontId="39" fillId="0" borderId="71" xfId="0" applyNumberFormat="1" applyFont="1" applyBorder="1" applyAlignment="1">
      <alignment horizontal="center" vertical="center" wrapText="1"/>
    </xf>
    <xf numFmtId="170" fontId="0" fillId="0" borderId="0" xfId="0" applyNumberFormat="1"/>
    <xf numFmtId="0" fontId="0" fillId="36" borderId="64" xfId="0" applyFill="1" applyBorder="1" applyAlignment="1">
      <alignment horizontal="left" vertical="center" wrapText="1"/>
    </xf>
    <xf numFmtId="169" fontId="0" fillId="36" borderId="54" xfId="132" applyNumberFormat="1" applyFont="1" applyFill="1" applyBorder="1" applyAlignment="1">
      <alignment vertical="center"/>
    </xf>
    <xf numFmtId="169" fontId="0" fillId="36" borderId="55" xfId="132" applyNumberFormat="1" applyFont="1" applyFill="1" applyBorder="1" applyAlignment="1">
      <alignment vertical="center"/>
    </xf>
    <xf numFmtId="169" fontId="0" fillId="36" borderId="57" xfId="132" applyNumberFormat="1" applyFont="1" applyFill="1" applyBorder="1" applyAlignment="1">
      <alignment horizontal="center" vertical="center" wrapText="1"/>
    </xf>
    <xf numFmtId="168" fontId="0" fillId="0" borderId="0" xfId="0" applyNumberFormat="1" applyBorder="1"/>
    <xf numFmtId="168" fontId="56" fillId="46" borderId="14" xfId="132" applyNumberFormat="1" applyFont="1" applyFill="1" applyBorder="1" applyAlignment="1">
      <alignment vertical="center" wrapText="1"/>
    </xf>
    <xf numFmtId="168" fontId="56" fillId="47" borderId="0" xfId="132" applyNumberFormat="1" applyFont="1" applyFill="1" applyBorder="1" applyAlignment="1">
      <alignment vertical="center" wrapText="1"/>
    </xf>
    <xf numFmtId="168" fontId="36" fillId="0" borderId="14" xfId="132" applyNumberFormat="1" applyFont="1" applyBorder="1" applyAlignment="1">
      <alignment vertical="center" wrapText="1"/>
    </xf>
    <xf numFmtId="9" fontId="36" fillId="0" borderId="14" xfId="135" applyFont="1" applyBorder="1" applyAlignment="1">
      <alignment vertical="center" wrapText="1"/>
    </xf>
    <xf numFmtId="169" fontId="0" fillId="0" borderId="0" xfId="0" applyNumberFormat="1" applyAlignment="1">
      <alignment horizontal="left" wrapText="1"/>
    </xf>
    <xf numFmtId="175" fontId="43" fillId="5" borderId="13" xfId="132" applyNumberFormat="1" applyFont="1" applyFill="1" applyBorder="1" applyAlignment="1"/>
    <xf numFmtId="0" fontId="39" fillId="0" borderId="71" xfId="0" applyFont="1" applyBorder="1" applyAlignment="1">
      <alignment horizontal="center" vertical="center" wrapText="1"/>
    </xf>
    <xf numFmtId="3" fontId="40" fillId="0" borderId="71" xfId="0" applyNumberFormat="1" applyFont="1" applyBorder="1" applyAlignment="1" applyProtection="1">
      <alignment horizontal="center" vertical="center" wrapText="1"/>
    </xf>
    <xf numFmtId="0" fontId="39" fillId="0" borderId="55" xfId="0" applyFont="1" applyBorder="1" applyAlignment="1">
      <alignment horizontal="center" vertical="center" wrapText="1"/>
    </xf>
    <xf numFmtId="168" fontId="42" fillId="0" borderId="0" xfId="0" applyNumberFormat="1" applyFont="1" applyAlignment="1">
      <alignment horizontal="left" vertical="top" wrapText="1"/>
    </xf>
    <xf numFmtId="0" fontId="2" fillId="36" borderId="0" xfId="3" applyFont="1" applyFill="1" applyBorder="1" applyProtection="1">
      <protection locked="0"/>
    </xf>
    <xf numFmtId="0" fontId="2" fillId="0" borderId="0" xfId="3" applyFont="1" applyAlignment="1" applyProtection="1">
      <alignment horizontal="right"/>
      <protection locked="0"/>
    </xf>
    <xf numFmtId="0" fontId="2" fillId="0" borderId="0" xfId="3" applyFont="1" applyProtection="1">
      <protection locked="0"/>
    </xf>
    <xf numFmtId="174" fontId="2" fillId="0" borderId="0" xfId="3" applyNumberFormat="1" applyFont="1" applyProtection="1">
      <protection locked="0"/>
    </xf>
    <xf numFmtId="165" fontId="2" fillId="0" borderId="0" xfId="3" applyNumberFormat="1" applyFont="1" applyProtection="1">
      <protection locked="0"/>
    </xf>
    <xf numFmtId="3" fontId="2" fillId="0" borderId="0" xfId="3" applyNumberFormat="1" applyFont="1" applyProtection="1">
      <protection locked="0"/>
    </xf>
    <xf numFmtId="0" fontId="52" fillId="30" borderId="55" xfId="3" applyFont="1" applyFill="1" applyBorder="1" applyAlignment="1" applyProtection="1">
      <alignment horizontal="center" vertical="center" wrapText="1"/>
      <protection locked="0"/>
    </xf>
    <xf numFmtId="3" fontId="52" fillId="30" borderId="55" xfId="3" applyNumberFormat="1" applyFont="1" applyFill="1" applyBorder="1" applyAlignment="1" applyProtection="1">
      <alignment horizontal="center" vertical="center"/>
      <protection locked="0"/>
    </xf>
    <xf numFmtId="0" fontId="12" fillId="4" borderId="55" xfId="3" applyFont="1" applyFill="1" applyBorder="1" applyAlignment="1" applyProtection="1">
      <alignment horizontal="center" vertical="center"/>
      <protection locked="0"/>
    </xf>
    <xf numFmtId="0" fontId="12" fillId="4" borderId="55" xfId="3" applyFont="1" applyFill="1" applyBorder="1" applyAlignment="1" applyProtection="1">
      <alignment horizontal="center" vertical="center" wrapText="1"/>
      <protection locked="0"/>
    </xf>
    <xf numFmtId="3" fontId="12" fillId="41" borderId="71" xfId="3" applyNumberFormat="1" applyFont="1" applyFill="1" applyBorder="1" applyAlignment="1" applyProtection="1">
      <alignment horizontal="right"/>
      <protection locked="0"/>
    </xf>
    <xf numFmtId="3" fontId="2" fillId="50" borderId="71" xfId="0" applyNumberFormat="1" applyFont="1" applyFill="1" applyBorder="1" applyAlignment="1" applyProtection="1">
      <alignment horizontal="center" vertical="center" wrapText="1"/>
      <protection locked="0"/>
    </xf>
    <xf numFmtId="3" fontId="2" fillId="50" borderId="37" xfId="3" applyNumberFormat="1" applyFont="1" applyFill="1" applyBorder="1" applyAlignment="1" applyProtection="1">
      <alignment horizontal="center" vertical="center" wrapText="1"/>
    </xf>
    <xf numFmtId="168" fontId="2" fillId="0" borderId="54" xfId="0" applyNumberFormat="1" applyFont="1" applyBorder="1" applyAlignment="1">
      <alignment horizontal="justify" vertical="center"/>
    </xf>
    <xf numFmtId="3" fontId="2" fillId="50" borderId="1" xfId="0" applyNumberFormat="1" applyFont="1" applyFill="1" applyBorder="1" applyAlignment="1" applyProtection="1">
      <alignment horizontal="center" vertical="center" wrapText="1"/>
      <protection locked="0"/>
    </xf>
    <xf numFmtId="3" fontId="2" fillId="50" borderId="35" xfId="3" applyNumberFormat="1" applyFont="1" applyFill="1" applyBorder="1" applyAlignment="1" applyProtection="1">
      <alignment horizontal="center" vertical="center" wrapText="1"/>
    </xf>
    <xf numFmtId="167" fontId="2" fillId="0" borderId="0" xfId="3" applyNumberFormat="1" applyFont="1" applyProtection="1">
      <protection locked="0"/>
    </xf>
    <xf numFmtId="3" fontId="2" fillId="50" borderId="2" xfId="0" applyNumberFormat="1" applyFont="1" applyFill="1" applyBorder="1" applyAlignment="1" applyProtection="1">
      <alignment horizontal="center" vertical="center" wrapText="1"/>
      <protection locked="0"/>
    </xf>
    <xf numFmtId="3" fontId="2" fillId="50" borderId="33" xfId="3" applyNumberFormat="1" applyFont="1" applyFill="1" applyBorder="1" applyAlignment="1" applyProtection="1">
      <alignment horizontal="center" vertical="center" wrapText="1"/>
    </xf>
    <xf numFmtId="3" fontId="2" fillId="50" borderId="55" xfId="0" applyNumberFormat="1" applyFont="1" applyFill="1" applyBorder="1" applyAlignment="1" applyProtection="1">
      <alignment horizontal="center" vertical="center" wrapText="1"/>
      <protection locked="0"/>
    </xf>
    <xf numFmtId="165" fontId="2" fillId="36" borderId="2" xfId="132" applyNumberFormat="1" applyFont="1" applyFill="1" applyBorder="1" applyAlignment="1" applyProtection="1">
      <alignment vertical="center" wrapText="1"/>
      <protection locked="0"/>
    </xf>
    <xf numFmtId="3" fontId="2" fillId="36" borderId="2" xfId="0" applyNumberFormat="1" applyFont="1" applyFill="1" applyBorder="1" applyAlignment="1" applyProtection="1">
      <alignment horizontal="center" vertical="center" wrapText="1"/>
      <protection locked="0"/>
    </xf>
    <xf numFmtId="165" fontId="2" fillId="36" borderId="2" xfId="132" applyNumberFormat="1" applyFont="1" applyFill="1" applyBorder="1" applyAlignment="1" applyProtection="1">
      <alignment horizontal="center" vertical="center" wrapText="1"/>
    </xf>
    <xf numFmtId="3" fontId="2" fillId="50" borderId="2" xfId="3" applyNumberFormat="1" applyFont="1" applyFill="1" applyBorder="1" applyAlignment="1" applyProtection="1">
      <alignment horizontal="center" vertical="center" wrapText="1"/>
    </xf>
    <xf numFmtId="3" fontId="2" fillId="50" borderId="57" xfId="3" applyNumberFormat="1" applyFont="1" applyFill="1" applyBorder="1" applyAlignment="1" applyProtection="1">
      <alignment horizontal="center" vertical="center" wrapText="1"/>
    </xf>
    <xf numFmtId="3" fontId="2" fillId="50" borderId="55" xfId="3" applyNumberFormat="1" applyFont="1" applyFill="1" applyBorder="1" applyAlignment="1" applyProtection="1">
      <alignment horizontal="center" vertical="center" wrapText="1"/>
    </xf>
    <xf numFmtId="165" fontId="2" fillId="36" borderId="57" xfId="132" applyNumberFormat="1" applyFont="1" applyFill="1" applyBorder="1" applyAlignment="1" applyProtection="1">
      <alignment vertical="center" wrapText="1"/>
      <protection locked="0"/>
    </xf>
    <xf numFmtId="3" fontId="2" fillId="36" borderId="55" xfId="0" applyNumberFormat="1" applyFont="1" applyFill="1" applyBorder="1" applyAlignment="1" applyProtection="1">
      <alignment horizontal="center" vertical="center" wrapText="1"/>
      <protection locked="0"/>
    </xf>
    <xf numFmtId="165" fontId="2" fillId="36" borderId="55" xfId="132" applyNumberFormat="1" applyFont="1" applyFill="1" applyBorder="1" applyAlignment="1" applyProtection="1">
      <alignment vertical="center" wrapText="1"/>
    </xf>
    <xf numFmtId="165" fontId="2" fillId="36" borderId="55" xfId="132" applyNumberFormat="1" applyFont="1" applyFill="1" applyBorder="1" applyAlignment="1" applyProtection="1">
      <alignment horizontal="center" vertical="center" wrapText="1"/>
    </xf>
    <xf numFmtId="3" fontId="2" fillId="36" borderId="55" xfId="3" applyNumberFormat="1" applyFont="1" applyFill="1" applyBorder="1" applyAlignment="1" applyProtection="1">
      <alignment horizontal="center" vertical="center" wrapText="1"/>
    </xf>
    <xf numFmtId="0" fontId="2" fillId="36" borderId="55" xfId="0" applyFont="1" applyFill="1" applyBorder="1" applyAlignment="1" applyProtection="1">
      <alignment horizontal="left" vertical="center" wrapText="1"/>
      <protection locked="0"/>
    </xf>
    <xf numFmtId="165" fontId="2" fillId="36" borderId="55" xfId="132" applyNumberFormat="1" applyFont="1" applyFill="1" applyBorder="1" applyAlignment="1" applyProtection="1">
      <alignment horizontal="center" vertical="center" wrapText="1"/>
      <protection locked="0"/>
    </xf>
    <xf numFmtId="165" fontId="2" fillId="36" borderId="55" xfId="132" applyNumberFormat="1" applyFont="1" applyFill="1" applyBorder="1" applyAlignment="1" applyProtection="1">
      <alignment vertical="center" wrapText="1"/>
      <protection locked="0"/>
    </xf>
    <xf numFmtId="3" fontId="2" fillId="50" borderId="71" xfId="3" applyNumberFormat="1" applyFont="1" applyFill="1" applyBorder="1" applyAlignment="1" applyProtection="1">
      <alignment horizontal="center" vertical="center" wrapText="1"/>
    </xf>
    <xf numFmtId="0" fontId="2" fillId="50" borderId="71" xfId="0" applyFont="1" applyFill="1" applyBorder="1" applyAlignment="1" applyProtection="1">
      <alignment horizontal="left" vertical="center" wrapText="1"/>
      <protection locked="0"/>
    </xf>
    <xf numFmtId="0" fontId="2" fillId="50" borderId="55" xfId="3" applyFont="1" applyFill="1" applyBorder="1" applyAlignment="1" applyProtection="1">
      <alignment vertical="center" wrapText="1"/>
      <protection locked="0"/>
    </xf>
    <xf numFmtId="0" fontId="2" fillId="50" borderId="2" xfId="3" applyFont="1" applyFill="1" applyBorder="1" applyAlignment="1" applyProtection="1">
      <alignment vertical="center" wrapText="1"/>
      <protection locked="0"/>
    </xf>
    <xf numFmtId="3" fontId="2" fillId="50" borderId="55" xfId="3" applyNumberFormat="1" applyFont="1" applyFill="1" applyBorder="1" applyAlignment="1" applyProtection="1">
      <alignment vertical="center" wrapText="1"/>
    </xf>
    <xf numFmtId="0" fontId="2" fillId="0" borderId="55" xfId="0" applyFont="1" applyBorder="1" applyAlignment="1">
      <alignment horizontal="left" vertical="center"/>
    </xf>
    <xf numFmtId="0" fontId="2" fillId="0" borderId="0" xfId="0" applyFont="1" applyAlignment="1">
      <alignment horizontal="center" vertical="center"/>
    </xf>
    <xf numFmtId="0" fontId="2" fillId="50" borderId="55" xfId="0" applyFont="1" applyFill="1" applyBorder="1" applyAlignment="1" applyProtection="1">
      <alignment horizontal="left" vertical="center" wrapText="1"/>
      <protection locked="0"/>
    </xf>
    <xf numFmtId="3" fontId="2" fillId="50" borderId="55" xfId="0" applyNumberFormat="1" applyFont="1" applyFill="1" applyBorder="1" applyAlignment="1" applyProtection="1">
      <alignment horizontal="right" vertical="center" wrapText="1"/>
      <protection locked="0"/>
    </xf>
    <xf numFmtId="3" fontId="2" fillId="50" borderId="55" xfId="3" applyNumberFormat="1" applyFont="1" applyFill="1" applyBorder="1" applyAlignment="1" applyProtection="1">
      <alignment horizontal="right" vertical="center" wrapText="1"/>
    </xf>
    <xf numFmtId="0" fontId="2" fillId="50" borderId="55" xfId="3" applyFont="1" applyFill="1" applyBorder="1" applyAlignment="1" applyProtection="1">
      <alignment horizontal="left" vertical="center" wrapText="1"/>
      <protection locked="0"/>
    </xf>
    <xf numFmtId="0" fontId="2" fillId="36" borderId="54" xfId="3" applyFont="1" applyFill="1" applyBorder="1" applyAlignment="1" applyProtection="1">
      <alignment horizontal="left" vertical="center" wrapText="1"/>
      <protection locked="0"/>
    </xf>
    <xf numFmtId="0" fontId="2" fillId="50" borderId="55" xfId="0" applyFont="1" applyFill="1" applyBorder="1" applyAlignment="1" applyProtection="1">
      <alignment vertical="center" wrapText="1"/>
      <protection locked="0"/>
    </xf>
    <xf numFmtId="0" fontId="2" fillId="36" borderId="55" xfId="3" applyFont="1" applyFill="1" applyBorder="1" applyAlignment="1" applyProtection="1">
      <alignment horizontal="left" vertical="center" wrapText="1"/>
      <protection locked="0"/>
    </xf>
    <xf numFmtId="0" fontId="12" fillId="31" borderId="55" xfId="0" applyFont="1" applyFill="1" applyBorder="1" applyAlignment="1" applyProtection="1">
      <alignment horizontal="left" vertical="center" wrapText="1"/>
      <protection locked="0"/>
    </xf>
    <xf numFmtId="3" fontId="12" fillId="31" borderId="55" xfId="0" applyNumberFormat="1" applyFont="1" applyFill="1" applyBorder="1" applyAlignment="1" applyProtection="1">
      <alignment horizontal="right" vertical="center" wrapText="1"/>
      <protection locked="0"/>
    </xf>
    <xf numFmtId="3" fontId="12" fillId="31" borderId="55" xfId="3" applyNumberFormat="1" applyFont="1" applyFill="1" applyBorder="1" applyAlignment="1" applyProtection="1">
      <alignment horizontal="right" vertical="center" wrapText="1"/>
    </xf>
    <xf numFmtId="0" fontId="12" fillId="31" borderId="55" xfId="3" applyFont="1" applyFill="1" applyBorder="1" applyAlignment="1" applyProtection="1">
      <alignment horizontal="left" vertical="center" wrapText="1"/>
      <protection locked="0"/>
    </xf>
    <xf numFmtId="165" fontId="12" fillId="41" borderId="71" xfId="132" applyNumberFormat="1" applyFont="1" applyFill="1" applyBorder="1" applyAlignment="1" applyProtection="1">
      <alignment horizontal="center"/>
      <protection locked="0"/>
    </xf>
    <xf numFmtId="0" fontId="2" fillId="0" borderId="55" xfId="0" applyFont="1" applyBorder="1" applyAlignment="1">
      <alignment horizontal="justify" vertical="center"/>
    </xf>
    <xf numFmtId="165" fontId="2" fillId="36" borderId="2" xfId="132" applyNumberFormat="1" applyFont="1" applyFill="1" applyBorder="1" applyAlignment="1" applyProtection="1">
      <alignment vertical="center" wrapText="1"/>
    </xf>
    <xf numFmtId="165" fontId="2" fillId="36" borderId="20" xfId="132" applyNumberFormat="1" applyFont="1" applyFill="1" applyBorder="1" applyAlignment="1" applyProtection="1">
      <alignment vertical="center" wrapText="1"/>
    </xf>
    <xf numFmtId="3" fontId="2" fillId="50" borderId="55" xfId="0" applyNumberFormat="1" applyFont="1" applyFill="1" applyBorder="1" applyAlignment="1" applyProtection="1">
      <alignment vertical="center" wrapText="1"/>
      <protection locked="0"/>
    </xf>
    <xf numFmtId="165" fontId="2" fillId="36" borderId="20" xfId="132" applyNumberFormat="1" applyFont="1" applyFill="1" applyBorder="1" applyAlignment="1" applyProtection="1">
      <alignment horizontal="center" vertical="center" wrapText="1"/>
    </xf>
    <xf numFmtId="0" fontId="2" fillId="50" borderId="2" xfId="0" applyFont="1" applyFill="1" applyBorder="1" applyAlignment="1" applyProtection="1">
      <alignment vertical="center" wrapText="1"/>
      <protection locked="0"/>
    </xf>
    <xf numFmtId="0" fontId="2" fillId="0" borderId="2" xfId="0" applyFont="1" applyBorder="1" applyAlignment="1">
      <alignment horizontal="justify" vertical="center"/>
    </xf>
    <xf numFmtId="3" fontId="2" fillId="50" borderId="2" xfId="0" applyNumberFormat="1" applyFont="1" applyFill="1" applyBorder="1" applyAlignment="1" applyProtection="1">
      <alignment vertical="center" wrapText="1"/>
      <protection locked="0"/>
    </xf>
    <xf numFmtId="0" fontId="0" fillId="0" borderId="55" xfId="0" applyFont="1" applyBorder="1" applyAlignment="1">
      <alignment horizontal="justify" vertical="center"/>
    </xf>
    <xf numFmtId="3" fontId="2" fillId="36" borderId="36" xfId="0" applyNumberFormat="1" applyFont="1" applyFill="1" applyBorder="1" applyAlignment="1" applyProtection="1">
      <alignment horizontal="center" vertical="center" wrapText="1"/>
      <protection locked="0"/>
    </xf>
    <xf numFmtId="0" fontId="2" fillId="35" borderId="55" xfId="0" applyFont="1" applyFill="1" applyBorder="1" applyAlignment="1">
      <alignment horizontal="justify" vertical="center"/>
    </xf>
    <xf numFmtId="3" fontId="12" fillId="41" borderId="71" xfId="3" applyNumberFormat="1" applyFont="1" applyFill="1" applyBorder="1" applyAlignment="1" applyProtection="1">
      <alignment horizontal="center"/>
      <protection locked="0"/>
    </xf>
    <xf numFmtId="0" fontId="2" fillId="0" borderId="55" xfId="0" applyFont="1" applyBorder="1" applyAlignment="1" applyProtection="1">
      <alignment horizontal="center" vertical="center" wrapText="1"/>
      <protection locked="0"/>
    </xf>
    <xf numFmtId="0" fontId="2" fillId="36" borderId="55" xfId="0" applyFont="1" applyFill="1" applyBorder="1" applyAlignment="1" applyProtection="1">
      <alignment vertical="center" wrapText="1"/>
      <protection locked="0"/>
    </xf>
    <xf numFmtId="3" fontId="2" fillId="50" borderId="71" xfId="3" applyNumberFormat="1" applyFont="1" applyFill="1" applyBorder="1" applyAlignment="1" applyProtection="1">
      <alignment vertical="center" wrapText="1"/>
    </xf>
    <xf numFmtId="165" fontId="2" fillId="50" borderId="55" xfId="132" applyNumberFormat="1" applyFont="1" applyFill="1" applyBorder="1" applyAlignment="1" applyProtection="1">
      <alignment horizontal="center" vertical="center" wrapText="1"/>
    </xf>
    <xf numFmtId="165" fontId="2" fillId="36" borderId="2" xfId="132"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12" fillId="41" borderId="71" xfId="3" applyFont="1" applyFill="1" applyBorder="1" applyAlignment="1" applyProtection="1">
      <alignment horizontal="center"/>
      <protection locked="0"/>
    </xf>
    <xf numFmtId="0" fontId="2" fillId="0" borderId="55" xfId="3" applyFont="1" applyFill="1" applyBorder="1" applyAlignment="1" applyProtection="1">
      <alignment vertical="center" wrapText="1"/>
      <protection locked="0"/>
    </xf>
    <xf numFmtId="3" fontId="12" fillId="0" borderId="55" xfId="3" applyNumberFormat="1" applyFont="1" applyFill="1" applyBorder="1" applyAlignment="1" applyProtection="1">
      <alignment horizontal="center" wrapText="1"/>
      <protection locked="0"/>
    </xf>
    <xf numFmtId="0" fontId="2" fillId="0" borderId="55" xfId="3" applyFont="1" applyFill="1" applyBorder="1" applyAlignment="1" applyProtection="1">
      <alignment horizontal="left" vertical="center"/>
      <protection locked="0"/>
    </xf>
    <xf numFmtId="0" fontId="2" fillId="0" borderId="57" xfId="3" applyFont="1" applyFill="1" applyBorder="1" applyAlignment="1" applyProtection="1">
      <alignment vertical="center" wrapText="1"/>
      <protection locked="0"/>
    </xf>
    <xf numFmtId="0" fontId="2" fillId="0" borderId="0" xfId="3" applyFont="1" applyBorder="1" applyAlignment="1" applyProtection="1">
      <alignment horizontal="right"/>
      <protection locked="0"/>
    </xf>
    <xf numFmtId="0" fontId="2" fillId="0" borderId="0" xfId="3" applyFont="1" applyBorder="1" applyProtection="1">
      <protection locked="0"/>
    </xf>
    <xf numFmtId="0" fontId="41" fillId="44" borderId="55" xfId="3" applyFont="1" applyFill="1" applyBorder="1" applyProtection="1">
      <protection locked="0"/>
    </xf>
    <xf numFmtId="3" fontId="41" fillId="44" borderId="55" xfId="3" applyNumberFormat="1" applyFont="1" applyFill="1" applyBorder="1" applyAlignment="1" applyProtection="1">
      <alignment horizontal="center"/>
      <protection locked="0"/>
    </xf>
    <xf numFmtId="3" fontId="2" fillId="0" borderId="0" xfId="3" applyNumberFormat="1" applyFont="1" applyBorder="1" applyProtection="1">
      <protection locked="0"/>
    </xf>
    <xf numFmtId="3" fontId="2" fillId="0" borderId="0" xfId="3" applyNumberFormat="1" applyFont="1" applyBorder="1" applyAlignment="1" applyProtection="1">
      <alignment horizontal="right"/>
      <protection locked="0"/>
    </xf>
    <xf numFmtId="0" fontId="2" fillId="0" borderId="0" xfId="4" applyFont="1"/>
    <xf numFmtId="0" fontId="2" fillId="0" borderId="15" xfId="4" applyFont="1" applyBorder="1" applyAlignment="1">
      <alignment horizontal="left" vertical="center" wrapText="1" indent="4"/>
    </xf>
    <xf numFmtId="3" fontId="2" fillId="0" borderId="0" xfId="4" applyNumberFormat="1" applyFont="1"/>
    <xf numFmtId="165" fontId="2" fillId="0" borderId="0" xfId="4" applyNumberFormat="1" applyFont="1"/>
    <xf numFmtId="0" fontId="2" fillId="0" borderId="0" xfId="0" applyFont="1"/>
    <xf numFmtId="0" fontId="12" fillId="29" borderId="55" xfId="0" applyFont="1" applyFill="1" applyBorder="1" applyAlignment="1">
      <alignment horizontal="center" vertical="center"/>
    </xf>
    <xf numFmtId="0" fontId="2" fillId="36" borderId="55" xfId="0" applyFont="1" applyFill="1" applyBorder="1" applyAlignment="1">
      <alignment vertical="top" wrapText="1"/>
    </xf>
    <xf numFmtId="168" fontId="2" fillId="36" borderId="55" xfId="132" applyNumberFormat="1" applyFont="1" applyFill="1" applyBorder="1" applyAlignment="1">
      <alignment vertical="center"/>
    </xf>
    <xf numFmtId="165" fontId="2" fillId="0" borderId="0" xfId="0" applyNumberFormat="1" applyFont="1"/>
    <xf numFmtId="0" fontId="12" fillId="43" borderId="55" xfId="0" applyFont="1" applyFill="1" applyBorder="1"/>
    <xf numFmtId="0" fontId="12" fillId="42" borderId="55" xfId="0" applyFont="1" applyFill="1" applyBorder="1"/>
    <xf numFmtId="9" fontId="42" fillId="35" borderId="55" xfId="135" applyFont="1" applyFill="1" applyBorder="1"/>
    <xf numFmtId="164" fontId="2" fillId="0" borderId="0" xfId="0" applyNumberFormat="1" applyFont="1"/>
    <xf numFmtId="168" fontId="2" fillId="0" borderId="0" xfId="0" applyNumberFormat="1" applyFont="1"/>
    <xf numFmtId="168" fontId="9" fillId="43" borderId="55" xfId="0" applyNumberFormat="1" applyFont="1" applyFill="1" applyBorder="1"/>
    <xf numFmtId="168" fontId="9" fillId="43" borderId="55" xfId="0" applyNumberFormat="1" applyFont="1" applyFill="1" applyBorder="1" applyAlignment="1">
      <alignment horizontal="center"/>
    </xf>
    <xf numFmtId="168" fontId="12" fillId="0" borderId="55" xfId="0" applyNumberFormat="1" applyFont="1" applyBorder="1" applyAlignment="1">
      <alignment horizontal="justify" vertical="center"/>
    </xf>
    <xf numFmtId="168" fontId="12" fillId="0" borderId="55" xfId="0" applyNumberFormat="1" applyFont="1" applyBorder="1"/>
    <xf numFmtId="168" fontId="12" fillId="36" borderId="55" xfId="132" applyNumberFormat="1" applyFont="1" applyFill="1" applyBorder="1"/>
    <xf numFmtId="168" fontId="2" fillId="0" borderId="55" xfId="0" applyNumberFormat="1" applyFont="1" applyBorder="1" applyAlignment="1">
      <alignment horizontal="justify" vertical="center"/>
    </xf>
    <xf numFmtId="168" fontId="2" fillId="0" borderId="55" xfId="132" applyNumberFormat="1" applyFont="1" applyBorder="1"/>
    <xf numFmtId="168" fontId="2" fillId="0" borderId="0" xfId="0" applyNumberFormat="1" applyFont="1" applyBorder="1" applyAlignment="1" applyProtection="1">
      <alignment horizontal="center" vertical="center" wrapText="1"/>
      <protection locked="0"/>
    </xf>
    <xf numFmtId="168" fontId="9" fillId="0" borderId="55" xfId="0" applyNumberFormat="1" applyFont="1" applyBorder="1"/>
    <xf numFmtId="168" fontId="2" fillId="0" borderId="55" xfId="132" applyNumberFormat="1" applyFont="1" applyBorder="1" applyAlignment="1">
      <alignment horizontal="left" vertical="center"/>
    </xf>
    <xf numFmtId="168" fontId="12" fillId="43" borderId="55" xfId="0" applyNumberFormat="1" applyFont="1" applyFill="1" applyBorder="1" applyAlignment="1">
      <alignment horizontal="justify" vertical="center"/>
    </xf>
    <xf numFmtId="168" fontId="2" fillId="0" borderId="0" xfId="0" applyNumberFormat="1" applyFont="1" applyAlignment="1">
      <alignment horizontal="justify" vertical="center"/>
    </xf>
    <xf numFmtId="168" fontId="51" fillId="0" borderId="55" xfId="0" applyNumberFormat="1" applyFont="1" applyBorder="1" applyAlignment="1">
      <alignment horizontal="justify" vertical="center"/>
    </xf>
    <xf numFmtId="168" fontId="2" fillId="0" borderId="2" xfId="132" applyNumberFormat="1" applyFont="1" applyBorder="1"/>
    <xf numFmtId="168" fontId="2" fillId="36" borderId="2" xfId="132" applyNumberFormat="1" applyFont="1" applyFill="1" applyBorder="1"/>
    <xf numFmtId="168" fontId="2" fillId="36" borderId="55" xfId="132" applyNumberFormat="1" applyFont="1" applyFill="1" applyBorder="1"/>
    <xf numFmtId="168" fontId="12" fillId="43" borderId="55" xfId="0" applyNumberFormat="1" applyFont="1" applyFill="1" applyBorder="1"/>
    <xf numFmtId="168" fontId="42" fillId="35" borderId="55" xfId="135" applyNumberFormat="1" applyFont="1" applyFill="1" applyBorder="1"/>
    <xf numFmtId="168" fontId="42" fillId="35" borderId="55" xfId="0" applyNumberFormat="1" applyFont="1" applyFill="1" applyBorder="1"/>
    <xf numFmtId="168" fontId="42" fillId="35" borderId="55" xfId="132" applyNumberFormat="1" applyFont="1" applyFill="1" applyBorder="1"/>
    <xf numFmtId="0" fontId="9" fillId="42" borderId="55" xfId="0" applyFont="1" applyFill="1" applyBorder="1"/>
    <xf numFmtId="0" fontId="9" fillId="42" borderId="55" xfId="0" applyFont="1" applyFill="1" applyBorder="1" applyAlignment="1">
      <alignment horizontal="center"/>
    </xf>
    <xf numFmtId="0" fontId="12" fillId="0" borderId="55" xfId="3" applyFont="1" applyFill="1" applyBorder="1" applyAlignment="1" applyProtection="1">
      <alignment vertical="center" wrapText="1"/>
      <protection locked="0"/>
    </xf>
    <xf numFmtId="0" fontId="0" fillId="0" borderId="55" xfId="0" applyBorder="1" applyAlignment="1">
      <alignment horizontal="center"/>
    </xf>
    <xf numFmtId="169" fontId="0" fillId="0" borderId="55" xfId="0" applyNumberFormat="1" applyBorder="1" applyAlignment="1">
      <alignment horizontal="center"/>
    </xf>
    <xf numFmtId="169" fontId="9" fillId="0" borderId="55" xfId="132" applyNumberFormat="1" applyFont="1" applyBorder="1" applyAlignment="1">
      <alignment horizontal="right"/>
    </xf>
    <xf numFmtId="0" fontId="12" fillId="0" borderId="71" xfId="3" applyFont="1" applyFill="1" applyBorder="1" applyAlignment="1" applyProtection="1">
      <alignment vertical="center" wrapText="1"/>
      <protection locked="0"/>
    </xf>
    <xf numFmtId="0" fontId="2" fillId="0" borderId="55" xfId="3" applyFont="1" applyFill="1" applyBorder="1" applyAlignment="1" applyProtection="1">
      <alignment horizontal="left" vertical="center" wrapText="1"/>
      <protection locked="0"/>
    </xf>
    <xf numFmtId="169" fontId="0" fillId="0" borderId="55" xfId="132" applyNumberFormat="1" applyFont="1" applyBorder="1" applyAlignment="1">
      <alignment horizontal="right"/>
    </xf>
    <xf numFmtId="0" fontId="2" fillId="0" borderId="2" xfId="3" applyFont="1" applyFill="1" applyBorder="1" applyAlignment="1" applyProtection="1">
      <alignment horizontal="left" vertical="center" wrapText="1"/>
      <protection locked="0"/>
    </xf>
    <xf numFmtId="0" fontId="12" fillId="35" borderId="55" xfId="3" applyFont="1" applyFill="1" applyBorder="1" applyAlignment="1" applyProtection="1">
      <alignment vertical="center" wrapText="1"/>
      <protection locked="0"/>
    </xf>
    <xf numFmtId="0" fontId="0" fillId="35" borderId="55" xfId="0" applyFill="1" applyBorder="1" applyAlignment="1">
      <alignment horizontal="center"/>
    </xf>
    <xf numFmtId="169" fontId="0" fillId="35" borderId="55" xfId="0" applyNumberFormat="1" applyFill="1" applyBorder="1" applyAlignment="1">
      <alignment horizontal="center"/>
    </xf>
    <xf numFmtId="169" fontId="9" fillId="35" borderId="55" xfId="132" applyNumberFormat="1" applyFont="1" applyFill="1" applyBorder="1" applyAlignment="1">
      <alignment horizontal="right"/>
    </xf>
    <xf numFmtId="172" fontId="2" fillId="35" borderId="49" xfId="0" applyNumberFormat="1" applyFont="1" applyFill="1" applyBorder="1" applyAlignment="1">
      <alignment horizontal="center"/>
    </xf>
    <xf numFmtId="173" fontId="2" fillId="35" borderId="2" xfId="0" applyNumberFormat="1" applyFont="1" applyFill="1" applyBorder="1" applyAlignment="1">
      <alignment horizontal="center"/>
    </xf>
    <xf numFmtId="164" fontId="2" fillId="35" borderId="2" xfId="132" applyNumberFormat="1" applyFont="1" applyFill="1" applyBorder="1"/>
    <xf numFmtId="172" fontId="2" fillId="0" borderId="2" xfId="132" applyNumberFormat="1" applyFont="1" applyBorder="1"/>
    <xf numFmtId="172" fontId="2" fillId="0" borderId="50" xfId="0" applyNumberFormat="1" applyFont="1" applyBorder="1"/>
    <xf numFmtId="172" fontId="2" fillId="0" borderId="33" xfId="132" applyNumberFormat="1" applyFont="1" applyBorder="1"/>
    <xf numFmtId="172" fontId="2" fillId="36" borderId="2" xfId="0" applyNumberFormat="1" applyFont="1" applyFill="1" applyBorder="1"/>
    <xf numFmtId="172" fontId="2" fillId="0" borderId="51" xfId="0" applyNumberFormat="1" applyFont="1" applyBorder="1" applyAlignment="1">
      <alignment horizontal="center"/>
    </xf>
    <xf numFmtId="173" fontId="2" fillId="0" borderId="55" xfId="0" applyNumberFormat="1" applyFont="1" applyBorder="1" applyAlignment="1">
      <alignment horizontal="center"/>
    </xf>
    <xf numFmtId="164" fontId="2" fillId="0" borderId="55" xfId="132" applyNumberFormat="1" applyFont="1" applyBorder="1"/>
    <xf numFmtId="172" fontId="2" fillId="0" borderId="55" xfId="132" applyNumberFormat="1" applyFont="1" applyBorder="1"/>
    <xf numFmtId="172" fontId="2" fillId="0" borderId="52" xfId="0" applyNumberFormat="1" applyFont="1" applyBorder="1"/>
    <xf numFmtId="172" fontId="2" fillId="0" borderId="54" xfId="132" applyNumberFormat="1" applyFont="1" applyBorder="1"/>
    <xf numFmtId="172" fontId="2" fillId="0" borderId="55" xfId="0" applyNumberFormat="1" applyFont="1" applyBorder="1"/>
    <xf numFmtId="172" fontId="2" fillId="35" borderId="51" xfId="0" applyNumberFormat="1" applyFont="1" applyFill="1" applyBorder="1" applyAlignment="1">
      <alignment horizontal="center"/>
    </xf>
    <xf numFmtId="173" fontId="2" fillId="35" borderId="55" xfId="0" applyNumberFormat="1" applyFont="1" applyFill="1" applyBorder="1" applyAlignment="1">
      <alignment horizontal="center"/>
    </xf>
    <xf numFmtId="164" fontId="2" fillId="35" borderId="55" xfId="132" applyNumberFormat="1" applyFont="1" applyFill="1" applyBorder="1" applyAlignment="1">
      <alignment horizontal="left"/>
    </xf>
    <xf numFmtId="172" fontId="2" fillId="36" borderId="55" xfId="0" applyNumberFormat="1" applyFont="1" applyFill="1" applyBorder="1"/>
    <xf numFmtId="172" fontId="2" fillId="35" borderId="51" xfId="132" applyNumberFormat="1" applyFont="1" applyFill="1" applyBorder="1" applyAlignment="1">
      <alignment horizontal="center"/>
    </xf>
    <xf numFmtId="166" fontId="2" fillId="0" borderId="59" xfId="0" applyNumberFormat="1" applyFont="1" applyFill="1" applyBorder="1" applyAlignment="1">
      <alignment vertical="center"/>
    </xf>
    <xf numFmtId="166" fontId="2" fillId="36" borderId="65" xfId="0" applyNumberFormat="1" applyFont="1" applyFill="1" applyBorder="1" applyAlignment="1">
      <alignment vertical="center"/>
    </xf>
    <xf numFmtId="166" fontId="2" fillId="36" borderId="62" xfId="0" applyNumberFormat="1" applyFont="1" applyFill="1" applyBorder="1" applyAlignment="1">
      <alignment vertical="center"/>
    </xf>
    <xf numFmtId="166" fontId="2" fillId="36" borderId="59" xfId="0" applyNumberFormat="1" applyFont="1" applyFill="1" applyBorder="1" applyAlignment="1">
      <alignment vertical="center"/>
    </xf>
    <xf numFmtId="164" fontId="2" fillId="35" borderId="55" xfId="132" applyNumberFormat="1" applyFont="1" applyFill="1" applyBorder="1" applyAlignment="1">
      <alignment horizontal="center"/>
    </xf>
    <xf numFmtId="166" fontId="2" fillId="0" borderId="65" xfId="0" applyNumberFormat="1" applyFont="1" applyBorder="1" applyAlignment="1">
      <alignment vertical="center"/>
    </xf>
    <xf numFmtId="166" fontId="2" fillId="0" borderId="62" xfId="0" applyNumberFormat="1" applyFont="1" applyBorder="1" applyAlignment="1">
      <alignment vertical="center"/>
    </xf>
    <xf numFmtId="172" fontId="2" fillId="51" borderId="55" xfId="0" applyNumberFormat="1" applyFont="1" applyFill="1" applyBorder="1"/>
    <xf numFmtId="166" fontId="2" fillId="0" borderId="65" xfId="0" applyNumberFormat="1" applyFont="1" applyFill="1" applyBorder="1" applyAlignment="1">
      <alignment vertical="center"/>
    </xf>
    <xf numFmtId="166" fontId="2" fillId="0" borderId="62" xfId="0" applyNumberFormat="1" applyFont="1" applyFill="1" applyBorder="1" applyAlignment="1">
      <alignment vertical="center"/>
    </xf>
    <xf numFmtId="164" fontId="44" fillId="0" borderId="74" xfId="132" applyNumberFormat="1" applyFont="1" applyBorder="1" applyAlignment="1">
      <alignment horizontal="right" vertical="center"/>
    </xf>
    <xf numFmtId="172" fontId="2" fillId="35" borderId="75" xfId="0" applyNumberFormat="1" applyFont="1" applyFill="1" applyBorder="1" applyAlignment="1">
      <alignment horizontal="center"/>
    </xf>
    <xf numFmtId="173" fontId="2" fillId="35" borderId="76" xfId="0" applyNumberFormat="1" applyFont="1" applyFill="1" applyBorder="1" applyAlignment="1">
      <alignment horizontal="center"/>
    </xf>
    <xf numFmtId="164" fontId="2" fillId="0" borderId="76" xfId="132" applyNumberFormat="1" applyFont="1" applyBorder="1"/>
    <xf numFmtId="172" fontId="2" fillId="0" borderId="76" xfId="132" applyNumberFormat="1" applyFont="1" applyBorder="1"/>
    <xf numFmtId="172" fontId="2" fillId="0" borderId="77" xfId="0" applyNumberFormat="1" applyFont="1" applyBorder="1"/>
    <xf numFmtId="172" fontId="2" fillId="0" borderId="76" xfId="0" applyNumberFormat="1" applyFont="1" applyBorder="1"/>
    <xf numFmtId="0" fontId="12" fillId="41" borderId="55" xfId="3" applyFont="1" applyFill="1" applyBorder="1" applyAlignment="1" applyProtection="1">
      <alignment horizontal="center"/>
      <protection locked="0"/>
    </xf>
    <xf numFmtId="0" fontId="12" fillId="41" borderId="71" xfId="3" applyFont="1" applyFill="1" applyBorder="1" applyAlignment="1" applyProtection="1">
      <alignment horizontal="center"/>
      <protection locked="0"/>
    </xf>
    <xf numFmtId="0" fontId="12" fillId="31" borderId="57" xfId="0" applyFont="1" applyFill="1" applyBorder="1" applyAlignment="1" applyProtection="1">
      <alignment vertical="center" wrapText="1"/>
      <protection locked="0"/>
    </xf>
    <xf numFmtId="0" fontId="10" fillId="0" borderId="54" xfId="0" applyFont="1" applyBorder="1" applyAlignment="1">
      <alignment vertical="center" wrapText="1"/>
    </xf>
    <xf numFmtId="0" fontId="12" fillId="41" borderId="57" xfId="3" applyFont="1" applyFill="1" applyBorder="1" applyAlignment="1" applyProtection="1">
      <alignment horizontal="center"/>
      <protection locked="0"/>
    </xf>
    <xf numFmtId="0" fontId="12" fillId="41" borderId="70" xfId="3" applyFont="1" applyFill="1" applyBorder="1" applyAlignment="1" applyProtection="1">
      <alignment horizontal="center"/>
      <protection locked="0"/>
    </xf>
    <xf numFmtId="0" fontId="12" fillId="41" borderId="54" xfId="3" applyFont="1" applyFill="1" applyBorder="1" applyAlignment="1" applyProtection="1">
      <alignment horizontal="center"/>
      <protection locked="0"/>
    </xf>
    <xf numFmtId="0" fontId="12" fillId="30" borderId="57" xfId="3" applyFont="1" applyFill="1" applyBorder="1" applyAlignment="1" applyProtection="1">
      <alignment horizontal="center"/>
      <protection locked="0"/>
    </xf>
    <xf numFmtId="0" fontId="12" fillId="30" borderId="70" xfId="3" applyFont="1" applyFill="1" applyBorder="1" applyAlignment="1" applyProtection="1">
      <alignment horizontal="center"/>
      <protection locked="0"/>
    </xf>
    <xf numFmtId="0" fontId="12" fillId="30" borderId="54" xfId="3" applyFont="1" applyFill="1" applyBorder="1" applyAlignment="1" applyProtection="1">
      <alignment horizontal="center"/>
      <protection locked="0"/>
    </xf>
    <xf numFmtId="3" fontId="12" fillId="0" borderId="71" xfId="0" applyNumberFormat="1" applyFont="1" applyBorder="1" applyAlignment="1">
      <alignment horizontal="center" vertical="center" wrapText="1"/>
    </xf>
    <xf numFmtId="0" fontId="12" fillId="0" borderId="2" xfId="0" applyFont="1" applyBorder="1" applyAlignment="1">
      <alignment horizontal="center" vertical="center" wrapText="1"/>
    </xf>
    <xf numFmtId="0" fontId="2" fillId="36" borderId="71" xfId="3" applyFont="1" applyFill="1" applyBorder="1" applyAlignment="1" applyProtection="1">
      <alignment horizontal="left" vertical="center" wrapText="1"/>
      <protection locked="0"/>
    </xf>
    <xf numFmtId="0" fontId="2" fillId="36" borderId="2" xfId="3" applyFont="1" applyFill="1" applyBorder="1" applyAlignment="1" applyProtection="1">
      <alignment horizontal="left" vertical="center" wrapText="1"/>
      <protection locked="0"/>
    </xf>
    <xf numFmtId="0" fontId="2" fillId="0" borderId="55"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35"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12" fillId="30" borderId="55" xfId="3" applyFont="1" applyFill="1" applyBorder="1" applyAlignment="1" applyProtection="1">
      <alignment horizontal="center"/>
      <protection locked="0"/>
    </xf>
    <xf numFmtId="0" fontId="12" fillId="30" borderId="34" xfId="3" applyFont="1" applyFill="1" applyBorder="1" applyAlignment="1" applyProtection="1">
      <alignment horizontal="center"/>
      <protection locked="0"/>
    </xf>
    <xf numFmtId="0" fontId="12" fillId="30" borderId="0" xfId="3" applyFont="1" applyFill="1" applyBorder="1" applyAlignment="1" applyProtection="1">
      <alignment horizontal="center"/>
      <protection locked="0"/>
    </xf>
    <xf numFmtId="3" fontId="40" fillId="0" borderId="1" xfId="0" applyNumberFormat="1" applyFont="1" applyBorder="1" applyAlignment="1" applyProtection="1">
      <alignment horizontal="center" vertical="center" wrapText="1"/>
    </xf>
    <xf numFmtId="3" fontId="40" fillId="0" borderId="2" xfId="0" applyNumberFormat="1" applyFont="1" applyBorder="1" applyAlignment="1" applyProtection="1">
      <alignment horizontal="center" vertical="center" wrapText="1"/>
    </xf>
    <xf numFmtId="3" fontId="40" fillId="0" borderId="55" xfId="0" applyNumberFormat="1" applyFont="1" applyBorder="1" applyAlignment="1" applyProtection="1">
      <alignment horizontal="center" vertical="center" wrapText="1"/>
    </xf>
    <xf numFmtId="0" fontId="46" fillId="50" borderId="71" xfId="0" applyFont="1" applyFill="1" applyBorder="1" applyAlignment="1" applyProtection="1">
      <alignment horizontal="left" vertical="center" wrapText="1"/>
      <protection locked="0"/>
    </xf>
    <xf numFmtId="0" fontId="46" fillId="50" borderId="1" xfId="0" applyFont="1" applyFill="1" applyBorder="1" applyAlignment="1" applyProtection="1">
      <alignment horizontal="left" vertical="center" wrapText="1"/>
      <protection locked="0"/>
    </xf>
    <xf numFmtId="0" fontId="46" fillId="50" borderId="2" xfId="0" applyFont="1" applyFill="1" applyBorder="1" applyAlignment="1" applyProtection="1">
      <alignment horizontal="left" vertical="center" wrapText="1"/>
      <protection locked="0"/>
    </xf>
    <xf numFmtId="0" fontId="12" fillId="30" borderId="57" xfId="3" applyFont="1" applyFill="1" applyBorder="1" applyAlignment="1" applyProtection="1">
      <alignment horizontal="left"/>
      <protection locked="0"/>
    </xf>
    <xf numFmtId="0" fontId="12" fillId="30" borderId="70" xfId="3" applyFont="1" applyFill="1" applyBorder="1" applyAlignment="1" applyProtection="1">
      <alignment horizontal="left"/>
      <protection locked="0"/>
    </xf>
    <xf numFmtId="0" fontId="12" fillId="30" borderId="54" xfId="3" applyFont="1" applyFill="1" applyBorder="1" applyAlignment="1" applyProtection="1">
      <alignment horizontal="left"/>
      <protection locked="0"/>
    </xf>
    <xf numFmtId="3" fontId="12" fillId="0" borderId="1" xfId="0" applyNumberFormat="1" applyFont="1" applyBorder="1" applyAlignment="1">
      <alignment horizontal="center" vertical="center" wrapText="1"/>
    </xf>
    <xf numFmtId="0" fontId="39" fillId="0" borderId="71" xfId="0" applyFont="1" applyBorder="1" applyAlignment="1">
      <alignment horizontal="center" vertical="center" wrapText="1"/>
    </xf>
    <xf numFmtId="0" fontId="39" fillId="0" borderId="2" xfId="0" applyFont="1" applyBorder="1" applyAlignment="1">
      <alignment horizontal="center" vertical="center" wrapText="1"/>
    </xf>
    <xf numFmtId="165" fontId="39" fillId="0" borderId="71" xfId="132" applyNumberFormat="1" applyFont="1" applyBorder="1" applyAlignment="1">
      <alignment vertical="center" wrapText="1"/>
    </xf>
    <xf numFmtId="165" fontId="39" fillId="0" borderId="2" xfId="132" applyNumberFormat="1" applyFont="1" applyBorder="1" applyAlignment="1">
      <alignment vertical="center" wrapText="1"/>
    </xf>
    <xf numFmtId="165" fontId="39" fillId="0" borderId="72" xfId="132" applyNumberFormat="1" applyFont="1" applyBorder="1" applyAlignment="1">
      <alignment horizontal="center" vertical="center" wrapText="1"/>
    </xf>
    <xf numFmtId="165" fontId="39" fillId="0" borderId="20" xfId="132" applyNumberFormat="1" applyFont="1" applyBorder="1" applyAlignment="1">
      <alignment horizontal="center" vertical="center" wrapText="1"/>
    </xf>
    <xf numFmtId="0" fontId="2" fillId="36" borderId="55" xfId="0" applyFont="1" applyFill="1" applyBorder="1" applyAlignment="1" applyProtection="1">
      <alignment horizontal="left" vertical="center" wrapText="1"/>
      <protection locked="0"/>
    </xf>
    <xf numFmtId="0" fontId="39" fillId="0" borderId="71" xfId="0" applyFont="1" applyBorder="1" applyAlignment="1">
      <alignment horizontal="left" vertical="center" wrapText="1"/>
    </xf>
    <xf numFmtId="0" fontId="39" fillId="0" borderId="2" xfId="0" applyFont="1" applyBorder="1" applyAlignment="1">
      <alignment horizontal="left" vertical="center" wrapText="1"/>
    </xf>
    <xf numFmtId="3" fontId="40" fillId="0" borderId="71" xfId="0" applyNumberFormat="1" applyFont="1" applyBorder="1" applyAlignment="1" applyProtection="1">
      <alignment horizontal="center" vertical="center" wrapText="1"/>
    </xf>
    <xf numFmtId="0" fontId="2" fillId="0" borderId="71" xfId="3" applyFont="1" applyFill="1" applyBorder="1" applyAlignment="1" applyProtection="1">
      <alignment horizontal="left" vertical="center" wrapText="1"/>
      <protection locked="0"/>
    </xf>
    <xf numFmtId="0" fontId="2" fillId="0" borderId="1" xfId="3" applyFont="1" applyFill="1" applyBorder="1" applyAlignment="1" applyProtection="1">
      <alignment horizontal="left" vertical="center" wrapText="1"/>
      <protection locked="0"/>
    </xf>
    <xf numFmtId="0" fontId="2" fillId="0" borderId="2" xfId="3" applyFont="1" applyFill="1" applyBorder="1" applyAlignment="1" applyProtection="1">
      <alignment horizontal="left" vertical="center" wrapText="1"/>
      <protection locked="0"/>
    </xf>
    <xf numFmtId="3" fontId="12" fillId="0" borderId="71" xfId="3" applyNumberFormat="1" applyFont="1" applyFill="1" applyBorder="1" applyAlignment="1" applyProtection="1">
      <alignment horizontal="center" vertical="center" wrapText="1"/>
      <protection locked="0"/>
    </xf>
    <xf numFmtId="3" fontId="12" fillId="0" borderId="1" xfId="3" applyNumberFormat="1"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2" fillId="0" borderId="7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58" fillId="30" borderId="57" xfId="3" applyFont="1" applyFill="1" applyBorder="1" applyAlignment="1" applyProtection="1">
      <alignment horizontal="center" vertical="center" wrapText="1"/>
      <protection locked="0"/>
    </xf>
    <xf numFmtId="0" fontId="58" fillId="30" borderId="70" xfId="3" applyFont="1" applyFill="1" applyBorder="1" applyAlignment="1" applyProtection="1">
      <alignment horizontal="center" vertical="center" wrapText="1"/>
      <protection locked="0"/>
    </xf>
    <xf numFmtId="0" fontId="58" fillId="30" borderId="54" xfId="3" applyFont="1" applyFill="1" applyBorder="1" applyAlignment="1" applyProtection="1">
      <alignment horizontal="center" vertical="center" wrapText="1"/>
      <protection locked="0"/>
    </xf>
    <xf numFmtId="0" fontId="12" fillId="3" borderId="55" xfId="3" applyFont="1" applyFill="1" applyBorder="1" applyAlignment="1" applyProtection="1">
      <alignment horizontal="center" vertical="center"/>
      <protection locked="0"/>
    </xf>
    <xf numFmtId="0" fontId="10" fillId="3" borderId="55" xfId="0" applyFont="1" applyFill="1" applyBorder="1" applyAlignment="1" applyProtection="1">
      <alignment horizontal="center" vertical="center"/>
      <protection locked="0"/>
    </xf>
    <xf numFmtId="0" fontId="12" fillId="40" borderId="55" xfId="3" applyFont="1" applyFill="1" applyBorder="1" applyAlignment="1" applyProtection="1">
      <alignment horizontal="center" vertical="center"/>
      <protection locked="0"/>
    </xf>
    <xf numFmtId="0" fontId="10" fillId="40" borderId="55" xfId="0" applyFont="1" applyFill="1" applyBorder="1" applyAlignment="1" applyProtection="1">
      <alignment horizontal="center" vertical="center"/>
      <protection locked="0"/>
    </xf>
    <xf numFmtId="0" fontId="12" fillId="38" borderId="55" xfId="3" applyFont="1" applyFill="1" applyBorder="1" applyAlignment="1" applyProtection="1">
      <alignment horizontal="center" vertical="center"/>
      <protection locked="0"/>
    </xf>
    <xf numFmtId="0" fontId="10" fillId="38" borderId="55" xfId="0" applyFont="1" applyFill="1" applyBorder="1" applyAlignment="1" applyProtection="1">
      <alignment horizontal="center" vertical="center"/>
      <protection locked="0"/>
    </xf>
    <xf numFmtId="0" fontId="12" fillId="39" borderId="55" xfId="3" applyFont="1" applyFill="1" applyBorder="1" applyAlignment="1" applyProtection="1">
      <alignment horizontal="center" vertical="center"/>
      <protection locked="0"/>
    </xf>
    <xf numFmtId="0" fontId="10" fillId="39" borderId="55" xfId="0" applyFont="1" applyFill="1" applyBorder="1" applyAlignment="1" applyProtection="1">
      <alignment horizontal="center" vertical="center"/>
      <protection locked="0"/>
    </xf>
    <xf numFmtId="3" fontId="40" fillId="0" borderId="72" xfId="0" applyNumberFormat="1" applyFont="1" applyBorder="1" applyAlignment="1" applyProtection="1">
      <alignment horizontal="center" vertical="center" wrapText="1"/>
    </xf>
    <xf numFmtId="3" fontId="40" fillId="0" borderId="34" xfId="0" applyNumberFormat="1" applyFont="1" applyBorder="1" applyAlignment="1" applyProtection="1">
      <alignment horizontal="center" vertical="center" wrapText="1"/>
    </xf>
    <xf numFmtId="0" fontId="12" fillId="30" borderId="36" xfId="3" applyFont="1" applyFill="1" applyBorder="1" applyAlignment="1" applyProtection="1">
      <alignment horizontal="center"/>
      <protection locked="0"/>
    </xf>
    <xf numFmtId="0" fontId="39" fillId="0" borderId="55" xfId="0" applyFont="1" applyBorder="1" applyAlignment="1">
      <alignment horizontal="center" vertical="center" wrapText="1"/>
    </xf>
    <xf numFmtId="0" fontId="39" fillId="0" borderId="1" xfId="0" applyFont="1" applyBorder="1" applyAlignment="1">
      <alignment horizontal="center" vertical="center" wrapText="1"/>
    </xf>
    <xf numFmtId="3" fontId="12" fillId="0" borderId="71" xfId="132" applyNumberFormat="1" applyFont="1" applyBorder="1" applyAlignment="1" applyProtection="1">
      <alignment horizontal="center" vertical="center"/>
      <protection locked="0"/>
    </xf>
    <xf numFmtId="3" fontId="12" fillId="0" borderId="1" xfId="132" applyNumberFormat="1" applyFont="1" applyBorder="1" applyAlignment="1" applyProtection="1">
      <alignment horizontal="center" vertical="center"/>
      <protection locked="0"/>
    </xf>
    <xf numFmtId="3" fontId="12" fillId="0" borderId="2" xfId="132" applyNumberFormat="1" applyFont="1" applyBorder="1" applyAlignment="1" applyProtection="1">
      <alignment horizontal="center" vertical="center"/>
      <protection locked="0"/>
    </xf>
    <xf numFmtId="0" fontId="12" fillId="4" borderId="55" xfId="3" applyFont="1" applyFill="1" applyBorder="1" applyAlignment="1" applyProtection="1">
      <alignment horizontal="center" vertical="center"/>
      <protection locked="0"/>
    </xf>
    <xf numFmtId="0" fontId="10" fillId="0" borderId="55" xfId="0" applyFont="1" applyBorder="1" applyAlignment="1" applyProtection="1">
      <alignment horizontal="center" vertical="center"/>
      <protection locked="0"/>
    </xf>
    <xf numFmtId="0" fontId="9" fillId="5" borderId="58" xfId="0" applyFont="1" applyFill="1" applyBorder="1" applyAlignment="1">
      <alignment horizontal="center"/>
    </xf>
    <xf numFmtId="0" fontId="9" fillId="5" borderId="45" xfId="0" applyFont="1" applyFill="1" applyBorder="1" applyAlignment="1">
      <alignment horizontal="center"/>
    </xf>
    <xf numFmtId="0" fontId="9" fillId="5" borderId="59" xfId="0" applyFont="1" applyFill="1" applyBorder="1" applyAlignment="1">
      <alignment horizontal="center"/>
    </xf>
    <xf numFmtId="0" fontId="9" fillId="5" borderId="23" xfId="0" applyFont="1" applyFill="1" applyBorder="1" applyAlignment="1">
      <alignment horizontal="center"/>
    </xf>
    <xf numFmtId="0" fontId="9" fillId="5" borderId="17" xfId="0" applyFont="1" applyFill="1" applyBorder="1" applyAlignment="1">
      <alignment horizontal="center"/>
    </xf>
    <xf numFmtId="0" fontId="9" fillId="5" borderId="24" xfId="0" applyFont="1" applyFill="1" applyBorder="1" applyAlignment="1">
      <alignment horizontal="center"/>
    </xf>
    <xf numFmtId="0" fontId="42" fillId="0" borderId="0" xfId="0" applyFont="1" applyAlignment="1">
      <alignment horizontal="left" wrapText="1"/>
    </xf>
    <xf numFmtId="0" fontId="9" fillId="37" borderId="27" xfId="0" applyFont="1" applyFill="1" applyBorder="1" applyAlignment="1">
      <alignment horizontal="center" vertical="center" wrapText="1"/>
    </xf>
    <xf numFmtId="0" fontId="9" fillId="37" borderId="16"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27" xfId="0" applyFont="1" applyFill="1" applyBorder="1" applyAlignment="1">
      <alignment horizontal="center" vertical="center"/>
    </xf>
    <xf numFmtId="0" fontId="9" fillId="5" borderId="16" xfId="0" applyFont="1" applyFill="1" applyBorder="1" applyAlignment="1">
      <alignment horizontal="center" vertical="center"/>
    </xf>
    <xf numFmtId="0" fontId="9" fillId="50" borderId="55" xfId="0" applyFont="1" applyFill="1" applyBorder="1" applyAlignment="1">
      <alignment horizontal="center"/>
    </xf>
    <xf numFmtId="0" fontId="9" fillId="50" borderId="57" xfId="0" applyFont="1" applyFill="1" applyBorder="1" applyAlignment="1">
      <alignment horizontal="center"/>
    </xf>
    <xf numFmtId="0" fontId="9" fillId="50" borderId="70" xfId="0" applyFont="1" applyFill="1" applyBorder="1" applyAlignment="1">
      <alignment horizontal="center"/>
    </xf>
    <xf numFmtId="0" fontId="9" fillId="50" borderId="54" xfId="0" applyFont="1" applyFill="1" applyBorder="1" applyAlignment="1">
      <alignment horizontal="center"/>
    </xf>
    <xf numFmtId="168" fontId="9" fillId="0" borderId="70" xfId="0" applyNumberFormat="1" applyFont="1" applyBorder="1" applyAlignment="1">
      <alignment horizontal="left" vertical="top" wrapText="1"/>
    </xf>
    <xf numFmtId="168" fontId="42" fillId="0" borderId="0" xfId="0" applyNumberFormat="1" applyFont="1" applyAlignment="1">
      <alignment horizontal="left" vertical="top" wrapText="1"/>
    </xf>
    <xf numFmtId="168" fontId="2" fillId="0" borderId="55" xfId="132" applyNumberFormat="1" applyFont="1" applyBorder="1" applyAlignment="1">
      <alignment horizontal="center" vertical="center"/>
    </xf>
    <xf numFmtId="0" fontId="33" fillId="34" borderId="28" xfId="0" applyFont="1" applyFill="1" applyBorder="1" applyAlignment="1">
      <alignment horizontal="left" vertical="center"/>
    </xf>
    <xf numFmtId="0" fontId="33" fillId="34" borderId="26" xfId="0" applyFont="1" applyFill="1" applyBorder="1" applyAlignment="1">
      <alignment horizontal="left" vertical="center"/>
    </xf>
    <xf numFmtId="0" fontId="9" fillId="0" borderId="0" xfId="0" applyFont="1" applyBorder="1" applyAlignment="1">
      <alignment horizontal="left"/>
    </xf>
    <xf numFmtId="165" fontId="12" fillId="5" borderId="28" xfId="0" applyNumberFormat="1" applyFont="1" applyFill="1" applyBorder="1" applyAlignment="1">
      <alignment horizontal="center"/>
    </xf>
    <xf numFmtId="165" fontId="12" fillId="5" borderId="73" xfId="0" applyNumberFormat="1" applyFont="1" applyFill="1" applyBorder="1" applyAlignment="1">
      <alignment horizontal="center"/>
    </xf>
    <xf numFmtId="165" fontId="12" fillId="5" borderId="61" xfId="0" applyNumberFormat="1" applyFont="1" applyFill="1" applyBorder="1" applyAlignment="1">
      <alignment horizontal="center"/>
    </xf>
    <xf numFmtId="0" fontId="33" fillId="32" borderId="23" xfId="0" applyFont="1" applyFill="1" applyBorder="1" applyAlignment="1">
      <alignment horizontal="center" vertical="center"/>
    </xf>
    <xf numFmtId="0" fontId="33" fillId="32" borderId="24" xfId="0" applyFont="1" applyFill="1" applyBorder="1" applyAlignment="1">
      <alignment horizontal="center" vertical="center"/>
    </xf>
    <xf numFmtId="0" fontId="33" fillId="32" borderId="25" xfId="0" applyFont="1" applyFill="1" applyBorder="1" applyAlignment="1">
      <alignment horizontal="center" vertical="center"/>
    </xf>
    <xf numFmtId="0" fontId="33" fillId="32" borderId="22" xfId="0" applyFont="1" applyFill="1" applyBorder="1" applyAlignment="1">
      <alignment horizontal="center" vertical="center"/>
    </xf>
    <xf numFmtId="0" fontId="33" fillId="32" borderId="28" xfId="0" applyFont="1" applyFill="1" applyBorder="1" applyAlignment="1">
      <alignment horizontal="center" vertical="center"/>
    </xf>
    <xf numFmtId="0" fontId="33" fillId="32" borderId="26" xfId="0" applyFont="1" applyFill="1" applyBorder="1" applyAlignment="1">
      <alignment horizontal="center" vertical="center"/>
    </xf>
    <xf numFmtId="0" fontId="33" fillId="32" borderId="29" xfId="0" applyFont="1" applyFill="1" applyBorder="1" applyAlignment="1">
      <alignment horizontal="center" vertical="center"/>
    </xf>
    <xf numFmtId="0" fontId="33" fillId="32" borderId="30" xfId="0" applyFont="1" applyFill="1" applyBorder="1" applyAlignment="1">
      <alignment horizontal="center" vertical="center"/>
    </xf>
  </cellXfs>
  <cellStyles count="138">
    <cellStyle name="20% - Accent1 2" xfId="5" xr:uid="{00000000-0005-0000-0000-000000000000}"/>
    <cellStyle name="20% - Accent1 3" xfId="6" xr:uid="{00000000-0005-0000-0000-000001000000}"/>
    <cellStyle name="20% - Accent1 4" xfId="7" xr:uid="{00000000-0005-0000-0000-000002000000}"/>
    <cellStyle name="20% - Accent2 2" xfId="8" xr:uid="{00000000-0005-0000-0000-000003000000}"/>
    <cellStyle name="20% - Accent2 3" xfId="9" xr:uid="{00000000-0005-0000-0000-000004000000}"/>
    <cellStyle name="20% - Accent2 4" xfId="10" xr:uid="{00000000-0005-0000-0000-000005000000}"/>
    <cellStyle name="20% - Accent3 2" xfId="11" xr:uid="{00000000-0005-0000-0000-000006000000}"/>
    <cellStyle name="20% - Accent3 3" xfId="12" xr:uid="{00000000-0005-0000-0000-000007000000}"/>
    <cellStyle name="20% - Accent3 4" xfId="13" xr:uid="{00000000-0005-0000-0000-000008000000}"/>
    <cellStyle name="20% - Accent4 2" xfId="14" xr:uid="{00000000-0005-0000-0000-000009000000}"/>
    <cellStyle name="20% - Accent4 3" xfId="15" xr:uid="{00000000-0005-0000-0000-00000A000000}"/>
    <cellStyle name="20% - Accent4 4" xfId="16" xr:uid="{00000000-0005-0000-0000-00000B000000}"/>
    <cellStyle name="20% - Accent5 2" xfId="17" xr:uid="{00000000-0005-0000-0000-00000C000000}"/>
    <cellStyle name="20% - Accent5 3" xfId="18" xr:uid="{00000000-0005-0000-0000-00000D000000}"/>
    <cellStyle name="20% - Accent5 4" xfId="19" xr:uid="{00000000-0005-0000-0000-00000E000000}"/>
    <cellStyle name="20% - Accent6 2" xfId="20" xr:uid="{00000000-0005-0000-0000-00000F000000}"/>
    <cellStyle name="20% - Accent6 3" xfId="21" xr:uid="{00000000-0005-0000-0000-000010000000}"/>
    <cellStyle name="20% - Accent6 4" xfId="22" xr:uid="{00000000-0005-0000-0000-000011000000}"/>
    <cellStyle name="40% - Accent1 2" xfId="23" xr:uid="{00000000-0005-0000-0000-000012000000}"/>
    <cellStyle name="40% - Accent1 3" xfId="24" xr:uid="{00000000-0005-0000-0000-000013000000}"/>
    <cellStyle name="40% - Accent1 4" xfId="25" xr:uid="{00000000-0005-0000-0000-000014000000}"/>
    <cellStyle name="40% - Accent2 2" xfId="26" xr:uid="{00000000-0005-0000-0000-000015000000}"/>
    <cellStyle name="40% - Accent2 3" xfId="27" xr:uid="{00000000-0005-0000-0000-000016000000}"/>
    <cellStyle name="40% - Accent2 4" xfId="28" xr:uid="{00000000-0005-0000-0000-000017000000}"/>
    <cellStyle name="40% - Accent3 2" xfId="29" xr:uid="{00000000-0005-0000-0000-000018000000}"/>
    <cellStyle name="40% - Accent3 3" xfId="30" xr:uid="{00000000-0005-0000-0000-000019000000}"/>
    <cellStyle name="40% - Accent3 4" xfId="31" xr:uid="{00000000-0005-0000-0000-00001A000000}"/>
    <cellStyle name="40% - Accent4 2" xfId="32" xr:uid="{00000000-0005-0000-0000-00001B000000}"/>
    <cellStyle name="40% - Accent4 3" xfId="33" xr:uid="{00000000-0005-0000-0000-00001C000000}"/>
    <cellStyle name="40% - Accent4 4" xfId="34" xr:uid="{00000000-0005-0000-0000-00001D000000}"/>
    <cellStyle name="40% - Accent5 2" xfId="35" xr:uid="{00000000-0005-0000-0000-00001E000000}"/>
    <cellStyle name="40% - Accent5 3" xfId="36" xr:uid="{00000000-0005-0000-0000-00001F000000}"/>
    <cellStyle name="40% - Accent5 4" xfId="37" xr:uid="{00000000-0005-0000-0000-000020000000}"/>
    <cellStyle name="40% - Accent6 2" xfId="38" xr:uid="{00000000-0005-0000-0000-000021000000}"/>
    <cellStyle name="40% - Accent6 3" xfId="39" xr:uid="{00000000-0005-0000-0000-000022000000}"/>
    <cellStyle name="40% - Accent6 4" xfId="40" xr:uid="{00000000-0005-0000-0000-000023000000}"/>
    <cellStyle name="60% - Accent1 2" xfId="41" xr:uid="{00000000-0005-0000-0000-000024000000}"/>
    <cellStyle name="60% - Accent1 3" xfId="42" xr:uid="{00000000-0005-0000-0000-000025000000}"/>
    <cellStyle name="60% - Accent1 4" xfId="43" xr:uid="{00000000-0005-0000-0000-000026000000}"/>
    <cellStyle name="60% - Accent2 2" xfId="44" xr:uid="{00000000-0005-0000-0000-000027000000}"/>
    <cellStyle name="60% - Accent2 3" xfId="45" xr:uid="{00000000-0005-0000-0000-000028000000}"/>
    <cellStyle name="60% - Accent2 4" xfId="46" xr:uid="{00000000-0005-0000-0000-000029000000}"/>
    <cellStyle name="60% - Accent3 2" xfId="47" xr:uid="{00000000-0005-0000-0000-00002A000000}"/>
    <cellStyle name="60% - Accent3 3" xfId="48" xr:uid="{00000000-0005-0000-0000-00002B000000}"/>
    <cellStyle name="60% - Accent3 4" xfId="49" xr:uid="{00000000-0005-0000-0000-00002C000000}"/>
    <cellStyle name="60% - Accent4 2" xfId="50" xr:uid="{00000000-0005-0000-0000-00002D000000}"/>
    <cellStyle name="60% - Accent4 3" xfId="51" xr:uid="{00000000-0005-0000-0000-00002E000000}"/>
    <cellStyle name="60% - Accent4 4" xfId="52" xr:uid="{00000000-0005-0000-0000-00002F000000}"/>
    <cellStyle name="60% - Accent5 2" xfId="53" xr:uid="{00000000-0005-0000-0000-000030000000}"/>
    <cellStyle name="60% - Accent5 3" xfId="54" xr:uid="{00000000-0005-0000-0000-000031000000}"/>
    <cellStyle name="60% - Accent5 4" xfId="55" xr:uid="{00000000-0005-0000-0000-000032000000}"/>
    <cellStyle name="60% - Accent6 2" xfId="56" xr:uid="{00000000-0005-0000-0000-000033000000}"/>
    <cellStyle name="60% - Accent6 3" xfId="57" xr:uid="{00000000-0005-0000-0000-000034000000}"/>
    <cellStyle name="60% - Accent6 4" xfId="58" xr:uid="{00000000-0005-0000-0000-000035000000}"/>
    <cellStyle name="Accent1 2" xfId="59" xr:uid="{00000000-0005-0000-0000-000036000000}"/>
    <cellStyle name="Accent1 3" xfId="60" xr:uid="{00000000-0005-0000-0000-000037000000}"/>
    <cellStyle name="Accent1 4" xfId="61" xr:uid="{00000000-0005-0000-0000-000038000000}"/>
    <cellStyle name="Accent2 2" xfId="62" xr:uid="{00000000-0005-0000-0000-000039000000}"/>
    <cellStyle name="Accent2 3" xfId="63" xr:uid="{00000000-0005-0000-0000-00003A000000}"/>
    <cellStyle name="Accent2 4" xfId="64" xr:uid="{00000000-0005-0000-0000-00003B000000}"/>
    <cellStyle name="Accent3 2" xfId="65" xr:uid="{00000000-0005-0000-0000-00003C000000}"/>
    <cellStyle name="Accent3 3" xfId="66" xr:uid="{00000000-0005-0000-0000-00003D000000}"/>
    <cellStyle name="Accent3 4" xfId="67" xr:uid="{00000000-0005-0000-0000-00003E000000}"/>
    <cellStyle name="Accent4 2" xfId="68" xr:uid="{00000000-0005-0000-0000-00003F000000}"/>
    <cellStyle name="Accent4 3" xfId="69" xr:uid="{00000000-0005-0000-0000-000040000000}"/>
    <cellStyle name="Accent4 4" xfId="70" xr:uid="{00000000-0005-0000-0000-000041000000}"/>
    <cellStyle name="Accent5 2" xfId="71" xr:uid="{00000000-0005-0000-0000-000042000000}"/>
    <cellStyle name="Accent5 3" xfId="72" xr:uid="{00000000-0005-0000-0000-000043000000}"/>
    <cellStyle name="Accent5 4" xfId="73" xr:uid="{00000000-0005-0000-0000-000044000000}"/>
    <cellStyle name="Accent6 2" xfId="74" xr:uid="{00000000-0005-0000-0000-000045000000}"/>
    <cellStyle name="Accent6 3" xfId="75" xr:uid="{00000000-0005-0000-0000-000046000000}"/>
    <cellStyle name="Accent6 4" xfId="76" xr:uid="{00000000-0005-0000-0000-000047000000}"/>
    <cellStyle name="Bad 2" xfId="77" xr:uid="{00000000-0005-0000-0000-000048000000}"/>
    <cellStyle name="Bad 3" xfId="78" xr:uid="{00000000-0005-0000-0000-000049000000}"/>
    <cellStyle name="Bad 4" xfId="79" xr:uid="{00000000-0005-0000-0000-00004A000000}"/>
    <cellStyle name="Calculation 2" xfId="80" xr:uid="{00000000-0005-0000-0000-00004B000000}"/>
    <cellStyle name="Calculation 3" xfId="81" xr:uid="{00000000-0005-0000-0000-00004C000000}"/>
    <cellStyle name="Calculation 4" xfId="82" xr:uid="{00000000-0005-0000-0000-00004D000000}"/>
    <cellStyle name="Check Cell 2" xfId="83" xr:uid="{00000000-0005-0000-0000-00004E000000}"/>
    <cellStyle name="Check Cell 3" xfId="84" xr:uid="{00000000-0005-0000-0000-00004F000000}"/>
    <cellStyle name="Check Cell 4" xfId="85" xr:uid="{00000000-0005-0000-0000-000050000000}"/>
    <cellStyle name="Comma" xfId="132" builtinId="3"/>
    <cellStyle name="Explanatory Text 2" xfId="86" xr:uid="{00000000-0005-0000-0000-000052000000}"/>
    <cellStyle name="Explanatory Text 3" xfId="87" xr:uid="{00000000-0005-0000-0000-000053000000}"/>
    <cellStyle name="Explanatory Text 4" xfId="88" xr:uid="{00000000-0005-0000-0000-000054000000}"/>
    <cellStyle name="Good 2" xfId="89" xr:uid="{00000000-0005-0000-0000-000055000000}"/>
    <cellStyle name="Good 3" xfId="90" xr:uid="{00000000-0005-0000-0000-000056000000}"/>
    <cellStyle name="Good 4" xfId="91" xr:uid="{00000000-0005-0000-0000-000057000000}"/>
    <cellStyle name="Heading 1 2" xfId="92" xr:uid="{00000000-0005-0000-0000-000058000000}"/>
    <cellStyle name="Heading 1 3" xfId="93" xr:uid="{00000000-0005-0000-0000-000059000000}"/>
    <cellStyle name="Heading 1 4" xfId="94" xr:uid="{00000000-0005-0000-0000-00005A000000}"/>
    <cellStyle name="Heading 2 2" xfId="95" xr:uid="{00000000-0005-0000-0000-00005B000000}"/>
    <cellStyle name="Heading 2 3" xfId="96" xr:uid="{00000000-0005-0000-0000-00005C000000}"/>
    <cellStyle name="Heading 2 4" xfId="97" xr:uid="{00000000-0005-0000-0000-00005D000000}"/>
    <cellStyle name="Heading 3 2" xfId="98" xr:uid="{00000000-0005-0000-0000-00005E000000}"/>
    <cellStyle name="Heading 3 3" xfId="99" xr:uid="{00000000-0005-0000-0000-00005F000000}"/>
    <cellStyle name="Heading 3 4" xfId="100" xr:uid="{00000000-0005-0000-0000-000060000000}"/>
    <cellStyle name="Heading 4 2" xfId="101" xr:uid="{00000000-0005-0000-0000-000061000000}"/>
    <cellStyle name="Heading 4 3" xfId="102" xr:uid="{00000000-0005-0000-0000-000062000000}"/>
    <cellStyle name="Heading 4 4" xfId="103" xr:uid="{00000000-0005-0000-0000-000063000000}"/>
    <cellStyle name="Input 2" xfId="104" xr:uid="{00000000-0005-0000-0000-000064000000}"/>
    <cellStyle name="Input 3" xfId="105" xr:uid="{00000000-0005-0000-0000-000065000000}"/>
    <cellStyle name="Input 4" xfId="106" xr:uid="{00000000-0005-0000-0000-000066000000}"/>
    <cellStyle name="Linked Cell 2" xfId="107" xr:uid="{00000000-0005-0000-0000-000067000000}"/>
    <cellStyle name="Linked Cell 3" xfId="108" xr:uid="{00000000-0005-0000-0000-000068000000}"/>
    <cellStyle name="Linked Cell 4" xfId="109" xr:uid="{00000000-0005-0000-0000-000069000000}"/>
    <cellStyle name="Neutral 2" xfId="110" xr:uid="{00000000-0005-0000-0000-00006A000000}"/>
    <cellStyle name="Neutral 3" xfId="111" xr:uid="{00000000-0005-0000-0000-00006B000000}"/>
    <cellStyle name="Neutral 4" xfId="112" xr:uid="{00000000-0005-0000-0000-00006C000000}"/>
    <cellStyle name="Normal" xfId="0" builtinId="0"/>
    <cellStyle name="Normal 2" xfId="1" xr:uid="{00000000-0005-0000-0000-00006E000000}"/>
    <cellStyle name="Normal 2 2" xfId="113" xr:uid="{00000000-0005-0000-0000-00006F000000}"/>
    <cellStyle name="Normal 2 3" xfId="114" xr:uid="{00000000-0005-0000-0000-000070000000}"/>
    <cellStyle name="Normal 2 4" xfId="115" xr:uid="{00000000-0005-0000-0000-000071000000}"/>
    <cellStyle name="Normal 3" xfId="2" xr:uid="{00000000-0005-0000-0000-000072000000}"/>
    <cellStyle name="Normal 3 2" xfId="116" xr:uid="{00000000-0005-0000-0000-000073000000}"/>
    <cellStyle name="Normal 4" xfId="3" xr:uid="{00000000-0005-0000-0000-000074000000}"/>
    <cellStyle name="Normal 4 2" xfId="136" xr:uid="{00000000-0005-0000-0000-000075000000}"/>
    <cellStyle name="Normal 5" xfId="4" xr:uid="{00000000-0005-0000-0000-000076000000}"/>
    <cellStyle name="Normal 5 2" xfId="137" xr:uid="{00000000-0005-0000-0000-000077000000}"/>
    <cellStyle name="Normal 6" xfId="133" xr:uid="{00000000-0005-0000-0000-000078000000}"/>
    <cellStyle name="Note 2" xfId="117" xr:uid="{00000000-0005-0000-0000-000079000000}"/>
    <cellStyle name="Note 3" xfId="118" xr:uid="{00000000-0005-0000-0000-00007A000000}"/>
    <cellStyle name="Note 4" xfId="119" xr:uid="{00000000-0005-0000-0000-00007B000000}"/>
    <cellStyle name="Output 2" xfId="120" xr:uid="{00000000-0005-0000-0000-00007C000000}"/>
    <cellStyle name="Output 3" xfId="121" xr:uid="{00000000-0005-0000-0000-00007D000000}"/>
    <cellStyle name="Output 4" xfId="122" xr:uid="{00000000-0005-0000-0000-00007E000000}"/>
    <cellStyle name="Percent" xfId="135" builtinId="5"/>
    <cellStyle name="TableStyleLight1" xfId="134" xr:uid="{00000000-0005-0000-0000-000080000000}"/>
    <cellStyle name="Title 2" xfId="123" xr:uid="{00000000-0005-0000-0000-000081000000}"/>
    <cellStyle name="Title 3" xfId="124" xr:uid="{00000000-0005-0000-0000-000082000000}"/>
    <cellStyle name="Title 4" xfId="125" xr:uid="{00000000-0005-0000-0000-000083000000}"/>
    <cellStyle name="Total 2" xfId="126" xr:uid="{00000000-0005-0000-0000-000084000000}"/>
    <cellStyle name="Total 3" xfId="127" xr:uid="{00000000-0005-0000-0000-000085000000}"/>
    <cellStyle name="Total 4" xfId="128" xr:uid="{00000000-0005-0000-0000-000086000000}"/>
    <cellStyle name="Warning Text 2" xfId="129" xr:uid="{00000000-0005-0000-0000-000087000000}"/>
    <cellStyle name="Warning Text 3" xfId="130" xr:uid="{00000000-0005-0000-0000-000088000000}"/>
    <cellStyle name="Warning Text 4" xfId="131" xr:uid="{00000000-0005-0000-0000-000089000000}"/>
  </cellStyles>
  <dxfs count="0"/>
  <tableStyles count="0" defaultTableStyle="TableStyleMedium9" defaultPivotStyle="PivotStyleMedium4"/>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23" Type="http://schemas.openxmlformats.org/officeDocument/2006/relationships/customXml" Target="../customXml/item6.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idbg.sharepoint.com/Users/Sebasti&#225;n/Downloads/PRODUCTOS%20AFIP%20v3011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il Modificado"/>
      <sheetName val="POD Con Agregados "/>
      <sheetName val="Matriz Financiamiento Año 1-5"/>
    </sheetNames>
    <sheetDataSet>
      <sheetData sheetId="0">
        <row r="5">
          <cell r="C5" t="str">
            <v>Fortalecimiento de la gestión de riesgo de la AFIP</v>
          </cell>
        </row>
        <row r="6">
          <cell r="C6" t="str">
            <v xml:space="preserve">Fortalecimiento del control y fiscalización en la administración de tributos internos </v>
          </cell>
        </row>
        <row r="38">
          <cell r="C38" t="str">
            <v>Fortalecimiento de los controles aduaneros y nueva estrategia de control mediante el uso de medios no intrusivos y una gestión de riesgo integral</v>
          </cell>
        </row>
        <row r="43">
          <cell r="C43" t="str">
            <v>Fortalecimiento del control y fiscalización de los recursos de la seguridad social y mejora de la formalización del sector laboral</v>
          </cell>
        </row>
        <row r="50">
          <cell r="C50" t="str">
            <v>Fortalecimiento de los sistemas de información de la AFIP</v>
          </cell>
        </row>
        <row r="51">
          <cell r="C51" t="str">
            <v>Data Center (Software&amp;Hardware y Capacitación)</v>
          </cell>
        </row>
        <row r="52">
          <cell r="C52" t="str">
            <v>Comunicaciones (adquisión de equipos y actualizacion de sistemas)</v>
          </cell>
        </row>
        <row r="53">
          <cell r="C53" t="str">
            <v>Seguridad Informática (adquisión de equipos y actualización de sistemas)</v>
          </cell>
        </row>
        <row r="54">
          <cell r="C54" t="str">
            <v>Mejora de los servicios de atención al contribuyente y del modelo de gestión, de planificación y desarrollo de servicios de las áreas centrales de la AFIP</v>
          </cell>
        </row>
        <row r="55">
          <cell r="C55" t="str">
            <v>Mejora normativa, simplificación de procedimientos y cambio de enfoque en la atención (CRM)</v>
          </cell>
        </row>
        <row r="63">
          <cell r="C63" t="str">
            <v>Incorporación de nuevos medios y tecnologías y reorientación del rol de las sucursales/agencias que constituyen el despliegue territorial de la AFIP</v>
          </cell>
        </row>
        <row r="68">
          <cell r="C68" t="str">
            <v>Nuevo modelo de gestión, planificación y organización</v>
          </cell>
        </row>
        <row r="74">
          <cell r="C74" t="str">
            <v>Administración y gestión del programa</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U117"/>
  <sheetViews>
    <sheetView topLeftCell="A2" zoomScale="60" zoomScaleNormal="60" workbookViewId="0">
      <pane xSplit="1" ySplit="5" topLeftCell="B7" activePane="bottomRight" state="frozen"/>
      <selection pane="topRight" activeCell="B2" sqref="B2"/>
      <selection pane="bottomLeft" activeCell="A6" sqref="A6"/>
      <selection pane="bottomRight" activeCell="A2" sqref="A2"/>
    </sheetView>
  </sheetViews>
  <sheetFormatPr defaultColWidth="9" defaultRowHeight="14.4" x14ac:dyDescent="0.3"/>
  <cols>
    <col min="1" max="1" width="3.8984375" style="22" customWidth="1"/>
    <col min="2" max="2" width="64.3984375" style="8" customWidth="1"/>
    <col min="3" max="3" width="24.5" style="23" customWidth="1"/>
    <col min="4" max="4" width="91.3984375" style="8" customWidth="1"/>
    <col min="5" max="5" width="10.5" style="8" customWidth="1"/>
    <col min="6" max="6" width="14" style="8" customWidth="1"/>
    <col min="7" max="7" width="8.8984375" style="8" customWidth="1"/>
    <col min="8" max="8" width="57.3984375" style="8" customWidth="1"/>
    <col min="9" max="9" width="15.3984375" style="8" bestFit="1" customWidth="1"/>
    <col min="10" max="10" width="13" style="8" customWidth="1"/>
    <col min="11" max="11" width="11.8984375" style="8" customWidth="1"/>
    <col min="12" max="12" width="66.09765625" style="8" customWidth="1"/>
    <col min="13" max="13" width="12.5" style="8" customWidth="1"/>
    <col min="14" max="14" width="11.09765625" style="8" customWidth="1"/>
    <col min="15" max="15" width="17.69921875" style="8" customWidth="1"/>
    <col min="16" max="16" width="30.5" style="8" customWidth="1"/>
    <col min="17" max="17" width="11.69921875" style="8" bestFit="1" customWidth="1"/>
    <col min="18" max="18" width="10.5" style="8" customWidth="1"/>
    <col min="19" max="19" width="10.19921875" style="8" customWidth="1"/>
    <col min="20" max="20" width="9" style="8"/>
    <col min="21" max="21" width="54.19921875" style="8" customWidth="1"/>
    <col min="22" max="16384" width="9" style="8"/>
  </cols>
  <sheetData>
    <row r="1" spans="1:21" ht="21" x14ac:dyDescent="0.4">
      <c r="A1" s="365"/>
      <c r="B1" s="9" t="s">
        <v>0</v>
      </c>
      <c r="C1" s="366"/>
      <c r="D1" s="367"/>
      <c r="E1" s="367"/>
      <c r="F1" s="367"/>
      <c r="G1" s="367"/>
      <c r="H1" s="367"/>
      <c r="I1" s="367"/>
      <c r="J1" s="367"/>
      <c r="K1" s="367"/>
      <c r="L1" s="367"/>
      <c r="M1" s="367"/>
      <c r="N1" s="367"/>
      <c r="O1" s="367"/>
      <c r="P1" s="367"/>
      <c r="Q1" s="367"/>
      <c r="R1" s="367"/>
      <c r="S1" s="367"/>
      <c r="T1" s="367"/>
      <c r="U1" s="367"/>
    </row>
    <row r="2" spans="1:21" ht="33.75" customHeight="1" x14ac:dyDescent="0.5">
      <c r="A2" s="366"/>
      <c r="B2" s="37" t="s">
        <v>1</v>
      </c>
      <c r="C2" s="366"/>
      <c r="D2" s="367"/>
      <c r="E2" s="367"/>
      <c r="F2" s="367"/>
      <c r="G2" s="367"/>
      <c r="H2" s="368"/>
      <c r="I2" s="368"/>
      <c r="J2" s="367"/>
      <c r="K2" s="367"/>
      <c r="L2" s="367"/>
      <c r="M2" s="367"/>
      <c r="N2" s="367"/>
      <c r="O2" s="367"/>
      <c r="P2" s="367"/>
      <c r="Q2" s="367"/>
      <c r="R2" s="367"/>
      <c r="S2" s="367"/>
      <c r="T2" s="367"/>
      <c r="U2" s="367"/>
    </row>
    <row r="3" spans="1:21" ht="23.25" customHeight="1" x14ac:dyDescent="0.45">
      <c r="A3" s="366"/>
      <c r="B3" s="32" t="s">
        <v>2</v>
      </c>
      <c r="C3" s="366"/>
      <c r="D3" s="367"/>
      <c r="E3" s="367"/>
      <c r="F3" s="367"/>
      <c r="G3" s="367"/>
      <c r="H3" s="368"/>
      <c r="I3" s="368"/>
      <c r="J3" s="368"/>
      <c r="K3" s="368"/>
      <c r="L3" s="369"/>
      <c r="M3" s="369"/>
      <c r="N3" s="367"/>
      <c r="O3" s="367"/>
      <c r="P3" s="370"/>
      <c r="Q3" s="367"/>
      <c r="R3" s="367"/>
      <c r="S3" s="367"/>
      <c r="T3" s="367"/>
      <c r="U3" s="367"/>
    </row>
    <row r="4" spans="1:21" ht="104.25" customHeight="1" x14ac:dyDescent="0.3">
      <c r="A4" s="366"/>
      <c r="B4" s="371" t="s">
        <v>3</v>
      </c>
      <c r="C4" s="372">
        <f>+C7+C42+C70+C84</f>
        <v>110500.049</v>
      </c>
      <c r="D4" s="581" t="s">
        <v>4</v>
      </c>
      <c r="E4" s="582"/>
      <c r="F4" s="582"/>
      <c r="G4" s="582"/>
      <c r="H4" s="582"/>
      <c r="I4" s="582"/>
      <c r="J4" s="582"/>
      <c r="K4" s="582"/>
      <c r="L4" s="582"/>
      <c r="M4" s="582"/>
      <c r="N4" s="582"/>
      <c r="O4" s="582"/>
      <c r="P4" s="582"/>
      <c r="Q4" s="582"/>
      <c r="R4" s="582"/>
      <c r="S4" s="583"/>
      <c r="T4" s="367"/>
      <c r="U4" s="367"/>
    </row>
    <row r="5" spans="1:21" ht="15.6" x14ac:dyDescent="0.3">
      <c r="A5" s="365"/>
      <c r="B5" s="600" t="s">
        <v>5</v>
      </c>
      <c r="C5" s="601"/>
      <c r="D5" s="588" t="s">
        <v>6</v>
      </c>
      <c r="E5" s="589"/>
      <c r="F5" s="589"/>
      <c r="G5" s="589"/>
      <c r="H5" s="584" t="s">
        <v>7</v>
      </c>
      <c r="I5" s="585"/>
      <c r="J5" s="585"/>
      <c r="K5" s="585"/>
      <c r="L5" s="586" t="s">
        <v>8</v>
      </c>
      <c r="M5" s="587"/>
      <c r="N5" s="587"/>
      <c r="O5" s="587"/>
      <c r="P5" s="590" t="s">
        <v>9</v>
      </c>
      <c r="Q5" s="591"/>
      <c r="R5" s="591"/>
      <c r="S5" s="591"/>
      <c r="T5" s="367"/>
      <c r="U5" s="367"/>
    </row>
    <row r="6" spans="1:21" ht="28.8" x14ac:dyDescent="0.3">
      <c r="A6" s="365"/>
      <c r="B6" s="601"/>
      <c r="C6" s="601"/>
      <c r="D6" s="373" t="s">
        <v>10</v>
      </c>
      <c r="E6" s="374" t="s">
        <v>11</v>
      </c>
      <c r="F6" s="373" t="s">
        <v>12</v>
      </c>
      <c r="G6" s="373" t="s">
        <v>13</v>
      </c>
      <c r="H6" s="373" t="s">
        <v>10</v>
      </c>
      <c r="I6" s="374" t="s">
        <v>11</v>
      </c>
      <c r="J6" s="373" t="s">
        <v>12</v>
      </c>
      <c r="K6" s="373" t="s">
        <v>13</v>
      </c>
      <c r="L6" s="373" t="s">
        <v>10</v>
      </c>
      <c r="M6" s="374" t="s">
        <v>11</v>
      </c>
      <c r="N6" s="373" t="s">
        <v>12</v>
      </c>
      <c r="O6" s="373" t="s">
        <v>13</v>
      </c>
      <c r="P6" s="373" t="s">
        <v>10</v>
      </c>
      <c r="Q6" s="374" t="s">
        <v>11</v>
      </c>
      <c r="R6" s="373" t="s">
        <v>12</v>
      </c>
      <c r="S6" s="373" t="s">
        <v>13</v>
      </c>
      <c r="T6" s="367"/>
      <c r="U6" s="367"/>
    </row>
    <row r="7" spans="1:21" ht="27.75" customHeight="1" x14ac:dyDescent="0.3">
      <c r="A7" s="365"/>
      <c r="B7" s="436" t="s">
        <v>14</v>
      </c>
      <c r="C7" s="375">
        <f>+C9+C26+C35</f>
        <v>48022.154200000004</v>
      </c>
      <c r="D7" s="531" t="str">
        <f>+'Plan_Ejecutivo_Plurianual (PEP)'!C5</f>
        <v>Fortalecimiento de la gestión de riesgo de la AFIP</v>
      </c>
      <c r="E7" s="531"/>
      <c r="F7" s="531"/>
      <c r="G7" s="531"/>
      <c r="H7" s="531"/>
      <c r="I7" s="531"/>
      <c r="J7" s="531"/>
      <c r="K7" s="531"/>
      <c r="L7" s="531"/>
      <c r="M7" s="531"/>
      <c r="N7" s="531"/>
      <c r="O7" s="531"/>
      <c r="P7" s="531"/>
      <c r="Q7" s="531"/>
      <c r="R7" s="531"/>
      <c r="S7" s="531"/>
      <c r="T7" s="367"/>
      <c r="U7" s="367"/>
    </row>
    <row r="8" spans="1:21" ht="24.75" customHeight="1" x14ac:dyDescent="0.3">
      <c r="A8" s="365"/>
      <c r="B8" s="549" t="s">
        <v>15</v>
      </c>
      <c r="C8" s="549"/>
      <c r="D8" s="558" t="str">
        <f>+'Plan_Ejecutivo_Plurianual (PEP)'!C6</f>
        <v xml:space="preserve">Fortalecimiento del control y fiscalización en la administración de tributos internos </v>
      </c>
      <c r="E8" s="559"/>
      <c r="F8" s="559"/>
      <c r="G8" s="559"/>
      <c r="H8" s="559"/>
      <c r="I8" s="559"/>
      <c r="J8" s="559"/>
      <c r="K8" s="559"/>
      <c r="L8" s="559"/>
      <c r="M8" s="559"/>
      <c r="N8" s="559"/>
      <c r="O8" s="559"/>
      <c r="P8" s="559"/>
      <c r="Q8" s="559"/>
      <c r="R8" s="559"/>
      <c r="S8" s="560"/>
      <c r="T8" s="367"/>
      <c r="U8" s="367"/>
    </row>
    <row r="9" spans="1:21" x14ac:dyDescent="0.3">
      <c r="A9" s="365"/>
      <c r="B9" s="562" t="s">
        <v>16</v>
      </c>
      <c r="C9" s="592">
        <f>+O9+O11+O13+K14+K15+G16+G17+K16+K17+K18+K19+K20+K21+K22+K23+O24</f>
        <v>12329.8734</v>
      </c>
      <c r="D9" s="322"/>
      <c r="E9" s="376"/>
      <c r="F9" s="376"/>
      <c r="G9" s="377"/>
      <c r="H9" s="316"/>
      <c r="I9" s="323"/>
      <c r="J9" s="316"/>
      <c r="K9" s="324"/>
      <c r="L9" s="378" t="s">
        <v>17</v>
      </c>
      <c r="M9" s="564">
        <f>+'A4_Detalle Soft&amp;Hard Sub 2 '!H7</f>
        <v>400</v>
      </c>
      <c r="N9" s="562">
        <v>1</v>
      </c>
      <c r="O9" s="566">
        <f>+M9*N9</f>
        <v>400</v>
      </c>
      <c r="P9" s="555"/>
      <c r="Q9" s="376"/>
      <c r="R9" s="376"/>
      <c r="S9" s="377"/>
      <c r="T9" s="367"/>
      <c r="U9" s="367"/>
    </row>
    <row r="10" spans="1:21" x14ac:dyDescent="0.3">
      <c r="A10" s="365"/>
      <c r="B10" s="596"/>
      <c r="C10" s="593"/>
      <c r="D10" s="325"/>
      <c r="E10" s="379"/>
      <c r="F10" s="379"/>
      <c r="G10" s="380"/>
      <c r="H10" s="315"/>
      <c r="I10" s="326"/>
      <c r="J10" s="315"/>
      <c r="K10" s="327"/>
      <c r="L10" s="378" t="s">
        <v>18</v>
      </c>
      <c r="M10" s="565"/>
      <c r="N10" s="563"/>
      <c r="O10" s="567"/>
      <c r="P10" s="556"/>
      <c r="Q10" s="379"/>
      <c r="R10" s="379"/>
      <c r="S10" s="380"/>
      <c r="T10" s="367"/>
      <c r="U10" s="367"/>
    </row>
    <row r="11" spans="1:21" ht="43.2" x14ac:dyDescent="0.3">
      <c r="A11" s="365"/>
      <c r="B11" s="596"/>
      <c r="C11" s="593"/>
      <c r="D11" s="325"/>
      <c r="E11" s="379"/>
      <c r="F11" s="379"/>
      <c r="G11" s="380"/>
      <c r="H11" s="315"/>
      <c r="I11" s="326"/>
      <c r="J11" s="315"/>
      <c r="K11" s="327"/>
      <c r="L11" s="378" t="s">
        <v>19</v>
      </c>
      <c r="M11" s="564">
        <f>+'A4_Detalle Soft&amp;Hard Sub 2 '!H10</f>
        <v>2900</v>
      </c>
      <c r="N11" s="562">
        <v>1</v>
      </c>
      <c r="O11" s="566">
        <f>+M11*N11</f>
        <v>2900</v>
      </c>
      <c r="P11" s="556"/>
      <c r="Q11" s="379"/>
      <c r="R11" s="379"/>
      <c r="S11" s="380"/>
      <c r="T11" s="367"/>
      <c r="U11" s="381"/>
    </row>
    <row r="12" spans="1:21" ht="28.8" x14ac:dyDescent="0.3">
      <c r="A12" s="365"/>
      <c r="B12" s="596"/>
      <c r="C12" s="593"/>
      <c r="D12" s="325"/>
      <c r="E12" s="379"/>
      <c r="F12" s="379"/>
      <c r="G12" s="380"/>
      <c r="H12" s="315"/>
      <c r="I12" s="326"/>
      <c r="J12" s="315"/>
      <c r="K12" s="327"/>
      <c r="L12" s="378" t="s">
        <v>20</v>
      </c>
      <c r="M12" s="565"/>
      <c r="N12" s="563"/>
      <c r="O12" s="567"/>
      <c r="P12" s="556"/>
      <c r="Q12" s="379"/>
      <c r="R12" s="379"/>
      <c r="S12" s="380"/>
      <c r="T12" s="367"/>
      <c r="U12" s="369"/>
    </row>
    <row r="13" spans="1:21" ht="28.8" x14ac:dyDescent="0.3">
      <c r="A13" s="365"/>
      <c r="B13" s="596"/>
      <c r="C13" s="593"/>
      <c r="D13" s="328"/>
      <c r="E13" s="382"/>
      <c r="F13" s="382"/>
      <c r="G13" s="383"/>
      <c r="H13" s="329"/>
      <c r="I13" s="330"/>
      <c r="J13" s="329"/>
      <c r="K13" s="331"/>
      <c r="L13" s="311" t="s">
        <v>21</v>
      </c>
      <c r="M13" s="309">
        <f>+'A4_Detalle Soft&amp;Hard Sub 2 '!H13</f>
        <v>491</v>
      </c>
      <c r="N13" s="363">
        <v>1</v>
      </c>
      <c r="O13" s="310">
        <f>+M13*N13</f>
        <v>491</v>
      </c>
      <c r="P13" s="557"/>
      <c r="Q13" s="382"/>
      <c r="R13" s="382"/>
      <c r="S13" s="383"/>
      <c r="T13" s="367"/>
      <c r="U13" s="381"/>
    </row>
    <row r="14" spans="1:21" ht="118.5" customHeight="1" x14ac:dyDescent="0.3">
      <c r="A14" s="365"/>
      <c r="B14" s="562" t="s">
        <v>22</v>
      </c>
      <c r="C14" s="552"/>
      <c r="D14" s="321"/>
      <c r="E14" s="384"/>
      <c r="F14" s="384"/>
      <c r="G14" s="384"/>
      <c r="H14" s="312" t="s">
        <v>23</v>
      </c>
      <c r="I14" s="385">
        <f>+'A1. Firmas Consultoras'!D12</f>
        <v>108.333</v>
      </c>
      <c r="J14" s="386">
        <v>6</v>
      </c>
      <c r="K14" s="387">
        <f>I14*J14</f>
        <v>649.99800000000005</v>
      </c>
      <c r="L14" s="314"/>
      <c r="M14" s="318"/>
      <c r="N14" s="314"/>
      <c r="O14" s="314"/>
      <c r="P14" s="320"/>
      <c r="Q14" s="382"/>
      <c r="R14" s="382"/>
      <c r="S14" s="388"/>
      <c r="T14" s="367"/>
      <c r="U14" s="367"/>
    </row>
    <row r="15" spans="1:21" ht="187.2" x14ac:dyDescent="0.3">
      <c r="A15" s="365"/>
      <c r="B15" s="563"/>
      <c r="C15" s="552"/>
      <c r="D15" s="315"/>
      <c r="E15" s="389"/>
      <c r="F15" s="390"/>
      <c r="G15" s="380"/>
      <c r="H15" s="396" t="s">
        <v>24</v>
      </c>
      <c r="I15" s="391">
        <f>+'A1. Firmas Consultoras'!K10</f>
        <v>108.333</v>
      </c>
      <c r="J15" s="392">
        <f>+'A1. Firmas Consultoras'!J13</f>
        <v>15</v>
      </c>
      <c r="K15" s="393">
        <f t="shared" ref="K15:K21" si="0">+I15*J15</f>
        <v>1624.9949999999999</v>
      </c>
      <c r="L15" s="316"/>
      <c r="M15" s="317"/>
      <c r="N15" s="316"/>
      <c r="O15" s="316"/>
      <c r="P15" s="319"/>
      <c r="Q15" s="384"/>
      <c r="R15" s="384"/>
      <c r="S15" s="390"/>
      <c r="T15" s="367"/>
      <c r="U15" s="367"/>
    </row>
    <row r="16" spans="1:21" ht="76.5" customHeight="1" x14ac:dyDescent="0.3">
      <c r="A16" s="365"/>
      <c r="B16" s="595" t="s">
        <v>25</v>
      </c>
      <c r="C16" s="552"/>
      <c r="D16" s="313" t="s">
        <v>26</v>
      </c>
      <c r="E16" s="394">
        <f>+'A2. Consultorias Individuales'!E12</f>
        <v>72.221999999999994</v>
      </c>
      <c r="F16" s="395">
        <f>+'A2. Consultorias Individuales'!C10</f>
        <v>1</v>
      </c>
      <c r="G16" s="394">
        <f>+E16*F16</f>
        <v>72.221999999999994</v>
      </c>
      <c r="H16" s="568" t="s">
        <v>27</v>
      </c>
      <c r="I16" s="397">
        <f>+'A1. Firmas Consultoras'!K60</f>
        <v>108.333</v>
      </c>
      <c r="J16" s="392">
        <f>+'A1. Firmas Consultoras'!J60+'A1. Firmas Consultoras'!J61</f>
        <v>16</v>
      </c>
      <c r="K16" s="394">
        <f t="shared" si="0"/>
        <v>1733.328</v>
      </c>
      <c r="L16" s="314"/>
      <c r="M16" s="318"/>
      <c r="N16" s="314"/>
      <c r="O16" s="314"/>
      <c r="P16" s="319"/>
      <c r="Q16" s="384"/>
      <c r="R16" s="384"/>
      <c r="S16" s="390"/>
      <c r="T16" s="367"/>
      <c r="U16" s="367"/>
    </row>
    <row r="17" spans="2:19" ht="82.5" customHeight="1" x14ac:dyDescent="0.3">
      <c r="B17" s="595"/>
      <c r="C17" s="552"/>
      <c r="D17" s="313" t="s">
        <v>28</v>
      </c>
      <c r="E17" s="394">
        <f>+'A2. Consultorias Individuales'!I10</f>
        <v>72.221999999999994</v>
      </c>
      <c r="F17" s="395">
        <f>+'A2. Consultorias Individuales'!H10</f>
        <v>2</v>
      </c>
      <c r="G17" s="394">
        <f>+E17*F17</f>
        <v>144.44399999999999</v>
      </c>
      <c r="H17" s="568"/>
      <c r="I17" s="397">
        <f>+'A1. Firmas Consultoras'!K62</f>
        <v>266.66699999999997</v>
      </c>
      <c r="J17" s="392">
        <f>+'A1. Firmas Consultoras'!J62</f>
        <v>1</v>
      </c>
      <c r="K17" s="394">
        <f t="shared" si="0"/>
        <v>266.66699999999997</v>
      </c>
      <c r="L17" s="314"/>
      <c r="M17" s="318"/>
      <c r="N17" s="314"/>
      <c r="O17" s="314"/>
      <c r="P17" s="319"/>
      <c r="Q17" s="384"/>
      <c r="R17" s="384"/>
      <c r="S17" s="390"/>
    </row>
    <row r="18" spans="2:19" ht="33.75" customHeight="1" x14ac:dyDescent="0.3">
      <c r="B18" s="595"/>
      <c r="C18" s="552"/>
      <c r="D18" s="314"/>
      <c r="E18" s="390"/>
      <c r="F18" s="390"/>
      <c r="G18" s="390"/>
      <c r="H18" s="568" t="s">
        <v>29</v>
      </c>
      <c r="I18" s="397">
        <f>+'A1. Firmas Consultoras'!D60</f>
        <v>108.33</v>
      </c>
      <c r="J18" s="392">
        <v>1</v>
      </c>
      <c r="K18" s="394">
        <f t="shared" si="0"/>
        <v>108.33</v>
      </c>
      <c r="L18" s="314"/>
      <c r="M18" s="318"/>
      <c r="N18" s="314"/>
      <c r="O18" s="314"/>
      <c r="P18" s="319"/>
      <c r="Q18" s="384"/>
      <c r="R18" s="384"/>
      <c r="S18" s="390"/>
    </row>
    <row r="19" spans="2:19" ht="86.25" customHeight="1" x14ac:dyDescent="0.3">
      <c r="B19" s="595"/>
      <c r="C19" s="552"/>
      <c r="D19" s="314"/>
      <c r="E19" s="390"/>
      <c r="F19" s="390"/>
      <c r="G19" s="390"/>
      <c r="H19" s="568"/>
      <c r="I19" s="397">
        <f>+'A1. Firmas Consultoras'!D61</f>
        <v>75</v>
      </c>
      <c r="J19" s="392">
        <v>7</v>
      </c>
      <c r="K19" s="394">
        <f t="shared" si="0"/>
        <v>525</v>
      </c>
      <c r="L19" s="314"/>
      <c r="M19" s="318"/>
      <c r="N19" s="314"/>
      <c r="O19" s="314"/>
      <c r="P19" s="319"/>
      <c r="Q19" s="384"/>
      <c r="R19" s="384"/>
      <c r="S19" s="390"/>
    </row>
    <row r="20" spans="2:19" ht="157.5" customHeight="1" x14ac:dyDescent="0.3">
      <c r="B20" s="595"/>
      <c r="C20" s="552"/>
      <c r="D20" s="314"/>
      <c r="E20" s="390"/>
      <c r="F20" s="390"/>
      <c r="G20" s="390"/>
      <c r="H20" s="396" t="s">
        <v>30</v>
      </c>
      <c r="I20" s="397">
        <f>+'A1. Firmas Consultoras'!D45</f>
        <v>108.3334</v>
      </c>
      <c r="J20" s="397">
        <f>+'A1. Firmas Consultoras'!C48</f>
        <v>6</v>
      </c>
      <c r="K20" s="394">
        <f t="shared" si="0"/>
        <v>650.00040000000001</v>
      </c>
      <c r="L20" s="314"/>
      <c r="M20" s="318"/>
      <c r="N20" s="314"/>
      <c r="O20" s="314"/>
      <c r="P20" s="319"/>
      <c r="Q20" s="384"/>
      <c r="R20" s="384"/>
      <c r="S20" s="390"/>
    </row>
    <row r="21" spans="2:19" ht="101.25" customHeight="1" x14ac:dyDescent="0.3">
      <c r="B21" s="595"/>
      <c r="C21" s="552"/>
      <c r="D21" s="314"/>
      <c r="E21" s="390"/>
      <c r="F21" s="390"/>
      <c r="G21" s="390"/>
      <c r="H21" s="396" t="s">
        <v>31</v>
      </c>
      <c r="I21" s="398">
        <f>+'A1. Firmas Consultoras'!K45</f>
        <v>72.221999999999994</v>
      </c>
      <c r="J21" s="392">
        <f>+'A1. Firmas Consultoras'!J48</f>
        <v>6</v>
      </c>
      <c r="K21" s="394">
        <f t="shared" si="0"/>
        <v>433.33199999999999</v>
      </c>
      <c r="L21" s="314"/>
      <c r="M21" s="318"/>
      <c r="N21" s="314"/>
      <c r="O21" s="314"/>
      <c r="P21" s="319"/>
      <c r="Q21" s="384"/>
      <c r="R21" s="384"/>
      <c r="S21" s="390"/>
    </row>
    <row r="22" spans="2:19" ht="69" customHeight="1" x14ac:dyDescent="0.3">
      <c r="B22" s="595" t="s">
        <v>32</v>
      </c>
      <c r="C22" s="552"/>
      <c r="D22" s="314"/>
      <c r="E22" s="390"/>
      <c r="F22" s="390"/>
      <c r="G22" s="390"/>
      <c r="H22" s="568" t="s">
        <v>33</v>
      </c>
      <c r="I22" s="394">
        <f>+'A1. Firmas Consultoras'!D29</f>
        <v>180.55600000000001</v>
      </c>
      <c r="J22" s="392">
        <v>1</v>
      </c>
      <c r="K22" s="394">
        <f t="shared" ref="K22:K23" si="1">+I22*J22</f>
        <v>180.55600000000001</v>
      </c>
      <c r="L22" s="314"/>
      <c r="M22" s="318"/>
      <c r="N22" s="314"/>
      <c r="O22" s="314"/>
      <c r="P22" s="319"/>
      <c r="Q22" s="384"/>
      <c r="R22" s="384"/>
      <c r="S22" s="390"/>
    </row>
    <row r="23" spans="2:19" ht="87" customHeight="1" x14ac:dyDescent="0.3">
      <c r="B23" s="595"/>
      <c r="C23" s="552"/>
      <c r="D23" s="314"/>
      <c r="E23" s="390"/>
      <c r="F23" s="390"/>
      <c r="G23" s="390"/>
      <c r="H23" s="568"/>
      <c r="I23" s="394">
        <f>+'A1. Firmas Consultoras'!D30</f>
        <v>216.667</v>
      </c>
      <c r="J23" s="392">
        <v>3</v>
      </c>
      <c r="K23" s="394">
        <f t="shared" si="1"/>
        <v>650.00099999999998</v>
      </c>
      <c r="L23" s="314"/>
      <c r="M23" s="318"/>
      <c r="N23" s="314"/>
      <c r="O23" s="314"/>
      <c r="P23" s="319"/>
      <c r="Q23" s="384"/>
      <c r="R23" s="384"/>
      <c r="S23" s="390"/>
    </row>
    <row r="24" spans="2:19" ht="51" customHeight="1" x14ac:dyDescent="0.3">
      <c r="B24" s="361" t="s">
        <v>34</v>
      </c>
      <c r="C24" s="552"/>
      <c r="D24" s="315"/>
      <c r="E24" s="399"/>
      <c r="F24" s="399"/>
      <c r="G24" s="399"/>
      <c r="H24" s="400"/>
      <c r="I24" s="376"/>
      <c r="J24" s="376"/>
      <c r="K24" s="399"/>
      <c r="L24" s="332" t="s">
        <v>35</v>
      </c>
      <c r="M24" s="333">
        <f>+'A4_Detalle Soft&amp;Hard Sub 2 '!H16</f>
        <v>1500</v>
      </c>
      <c r="N24" s="334">
        <v>1</v>
      </c>
      <c r="O24" s="333">
        <f>+M24*N24</f>
        <v>1500</v>
      </c>
      <c r="P24" s="335"/>
      <c r="Q24" s="376"/>
      <c r="R24" s="376"/>
      <c r="S24" s="399"/>
    </row>
    <row r="25" spans="2:19" ht="28.5" customHeight="1" x14ac:dyDescent="0.3">
      <c r="B25" s="549" t="s">
        <v>36</v>
      </c>
      <c r="C25" s="549"/>
      <c r="D25" s="558" t="str">
        <f>+'Plan_Ejecutivo_Plurianual (PEP)'!C7</f>
        <v>Fortalecimiento de los controles aduaneros y nueva estrategia de control mediante el uso de medios no intrusivos y una gestión de riesgo integral</v>
      </c>
      <c r="E25" s="559"/>
      <c r="F25" s="559"/>
      <c r="G25" s="559"/>
      <c r="H25" s="559"/>
      <c r="I25" s="559"/>
      <c r="J25" s="559"/>
      <c r="K25" s="559"/>
      <c r="L25" s="559"/>
      <c r="M25" s="559"/>
      <c r="N25" s="559"/>
      <c r="O25" s="559"/>
      <c r="P25" s="559"/>
      <c r="Q25" s="559"/>
      <c r="R25" s="559"/>
      <c r="S25" s="560"/>
    </row>
    <row r="26" spans="2:19" ht="50.25" customHeight="1" x14ac:dyDescent="0.3">
      <c r="B26" s="562" t="s">
        <v>37</v>
      </c>
      <c r="C26" s="571">
        <f>+K26+K27+K28+K29+K30+K31+O32+O33</f>
        <v>32658.95</v>
      </c>
      <c r="D26" s="347"/>
      <c r="E26" s="347"/>
      <c r="F26" s="347"/>
      <c r="G26" s="347"/>
      <c r="H26" s="569" t="s">
        <v>38</v>
      </c>
      <c r="I26" s="394">
        <f>+'A1. Firmas Consultoras'!D75</f>
        <v>225.1</v>
      </c>
      <c r="J26" s="348">
        <f>+'A1. Firmas Consultoras'!C75</f>
        <v>8</v>
      </c>
      <c r="K26" s="394">
        <f t="shared" ref="K26:K31" si="2">+I26*J26</f>
        <v>1800.8</v>
      </c>
      <c r="L26" s="401"/>
      <c r="M26" s="401"/>
      <c r="N26" s="401"/>
      <c r="O26" s="401"/>
      <c r="P26" s="401"/>
      <c r="Q26" s="401"/>
      <c r="R26" s="401"/>
      <c r="S26" s="401"/>
    </row>
    <row r="27" spans="2:19" ht="40.5" customHeight="1" x14ac:dyDescent="0.3">
      <c r="B27" s="563"/>
      <c r="C27" s="552"/>
      <c r="D27" s="347"/>
      <c r="E27" s="347"/>
      <c r="F27" s="347"/>
      <c r="G27" s="347"/>
      <c r="H27" s="570"/>
      <c r="I27" s="394">
        <f>+'A1. Firmas Consultoras'!D76</f>
        <v>224.64500000000001</v>
      </c>
      <c r="J27" s="348">
        <f>+'A1. Firmas Consultoras'!C76</f>
        <v>18</v>
      </c>
      <c r="K27" s="394">
        <f t="shared" si="2"/>
        <v>4043.61</v>
      </c>
      <c r="L27" s="401"/>
      <c r="M27" s="401"/>
      <c r="N27" s="401"/>
      <c r="O27" s="401"/>
      <c r="P27" s="401"/>
      <c r="Q27" s="401"/>
      <c r="R27" s="401"/>
      <c r="S27" s="401"/>
    </row>
    <row r="28" spans="2:19" ht="50.25" customHeight="1" x14ac:dyDescent="0.3">
      <c r="B28" s="361" t="s">
        <v>39</v>
      </c>
      <c r="C28" s="552"/>
      <c r="D28" s="347"/>
      <c r="E28" s="347"/>
      <c r="F28" s="347"/>
      <c r="G28" s="347"/>
      <c r="H28" s="569" t="s">
        <v>40</v>
      </c>
      <c r="I28" s="394">
        <f>+'A1. Firmas Consultoras'!K75</f>
        <v>221.73599999999999</v>
      </c>
      <c r="J28" s="348">
        <f>+'A1. Firmas Consultoras'!J75</f>
        <v>15</v>
      </c>
      <c r="K28" s="394">
        <f t="shared" si="2"/>
        <v>3326.04</v>
      </c>
      <c r="L28" s="401"/>
      <c r="M28" s="401"/>
      <c r="N28" s="401"/>
      <c r="O28" s="401"/>
      <c r="P28" s="401"/>
      <c r="Q28" s="401"/>
      <c r="R28" s="401"/>
      <c r="S28" s="401"/>
    </row>
    <row r="29" spans="2:19" ht="56.25" customHeight="1" x14ac:dyDescent="0.3">
      <c r="B29" s="361"/>
      <c r="C29" s="552"/>
      <c r="D29" s="347"/>
      <c r="E29" s="347"/>
      <c r="F29" s="347"/>
      <c r="G29" s="347"/>
      <c r="H29" s="570"/>
      <c r="I29" s="394">
        <f>+'A1. Firmas Consultoras'!K76</f>
        <v>222</v>
      </c>
      <c r="J29" s="348">
        <f>+'A1. Firmas Consultoras'!J76</f>
        <v>17</v>
      </c>
      <c r="K29" s="394">
        <f t="shared" si="2"/>
        <v>3774</v>
      </c>
      <c r="L29" s="401"/>
      <c r="M29" s="401"/>
      <c r="N29" s="401"/>
      <c r="O29" s="401"/>
      <c r="P29" s="401"/>
      <c r="Q29" s="401"/>
      <c r="R29" s="401"/>
      <c r="S29" s="401"/>
    </row>
    <row r="30" spans="2:19" ht="58.5" customHeight="1" x14ac:dyDescent="0.3">
      <c r="B30" s="361"/>
      <c r="C30" s="552"/>
      <c r="D30" s="347"/>
      <c r="E30" s="347"/>
      <c r="F30" s="347"/>
      <c r="G30" s="347"/>
      <c r="H30" s="569" t="s">
        <v>41</v>
      </c>
      <c r="I30" s="394">
        <f>+'A1. Firmas Consultoras'!D87</f>
        <v>221.5</v>
      </c>
      <c r="J30" s="348">
        <f>+'A1. Firmas Consultoras'!C87</f>
        <v>5</v>
      </c>
      <c r="K30" s="394">
        <f t="shared" si="2"/>
        <v>1107.5</v>
      </c>
      <c r="L30" s="401"/>
      <c r="M30" s="402"/>
      <c r="N30" s="402"/>
      <c r="O30" s="402"/>
      <c r="P30" s="401"/>
      <c r="Q30" s="401"/>
      <c r="R30" s="401"/>
      <c r="S30" s="401"/>
    </row>
    <row r="31" spans="2:19" ht="48.75" customHeight="1" x14ac:dyDescent="0.3">
      <c r="B31" s="361"/>
      <c r="C31" s="552"/>
      <c r="D31" s="347"/>
      <c r="E31" s="347"/>
      <c r="F31" s="347"/>
      <c r="G31" s="347"/>
      <c r="H31" s="570"/>
      <c r="I31" s="394">
        <f>+'A1. Firmas Consultoras'!D88</f>
        <v>224.5</v>
      </c>
      <c r="J31" s="348">
        <f>+'A1. Firmas Consultoras'!C88</f>
        <v>6</v>
      </c>
      <c r="K31" s="394">
        <f t="shared" si="2"/>
        <v>1347</v>
      </c>
      <c r="L31" s="401"/>
      <c r="M31" s="402"/>
      <c r="N31" s="402"/>
      <c r="O31" s="402"/>
      <c r="P31" s="401"/>
      <c r="Q31" s="401"/>
      <c r="R31" s="401"/>
      <c r="S31" s="401"/>
    </row>
    <row r="32" spans="2:19" ht="34.5" customHeight="1" x14ac:dyDescent="0.3">
      <c r="B32" s="363" t="s">
        <v>42</v>
      </c>
      <c r="C32" s="552"/>
      <c r="D32" s="403"/>
      <c r="E32" s="403"/>
      <c r="F32" s="403"/>
      <c r="G32" s="403"/>
      <c r="H32" s="403"/>
      <c r="I32" s="403"/>
      <c r="J32" s="403"/>
      <c r="K32" s="403"/>
      <c r="L32" s="404" t="str">
        <f>+'A3_Bs-Equip-Infr Sub 1.2'!B6</f>
        <v>Conectividad de Puertos Operativos - Actualización de Infraestructura Tecnológica</v>
      </c>
      <c r="M32" s="385">
        <f>+'A3_Bs-Equip-Infr Sub 1.2'!D6</f>
        <v>12260</v>
      </c>
      <c r="N32" s="386">
        <v>1</v>
      </c>
      <c r="O32" s="385">
        <f t="shared" ref="O32:O34" si="3">M32*N32</f>
        <v>12260</v>
      </c>
      <c r="P32" s="401"/>
      <c r="Q32" s="401"/>
      <c r="R32" s="401"/>
      <c r="S32" s="401"/>
    </row>
    <row r="33" spans="1:151" ht="58.5" customHeight="1" x14ac:dyDescent="0.3">
      <c r="A33" s="365"/>
      <c r="B33" s="405" t="s">
        <v>43</v>
      </c>
      <c r="C33" s="553"/>
      <c r="D33" s="406"/>
      <c r="E33" s="407"/>
      <c r="F33" s="407"/>
      <c r="G33" s="408"/>
      <c r="H33" s="409"/>
      <c r="I33" s="384"/>
      <c r="J33" s="384"/>
      <c r="K33" s="390"/>
      <c r="L33" s="410" t="s">
        <v>44</v>
      </c>
      <c r="M33" s="398">
        <f>+'A3_Bs-Equip-Infr Sub 1.2'!D12</f>
        <v>5000</v>
      </c>
      <c r="N33" s="392">
        <v>1</v>
      </c>
      <c r="O33" s="398">
        <f>+M33*N33</f>
        <v>5000</v>
      </c>
      <c r="P33" s="409"/>
      <c r="Q33" s="384"/>
      <c r="R33" s="384"/>
      <c r="S33" s="390"/>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c r="CJ33" s="367"/>
      <c r="CK33" s="367"/>
      <c r="CL33" s="367"/>
      <c r="CM33" s="367"/>
      <c r="CN33" s="367"/>
      <c r="CO33" s="367"/>
      <c r="CP33" s="367"/>
      <c r="CQ33" s="367"/>
      <c r="CR33" s="367"/>
      <c r="CS33" s="367"/>
      <c r="CT33" s="367"/>
      <c r="CU33" s="367"/>
      <c r="CV33" s="367"/>
      <c r="CW33" s="367"/>
      <c r="CX33" s="367"/>
      <c r="CY33" s="367"/>
      <c r="CZ33" s="367"/>
      <c r="DA33" s="367"/>
      <c r="DB33" s="367"/>
      <c r="DC33" s="367"/>
      <c r="DD33" s="367"/>
      <c r="DE33" s="367"/>
      <c r="DF33" s="367"/>
      <c r="DG33" s="367"/>
      <c r="DH33" s="367"/>
      <c r="DI33" s="367"/>
      <c r="DJ33" s="367"/>
      <c r="DK33" s="367"/>
      <c r="DL33" s="367"/>
      <c r="DM33" s="367"/>
      <c r="DN33" s="367"/>
      <c r="DO33" s="367"/>
      <c r="DP33" s="367"/>
      <c r="DQ33" s="367"/>
      <c r="DR33" s="367"/>
      <c r="DS33" s="367"/>
      <c r="DT33" s="367"/>
      <c r="DU33" s="367"/>
      <c r="DV33" s="367"/>
      <c r="DW33" s="367"/>
      <c r="DX33" s="367"/>
      <c r="DY33" s="367"/>
      <c r="DZ33" s="367"/>
      <c r="EA33" s="367"/>
      <c r="EB33" s="367"/>
      <c r="EC33" s="367"/>
      <c r="ED33" s="367"/>
      <c r="EE33" s="367"/>
      <c r="EF33" s="367"/>
      <c r="EG33" s="367"/>
      <c r="EH33" s="367"/>
      <c r="EI33" s="367"/>
      <c r="EJ33" s="367"/>
      <c r="EK33" s="367"/>
      <c r="EL33" s="367"/>
      <c r="EM33" s="367"/>
      <c r="EN33" s="367"/>
      <c r="EO33" s="367"/>
      <c r="EP33" s="367"/>
      <c r="EQ33" s="367"/>
      <c r="ER33" s="367"/>
      <c r="ES33" s="367"/>
      <c r="ET33" s="367"/>
      <c r="EU33" s="367"/>
    </row>
    <row r="34" spans="1:151" ht="30" customHeight="1" x14ac:dyDescent="0.3">
      <c r="A34" s="365"/>
      <c r="B34" s="538" t="s">
        <v>45</v>
      </c>
      <c r="C34" s="540"/>
      <c r="D34" s="558" t="str">
        <f>+'Plan_Ejecutivo_Plurianual (PEP)'!C13</f>
        <v>Mejora de los servicios de atención al contribuyente y del modelo de gestión, de planificación y desarrollo de servicios de las áreas centrales de la AFIP</v>
      </c>
      <c r="E34" s="559"/>
      <c r="F34" s="559"/>
      <c r="G34" s="559">
        <f t="shared" ref="G34" si="4">E34*F34</f>
        <v>0</v>
      </c>
      <c r="H34" s="559"/>
      <c r="I34" s="559"/>
      <c r="J34" s="559"/>
      <c r="K34" s="559">
        <f t="shared" ref="K34" si="5">I34*J34</f>
        <v>0</v>
      </c>
      <c r="L34" s="559"/>
      <c r="M34" s="559"/>
      <c r="N34" s="559"/>
      <c r="O34" s="559">
        <f t="shared" si="3"/>
        <v>0</v>
      </c>
      <c r="P34" s="559"/>
      <c r="Q34" s="559"/>
      <c r="R34" s="559"/>
      <c r="S34" s="560">
        <f t="shared" ref="S34" si="6">Q34*R34</f>
        <v>0</v>
      </c>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7"/>
      <c r="BC34" s="367"/>
      <c r="BD34" s="367"/>
      <c r="BE34" s="367"/>
      <c r="BF34" s="367"/>
      <c r="BG34" s="367"/>
      <c r="BH34" s="367"/>
      <c r="BI34" s="367"/>
      <c r="BJ34" s="367"/>
      <c r="BK34" s="367"/>
      <c r="BL34" s="367"/>
      <c r="BM34" s="367"/>
      <c r="BN34" s="367"/>
      <c r="BO34" s="367"/>
      <c r="BP34" s="367"/>
      <c r="BQ34" s="367"/>
      <c r="BR34" s="367"/>
      <c r="BS34" s="367"/>
      <c r="BT34" s="367"/>
      <c r="BU34" s="367"/>
      <c r="BV34" s="367"/>
      <c r="BW34" s="367"/>
      <c r="BX34" s="367"/>
      <c r="BY34" s="367"/>
      <c r="BZ34" s="367"/>
      <c r="CA34" s="367"/>
      <c r="CB34" s="367"/>
      <c r="CC34" s="367"/>
      <c r="CD34" s="367"/>
      <c r="CE34" s="367"/>
      <c r="CF34" s="367"/>
      <c r="CG34" s="367"/>
      <c r="CH34" s="367"/>
      <c r="CI34" s="367"/>
      <c r="CJ34" s="367"/>
      <c r="CK34" s="367"/>
      <c r="CL34" s="367"/>
      <c r="CM34" s="367"/>
      <c r="CN34" s="367"/>
      <c r="CO34" s="367"/>
      <c r="CP34" s="367"/>
      <c r="CQ34" s="367"/>
      <c r="CR34" s="367"/>
      <c r="CS34" s="367"/>
      <c r="CT34" s="367"/>
      <c r="CU34" s="367"/>
      <c r="CV34" s="367"/>
      <c r="CW34" s="367"/>
      <c r="CX34" s="367"/>
      <c r="CY34" s="367"/>
      <c r="CZ34" s="367"/>
      <c r="DA34" s="367"/>
      <c r="DB34" s="367"/>
      <c r="DC34" s="367"/>
      <c r="DD34" s="367"/>
      <c r="DE34" s="367"/>
      <c r="DF34" s="367"/>
      <c r="DG34" s="367"/>
      <c r="DH34" s="367"/>
      <c r="DI34" s="367"/>
      <c r="DJ34" s="367"/>
      <c r="DK34" s="367"/>
      <c r="DL34" s="367"/>
      <c r="DM34" s="367"/>
      <c r="DN34" s="367"/>
      <c r="DO34" s="367"/>
      <c r="DP34" s="367"/>
      <c r="DQ34" s="367"/>
      <c r="DR34" s="367"/>
      <c r="DS34" s="367"/>
      <c r="DT34" s="367"/>
      <c r="DU34" s="367"/>
      <c r="DV34" s="367"/>
      <c r="DW34" s="367"/>
      <c r="DX34" s="367"/>
      <c r="DY34" s="367"/>
      <c r="DZ34" s="367"/>
      <c r="EA34" s="367"/>
      <c r="EB34" s="367"/>
      <c r="EC34" s="367"/>
      <c r="ED34" s="367"/>
      <c r="EE34" s="367"/>
      <c r="EF34" s="367"/>
      <c r="EG34" s="367"/>
      <c r="EH34" s="367"/>
      <c r="EI34" s="367"/>
      <c r="EJ34" s="367"/>
      <c r="EK34" s="367"/>
      <c r="EL34" s="367"/>
      <c r="EM34" s="367"/>
      <c r="EN34" s="367"/>
      <c r="EO34" s="367"/>
      <c r="EP34" s="367"/>
      <c r="EQ34" s="367"/>
      <c r="ER34" s="367"/>
      <c r="ES34" s="367"/>
      <c r="ET34" s="367"/>
      <c r="EU34" s="367"/>
    </row>
    <row r="35" spans="1:151" ht="112.5" customHeight="1" x14ac:dyDescent="0.3">
      <c r="A35" s="365"/>
      <c r="B35" s="363" t="s">
        <v>46</v>
      </c>
      <c r="C35" s="541">
        <f>+K35+K36+K37+K38+K39+K40</f>
        <v>3033.3307999999997</v>
      </c>
      <c r="D35" s="411"/>
      <c r="E35" s="384"/>
      <c r="F35" s="384"/>
      <c r="G35" s="390"/>
      <c r="H35" s="412" t="s">
        <v>47</v>
      </c>
      <c r="I35" s="398">
        <f>+'A1. Firmas Consultoras'!D103</f>
        <v>108.333</v>
      </c>
      <c r="J35" s="392">
        <f>+'A1. Firmas Consultoras'!C105</f>
        <v>6</v>
      </c>
      <c r="K35" s="398">
        <f>+I35*J35</f>
        <v>649.99800000000005</v>
      </c>
      <c r="L35" s="409"/>
      <c r="M35" s="409"/>
      <c r="N35" s="409"/>
      <c r="O35" s="409"/>
      <c r="P35" s="409"/>
      <c r="Q35" s="409"/>
      <c r="R35" s="409"/>
      <c r="S35" s="409"/>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7"/>
      <c r="BC35" s="367"/>
      <c r="BD35" s="367"/>
      <c r="BE35" s="367"/>
      <c r="BF35" s="367"/>
      <c r="BG35" s="367"/>
      <c r="BH35" s="367"/>
      <c r="BI35" s="367"/>
      <c r="BJ35" s="367"/>
      <c r="BK35" s="367"/>
      <c r="BL35" s="367"/>
      <c r="BM35" s="367"/>
      <c r="BN35" s="367"/>
      <c r="BO35" s="367"/>
      <c r="BP35" s="367"/>
      <c r="BQ35" s="367"/>
      <c r="BR35" s="367"/>
      <c r="BS35" s="367"/>
      <c r="BT35" s="367"/>
      <c r="BU35" s="367"/>
      <c r="BV35" s="367"/>
      <c r="BW35" s="367"/>
      <c r="BX35" s="367"/>
      <c r="BY35" s="367"/>
      <c r="BZ35" s="367"/>
      <c r="CA35" s="367"/>
      <c r="CB35" s="367"/>
      <c r="CC35" s="367"/>
      <c r="CD35" s="367"/>
      <c r="CE35" s="367"/>
      <c r="CF35" s="367"/>
      <c r="CG35" s="367"/>
      <c r="CH35" s="367"/>
      <c r="CI35" s="367"/>
      <c r="CJ35" s="367"/>
      <c r="CK35" s="367"/>
      <c r="CL35" s="367"/>
      <c r="CM35" s="367"/>
      <c r="CN35" s="367"/>
      <c r="CO35" s="367"/>
      <c r="CP35" s="367"/>
      <c r="CQ35" s="367"/>
      <c r="CR35" s="367"/>
      <c r="CS35" s="367"/>
      <c r="CT35" s="367"/>
      <c r="CU35" s="367"/>
      <c r="CV35" s="367"/>
      <c r="CW35" s="367"/>
      <c r="CX35" s="367"/>
      <c r="CY35" s="367"/>
      <c r="CZ35" s="367"/>
      <c r="DA35" s="367"/>
      <c r="DB35" s="367"/>
      <c r="DC35" s="367"/>
      <c r="DD35" s="367"/>
      <c r="DE35" s="367"/>
      <c r="DF35" s="367"/>
      <c r="DG35" s="367"/>
      <c r="DH35" s="367"/>
      <c r="DI35" s="367"/>
      <c r="DJ35" s="367"/>
      <c r="DK35" s="367"/>
      <c r="DL35" s="367"/>
      <c r="DM35" s="367"/>
      <c r="DN35" s="367"/>
      <c r="DO35" s="367"/>
      <c r="DP35" s="367"/>
      <c r="DQ35" s="367"/>
      <c r="DR35" s="367"/>
      <c r="DS35" s="367"/>
      <c r="DT35" s="367"/>
      <c r="DU35" s="367"/>
      <c r="DV35" s="367"/>
      <c r="DW35" s="367"/>
      <c r="DX35" s="367"/>
      <c r="DY35" s="367"/>
      <c r="DZ35" s="367"/>
      <c r="EA35" s="367"/>
      <c r="EB35" s="367"/>
      <c r="EC35" s="367"/>
      <c r="ED35" s="367"/>
      <c r="EE35" s="367"/>
      <c r="EF35" s="367"/>
      <c r="EG35" s="367"/>
      <c r="EH35" s="367"/>
      <c r="EI35" s="367"/>
      <c r="EJ35" s="367"/>
      <c r="EK35" s="367"/>
      <c r="EL35" s="367"/>
      <c r="EM35" s="367"/>
      <c r="EN35" s="367"/>
      <c r="EO35" s="367"/>
      <c r="EP35" s="367"/>
      <c r="EQ35" s="367"/>
      <c r="ER35" s="367"/>
      <c r="ES35" s="367"/>
      <c r="ET35" s="367"/>
      <c r="EU35" s="367"/>
    </row>
    <row r="36" spans="1:151" ht="92.25" customHeight="1" x14ac:dyDescent="0.3">
      <c r="A36" s="365"/>
      <c r="B36" s="363" t="s">
        <v>48</v>
      </c>
      <c r="C36" s="561"/>
      <c r="D36" s="411"/>
      <c r="E36" s="384"/>
      <c r="F36" s="384"/>
      <c r="G36" s="390"/>
      <c r="H36" s="412" t="s">
        <v>49</v>
      </c>
      <c r="I36" s="398">
        <f>+'A1. Firmas Consultoras'!K102</f>
        <v>108.333</v>
      </c>
      <c r="J36" s="392">
        <f>+'A1. Firmas Consultoras'!J105</f>
        <v>5</v>
      </c>
      <c r="K36" s="398">
        <f>+I36*J36</f>
        <v>541.66499999999996</v>
      </c>
      <c r="L36" s="409"/>
      <c r="M36" s="409"/>
      <c r="N36" s="409"/>
      <c r="O36" s="409"/>
      <c r="P36" s="409"/>
      <c r="Q36" s="409"/>
      <c r="R36" s="409"/>
      <c r="S36" s="409"/>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7"/>
      <c r="AV36" s="367"/>
      <c r="AW36" s="367"/>
      <c r="AX36" s="367"/>
      <c r="AY36" s="367"/>
      <c r="AZ36" s="367"/>
      <c r="BA36" s="367"/>
      <c r="BB36" s="367"/>
      <c r="BC36" s="367"/>
      <c r="BD36" s="367"/>
      <c r="BE36" s="367"/>
      <c r="BF36" s="367"/>
      <c r="BG36" s="367"/>
      <c r="BH36" s="367"/>
      <c r="BI36" s="367"/>
      <c r="BJ36" s="367"/>
      <c r="BK36" s="367"/>
      <c r="BL36" s="367"/>
      <c r="BM36" s="367"/>
      <c r="BN36" s="367"/>
      <c r="BO36" s="367"/>
      <c r="BP36" s="367"/>
      <c r="BQ36" s="367"/>
      <c r="BR36" s="367"/>
      <c r="BS36" s="367"/>
      <c r="BT36" s="367"/>
      <c r="BU36" s="367"/>
      <c r="BV36" s="367"/>
      <c r="BW36" s="367"/>
      <c r="BX36" s="367"/>
      <c r="BY36" s="367"/>
      <c r="BZ36" s="367"/>
      <c r="CA36" s="367"/>
      <c r="CB36" s="367"/>
      <c r="CC36" s="367"/>
      <c r="CD36" s="367"/>
      <c r="CE36" s="367"/>
      <c r="CF36" s="367"/>
      <c r="CG36" s="367"/>
      <c r="CH36" s="367"/>
      <c r="CI36" s="367"/>
      <c r="CJ36" s="367"/>
      <c r="CK36" s="367"/>
      <c r="CL36" s="367"/>
      <c r="CM36" s="367"/>
      <c r="CN36" s="367"/>
      <c r="CO36" s="367"/>
      <c r="CP36" s="367"/>
      <c r="CQ36" s="367"/>
      <c r="CR36" s="367"/>
      <c r="CS36" s="367"/>
      <c r="CT36" s="367"/>
      <c r="CU36" s="367"/>
      <c r="CV36" s="367"/>
      <c r="CW36" s="367"/>
      <c r="CX36" s="367"/>
      <c r="CY36" s="367"/>
      <c r="CZ36" s="367"/>
      <c r="DA36" s="367"/>
      <c r="DB36" s="367"/>
      <c r="DC36" s="367"/>
      <c r="DD36" s="367"/>
      <c r="DE36" s="367"/>
      <c r="DF36" s="367"/>
      <c r="DG36" s="367"/>
      <c r="DH36" s="367"/>
      <c r="DI36" s="367"/>
      <c r="DJ36" s="367"/>
      <c r="DK36" s="367"/>
      <c r="DL36" s="367"/>
      <c r="DM36" s="367"/>
      <c r="DN36" s="367"/>
      <c r="DO36" s="367"/>
      <c r="DP36" s="367"/>
      <c r="DQ36" s="367"/>
      <c r="DR36" s="367"/>
      <c r="DS36" s="367"/>
      <c r="DT36" s="367"/>
      <c r="DU36" s="367"/>
      <c r="DV36" s="367"/>
      <c r="DW36" s="367"/>
      <c r="DX36" s="367"/>
      <c r="DY36" s="367"/>
      <c r="DZ36" s="367"/>
      <c r="EA36" s="367"/>
      <c r="EB36" s="367"/>
      <c r="EC36" s="367"/>
      <c r="ED36" s="367"/>
      <c r="EE36" s="367"/>
      <c r="EF36" s="367"/>
      <c r="EG36" s="367"/>
      <c r="EH36" s="367"/>
      <c r="EI36" s="367"/>
      <c r="EJ36" s="367"/>
      <c r="EK36" s="367"/>
      <c r="EL36" s="367"/>
      <c r="EM36" s="367"/>
      <c r="EN36" s="367"/>
      <c r="EO36" s="367"/>
      <c r="EP36" s="367"/>
      <c r="EQ36" s="367"/>
      <c r="ER36" s="367"/>
      <c r="ES36" s="367"/>
      <c r="ET36" s="367"/>
      <c r="EU36" s="367"/>
    </row>
    <row r="37" spans="1:151" ht="86.25" customHeight="1" x14ac:dyDescent="0.3">
      <c r="A37" s="365"/>
      <c r="B37" s="363" t="s">
        <v>50</v>
      </c>
      <c r="C37" s="561"/>
      <c r="D37" s="411"/>
      <c r="E37" s="384"/>
      <c r="F37" s="384"/>
      <c r="G37" s="390"/>
      <c r="H37" s="412" t="s">
        <v>51</v>
      </c>
      <c r="I37" s="398">
        <f>+'A1. Firmas Consultoras'!D114</f>
        <v>108.3334</v>
      </c>
      <c r="J37" s="392">
        <f>+'A1. Firmas Consultoras'!C117</f>
        <v>4</v>
      </c>
      <c r="K37" s="398">
        <f>+I37*J37</f>
        <v>433.33359999999999</v>
      </c>
      <c r="L37" s="409"/>
      <c r="M37" s="409"/>
      <c r="N37" s="409"/>
      <c r="O37" s="409"/>
      <c r="P37" s="409"/>
      <c r="Q37" s="409"/>
      <c r="R37" s="409"/>
      <c r="S37" s="409"/>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c r="CJ37" s="367"/>
      <c r="CK37" s="367"/>
      <c r="CL37" s="367"/>
      <c r="CM37" s="367"/>
      <c r="CN37" s="367"/>
      <c r="CO37" s="367"/>
      <c r="CP37" s="367"/>
      <c r="CQ37" s="367"/>
      <c r="CR37" s="367"/>
      <c r="CS37" s="367"/>
      <c r="CT37" s="367"/>
      <c r="CU37" s="367"/>
      <c r="CV37" s="367"/>
      <c r="CW37" s="367"/>
      <c r="CX37" s="367"/>
      <c r="CY37" s="367"/>
      <c r="CZ37" s="367"/>
      <c r="DA37" s="367"/>
      <c r="DB37" s="367"/>
      <c r="DC37" s="367"/>
      <c r="DD37" s="367"/>
      <c r="DE37" s="367"/>
      <c r="DF37" s="367"/>
      <c r="DG37" s="367"/>
      <c r="DH37" s="367"/>
      <c r="DI37" s="367"/>
      <c r="DJ37" s="367"/>
      <c r="DK37" s="367"/>
      <c r="DL37" s="367"/>
      <c r="DM37" s="367"/>
      <c r="DN37" s="367"/>
      <c r="DO37" s="367"/>
      <c r="DP37" s="367"/>
      <c r="DQ37" s="367"/>
      <c r="DR37" s="367"/>
      <c r="DS37" s="367"/>
      <c r="DT37" s="367"/>
      <c r="DU37" s="367"/>
      <c r="DV37" s="367"/>
      <c r="DW37" s="367"/>
      <c r="DX37" s="367"/>
      <c r="DY37" s="367"/>
      <c r="DZ37" s="367"/>
      <c r="EA37" s="367"/>
      <c r="EB37" s="367"/>
      <c r="EC37" s="367"/>
      <c r="ED37" s="367"/>
      <c r="EE37" s="367"/>
      <c r="EF37" s="367"/>
      <c r="EG37" s="367"/>
      <c r="EH37" s="367"/>
      <c r="EI37" s="367"/>
      <c r="EJ37" s="367"/>
      <c r="EK37" s="367"/>
      <c r="EL37" s="367"/>
      <c r="EM37" s="367"/>
      <c r="EN37" s="367"/>
      <c r="EO37" s="367"/>
      <c r="EP37" s="367"/>
      <c r="EQ37" s="367"/>
      <c r="ER37" s="367"/>
      <c r="ES37" s="367"/>
      <c r="ET37" s="367"/>
      <c r="EU37" s="367"/>
    </row>
    <row r="38" spans="1:151" ht="81" customHeight="1" x14ac:dyDescent="0.3">
      <c r="A38" s="365"/>
      <c r="B38" s="363" t="s">
        <v>52</v>
      </c>
      <c r="C38" s="561"/>
      <c r="D38" s="411"/>
      <c r="E38" s="384"/>
      <c r="F38" s="384"/>
      <c r="G38" s="390"/>
      <c r="H38" s="412" t="s">
        <v>53</v>
      </c>
      <c r="I38" s="398">
        <f>+'A1. Firmas Consultoras'!K114</f>
        <v>108.3334</v>
      </c>
      <c r="J38" s="392">
        <f>+'A1. Firmas Consultoras'!J117</f>
        <v>5</v>
      </c>
      <c r="K38" s="398">
        <f t="shared" ref="K38:K40" si="7">+I38*J38</f>
        <v>541.66700000000003</v>
      </c>
      <c r="L38" s="409"/>
      <c r="M38" s="409"/>
      <c r="N38" s="409"/>
      <c r="O38" s="409"/>
      <c r="P38" s="409"/>
      <c r="Q38" s="409"/>
      <c r="R38" s="409"/>
      <c r="S38" s="409"/>
      <c r="T38" s="367"/>
      <c r="U38" s="367"/>
      <c r="V38" s="367"/>
      <c r="W38" s="367"/>
      <c r="X38" s="367"/>
      <c r="Y38" s="367"/>
      <c r="Z38" s="367"/>
      <c r="AA38" s="367"/>
      <c r="AB38" s="367"/>
      <c r="AC38" s="367"/>
      <c r="AD38" s="367"/>
      <c r="AE38" s="367"/>
      <c r="AF38" s="367"/>
      <c r="AG38" s="367"/>
      <c r="AH38" s="367"/>
      <c r="AI38" s="367"/>
      <c r="AJ38" s="367"/>
      <c r="AK38" s="367"/>
      <c r="AL38" s="367"/>
      <c r="AM38" s="367"/>
      <c r="AN38" s="367"/>
      <c r="AO38" s="367"/>
      <c r="AP38" s="367"/>
      <c r="AQ38" s="367"/>
      <c r="AR38" s="367"/>
      <c r="AS38" s="367"/>
      <c r="AT38" s="367"/>
      <c r="AU38" s="367"/>
      <c r="AV38" s="367"/>
      <c r="AW38" s="367"/>
      <c r="AX38" s="367"/>
      <c r="AY38" s="367"/>
      <c r="AZ38" s="367"/>
      <c r="BA38" s="367"/>
      <c r="BB38" s="367"/>
      <c r="BC38" s="367"/>
      <c r="BD38" s="367"/>
      <c r="BE38" s="367"/>
      <c r="BF38" s="367"/>
      <c r="BG38" s="367"/>
      <c r="BH38" s="367"/>
      <c r="BI38" s="367"/>
      <c r="BJ38" s="367"/>
      <c r="BK38" s="367"/>
      <c r="BL38" s="367"/>
      <c r="BM38" s="367"/>
      <c r="BN38" s="367"/>
      <c r="BO38" s="367"/>
      <c r="BP38" s="367"/>
      <c r="BQ38" s="367"/>
      <c r="BR38" s="367"/>
      <c r="BS38" s="367"/>
      <c r="BT38" s="367"/>
      <c r="BU38" s="367"/>
      <c r="BV38" s="367"/>
      <c r="BW38" s="367"/>
      <c r="BX38" s="367"/>
      <c r="BY38" s="367"/>
      <c r="BZ38" s="367"/>
      <c r="CA38" s="367"/>
      <c r="CB38" s="367"/>
      <c r="CC38" s="367"/>
      <c r="CD38" s="367"/>
      <c r="CE38" s="367"/>
      <c r="CF38" s="367"/>
      <c r="CG38" s="367"/>
      <c r="CH38" s="367"/>
      <c r="CI38" s="367"/>
      <c r="CJ38" s="367"/>
      <c r="CK38" s="367"/>
      <c r="CL38" s="367"/>
      <c r="CM38" s="367"/>
      <c r="CN38" s="367"/>
      <c r="CO38" s="367"/>
      <c r="CP38" s="367"/>
      <c r="CQ38" s="367"/>
      <c r="CR38" s="367"/>
      <c r="CS38" s="367"/>
      <c r="CT38" s="367"/>
      <c r="CU38" s="367"/>
      <c r="CV38" s="367"/>
      <c r="CW38" s="367"/>
      <c r="CX38" s="367"/>
      <c r="CY38" s="367"/>
      <c r="CZ38" s="367"/>
      <c r="DA38" s="367"/>
      <c r="DB38" s="367"/>
      <c r="DC38" s="367"/>
      <c r="DD38" s="367"/>
      <c r="DE38" s="367"/>
      <c r="DF38" s="367"/>
      <c r="DG38" s="367"/>
      <c r="DH38" s="367"/>
      <c r="DI38" s="367"/>
      <c r="DJ38" s="367"/>
      <c r="DK38" s="367"/>
      <c r="DL38" s="367"/>
      <c r="DM38" s="367"/>
      <c r="DN38" s="367"/>
      <c r="DO38" s="367"/>
      <c r="DP38" s="367"/>
      <c r="DQ38" s="367"/>
      <c r="DR38" s="367"/>
      <c r="DS38" s="367"/>
      <c r="DT38" s="367"/>
      <c r="DU38" s="367"/>
      <c r="DV38" s="367"/>
      <c r="DW38" s="367"/>
      <c r="DX38" s="367"/>
      <c r="DY38" s="367"/>
      <c r="DZ38" s="367"/>
      <c r="EA38" s="367"/>
      <c r="EB38" s="367"/>
      <c r="EC38" s="367"/>
      <c r="ED38" s="367"/>
      <c r="EE38" s="367"/>
      <c r="EF38" s="367"/>
      <c r="EG38" s="367"/>
      <c r="EH38" s="367"/>
      <c r="EI38" s="367"/>
      <c r="EJ38" s="367"/>
      <c r="EK38" s="367"/>
      <c r="EL38" s="367"/>
      <c r="EM38" s="367"/>
      <c r="EN38" s="367"/>
      <c r="EO38" s="367"/>
      <c r="EP38" s="367"/>
      <c r="EQ38" s="367"/>
      <c r="ER38" s="367"/>
      <c r="ES38" s="367"/>
      <c r="ET38" s="367"/>
      <c r="EU38" s="367"/>
    </row>
    <row r="39" spans="1:151" ht="81.75" customHeight="1" x14ac:dyDescent="0.3">
      <c r="A39" s="365"/>
      <c r="B39" s="363" t="s">
        <v>54</v>
      </c>
      <c r="C39" s="561"/>
      <c r="D39" s="411"/>
      <c r="E39" s="384"/>
      <c r="F39" s="384"/>
      <c r="G39" s="390"/>
      <c r="H39" s="412" t="s">
        <v>55</v>
      </c>
      <c r="I39" s="398">
        <f>+'A1. Firmas Consultoras'!D126</f>
        <v>108.3334</v>
      </c>
      <c r="J39" s="392">
        <f>+'A1. Firmas Consultoras'!C129</f>
        <v>5</v>
      </c>
      <c r="K39" s="398">
        <f t="shared" si="7"/>
        <v>541.66700000000003</v>
      </c>
      <c r="L39" s="409"/>
      <c r="M39" s="409"/>
      <c r="N39" s="409"/>
      <c r="O39" s="409"/>
      <c r="P39" s="409"/>
      <c r="Q39" s="409"/>
      <c r="R39" s="409"/>
      <c r="S39" s="409"/>
      <c r="T39" s="367"/>
      <c r="U39" s="367"/>
      <c r="V39" s="367"/>
      <c r="W39" s="367"/>
      <c r="X39" s="367"/>
      <c r="Y39" s="367"/>
      <c r="Z39" s="367"/>
      <c r="AA39" s="367"/>
      <c r="AB39" s="367"/>
      <c r="AC39" s="367"/>
      <c r="AD39" s="367"/>
      <c r="AE39" s="367"/>
      <c r="AF39" s="367"/>
      <c r="AG39" s="367"/>
      <c r="AH39" s="367"/>
      <c r="AI39" s="367"/>
      <c r="AJ39" s="367"/>
      <c r="AK39" s="367"/>
      <c r="AL39" s="367"/>
      <c r="AM39" s="367"/>
      <c r="AN39" s="367"/>
      <c r="AO39" s="367"/>
      <c r="AP39" s="367"/>
      <c r="AQ39" s="367"/>
      <c r="AR39" s="367"/>
      <c r="AS39" s="367"/>
      <c r="AT39" s="367"/>
      <c r="AU39" s="367"/>
      <c r="AV39" s="367"/>
      <c r="AW39" s="367"/>
      <c r="AX39" s="367"/>
      <c r="AY39" s="367"/>
      <c r="AZ39" s="367"/>
      <c r="BA39" s="367"/>
      <c r="BB39" s="367"/>
      <c r="BC39" s="367"/>
      <c r="BD39" s="367"/>
      <c r="BE39" s="367"/>
      <c r="BF39" s="367"/>
      <c r="BG39" s="367"/>
      <c r="BH39" s="367"/>
      <c r="BI39" s="367"/>
      <c r="BJ39" s="367"/>
      <c r="BK39" s="367"/>
      <c r="BL39" s="367"/>
      <c r="BM39" s="367"/>
      <c r="BN39" s="367"/>
      <c r="BO39" s="367"/>
      <c r="BP39" s="367"/>
      <c r="BQ39" s="367"/>
      <c r="BR39" s="367"/>
      <c r="BS39" s="367"/>
      <c r="BT39" s="367"/>
      <c r="BU39" s="367"/>
      <c r="BV39" s="367"/>
      <c r="BW39" s="367"/>
      <c r="BX39" s="367"/>
      <c r="BY39" s="367"/>
      <c r="BZ39" s="367"/>
      <c r="CA39" s="367"/>
      <c r="CB39" s="367"/>
      <c r="CC39" s="367"/>
      <c r="CD39" s="367"/>
      <c r="CE39" s="367"/>
      <c r="CF39" s="367"/>
      <c r="CG39" s="367"/>
      <c r="CH39" s="367"/>
      <c r="CI39" s="367"/>
      <c r="CJ39" s="367"/>
      <c r="CK39" s="367"/>
      <c r="CL39" s="367"/>
      <c r="CM39" s="367"/>
      <c r="CN39" s="367"/>
      <c r="CO39" s="367"/>
      <c r="CP39" s="367"/>
      <c r="CQ39" s="367"/>
      <c r="CR39" s="367"/>
      <c r="CS39" s="367"/>
      <c r="CT39" s="367"/>
      <c r="CU39" s="367"/>
      <c r="CV39" s="367"/>
      <c r="CW39" s="367"/>
      <c r="CX39" s="367"/>
      <c r="CY39" s="367"/>
      <c r="CZ39" s="367"/>
      <c r="DA39" s="367"/>
      <c r="DB39" s="367"/>
      <c r="DC39" s="367"/>
      <c r="DD39" s="367"/>
      <c r="DE39" s="367"/>
      <c r="DF39" s="367"/>
      <c r="DG39" s="367"/>
      <c r="DH39" s="367"/>
      <c r="DI39" s="367"/>
      <c r="DJ39" s="367"/>
      <c r="DK39" s="367"/>
      <c r="DL39" s="367"/>
      <c r="DM39" s="367"/>
      <c r="DN39" s="367"/>
      <c r="DO39" s="367"/>
      <c r="DP39" s="367"/>
      <c r="DQ39" s="367"/>
      <c r="DR39" s="367"/>
      <c r="DS39" s="367"/>
      <c r="DT39" s="367"/>
      <c r="DU39" s="367"/>
      <c r="DV39" s="367"/>
      <c r="DW39" s="367"/>
      <c r="DX39" s="367"/>
      <c r="DY39" s="367"/>
      <c r="DZ39" s="367"/>
      <c r="EA39" s="367"/>
      <c r="EB39" s="367"/>
      <c r="EC39" s="367"/>
      <c r="ED39" s="367"/>
      <c r="EE39" s="367"/>
      <c r="EF39" s="367"/>
      <c r="EG39" s="367"/>
      <c r="EH39" s="367"/>
      <c r="EI39" s="367"/>
      <c r="EJ39" s="367"/>
      <c r="EK39" s="367"/>
      <c r="EL39" s="367"/>
      <c r="EM39" s="367"/>
      <c r="EN39" s="367"/>
      <c r="EO39" s="367"/>
      <c r="EP39" s="367"/>
      <c r="EQ39" s="367"/>
      <c r="ER39" s="367"/>
      <c r="ES39" s="367"/>
      <c r="ET39" s="367"/>
      <c r="EU39" s="367"/>
    </row>
    <row r="40" spans="1:151" ht="107.25" customHeight="1" x14ac:dyDescent="0.3">
      <c r="A40" s="365"/>
      <c r="B40" s="363" t="s">
        <v>56</v>
      </c>
      <c r="C40" s="542"/>
      <c r="D40" s="411"/>
      <c r="E40" s="384"/>
      <c r="F40" s="384"/>
      <c r="G40" s="390"/>
      <c r="H40" s="412" t="s">
        <v>57</v>
      </c>
      <c r="I40" s="398">
        <f>+'A1. Firmas Consultoras'!K126</f>
        <v>108.3334</v>
      </c>
      <c r="J40" s="392">
        <f>+'A1. Firmas Consultoras'!J129</f>
        <v>3</v>
      </c>
      <c r="K40" s="398">
        <f t="shared" si="7"/>
        <v>325.00020000000001</v>
      </c>
      <c r="L40" s="409"/>
      <c r="M40" s="409"/>
      <c r="N40" s="409"/>
      <c r="O40" s="409"/>
      <c r="P40" s="409"/>
      <c r="Q40" s="409"/>
      <c r="R40" s="409"/>
      <c r="S40" s="409"/>
      <c r="T40" s="367"/>
      <c r="U40" s="367"/>
      <c r="V40" s="367"/>
      <c r="W40" s="367"/>
      <c r="X40" s="367"/>
      <c r="Y40" s="367"/>
      <c r="Z40" s="367"/>
      <c r="AA40" s="367"/>
      <c r="AB40" s="367"/>
      <c r="AC40" s="367"/>
      <c r="AD40" s="367"/>
      <c r="AE40" s="367"/>
      <c r="AF40" s="367"/>
      <c r="AG40" s="367"/>
      <c r="AH40" s="367"/>
      <c r="AI40" s="367"/>
      <c r="AJ40" s="367"/>
      <c r="AK40" s="367"/>
      <c r="AL40" s="367"/>
      <c r="AM40" s="367"/>
      <c r="AN40" s="367"/>
      <c r="AO40" s="367"/>
      <c r="AP40" s="367"/>
      <c r="AQ40" s="367"/>
      <c r="AR40" s="367"/>
      <c r="AS40" s="367"/>
      <c r="AT40" s="367"/>
      <c r="AU40" s="367"/>
      <c r="AV40" s="367"/>
      <c r="AW40" s="367"/>
      <c r="AX40" s="367"/>
      <c r="AY40" s="367"/>
      <c r="AZ40" s="367"/>
      <c r="BA40" s="367"/>
      <c r="BB40" s="367"/>
      <c r="BC40" s="367"/>
      <c r="BD40" s="367"/>
      <c r="BE40" s="367"/>
      <c r="BF40" s="367"/>
      <c r="BG40" s="367"/>
      <c r="BH40" s="367"/>
      <c r="BI40" s="367"/>
      <c r="BJ40" s="367"/>
      <c r="BK40" s="367"/>
      <c r="BL40" s="367"/>
      <c r="BM40" s="367"/>
      <c r="BN40" s="367"/>
      <c r="BO40" s="367"/>
      <c r="BP40" s="367"/>
      <c r="BQ40" s="367"/>
      <c r="BR40" s="367"/>
      <c r="BS40" s="367"/>
      <c r="BT40" s="367"/>
      <c r="BU40" s="367"/>
      <c r="BV40" s="367"/>
      <c r="BW40" s="367"/>
      <c r="BX40" s="367"/>
      <c r="BY40" s="367"/>
      <c r="BZ40" s="367"/>
      <c r="CA40" s="367"/>
      <c r="CB40" s="367"/>
      <c r="CC40" s="367"/>
      <c r="CD40" s="367"/>
      <c r="CE40" s="367"/>
      <c r="CF40" s="367"/>
      <c r="CG40" s="367"/>
      <c r="CH40" s="367"/>
      <c r="CI40" s="367"/>
      <c r="CJ40" s="367"/>
      <c r="CK40" s="367"/>
      <c r="CL40" s="367"/>
      <c r="CM40" s="367"/>
      <c r="CN40" s="367"/>
      <c r="CO40" s="367"/>
      <c r="CP40" s="367"/>
      <c r="CQ40" s="367"/>
      <c r="CR40" s="367"/>
      <c r="CS40" s="367"/>
      <c r="CT40" s="367"/>
      <c r="CU40" s="367"/>
      <c r="CV40" s="367"/>
      <c r="CW40" s="367"/>
      <c r="CX40" s="367"/>
      <c r="CY40" s="367"/>
      <c r="CZ40" s="367"/>
      <c r="DA40" s="367"/>
      <c r="DB40" s="367"/>
      <c r="DC40" s="367"/>
      <c r="DD40" s="367"/>
      <c r="DE40" s="367"/>
      <c r="DF40" s="367"/>
      <c r="DG40" s="367"/>
      <c r="DH40" s="367"/>
      <c r="DI40" s="367"/>
      <c r="DJ40" s="367"/>
      <c r="DK40" s="367"/>
      <c r="DL40" s="367"/>
      <c r="DM40" s="367"/>
      <c r="DN40" s="367"/>
      <c r="DO40" s="367"/>
      <c r="DP40" s="367"/>
      <c r="DQ40" s="367"/>
      <c r="DR40" s="367"/>
      <c r="DS40" s="367"/>
      <c r="DT40" s="367"/>
      <c r="DU40" s="367"/>
      <c r="DV40" s="367"/>
      <c r="DW40" s="367"/>
      <c r="DX40" s="367"/>
      <c r="DY40" s="367"/>
      <c r="DZ40" s="367"/>
      <c r="EA40" s="367"/>
      <c r="EB40" s="367"/>
      <c r="EC40" s="367"/>
      <c r="ED40" s="367"/>
      <c r="EE40" s="367"/>
      <c r="EF40" s="367"/>
      <c r="EG40" s="367"/>
      <c r="EH40" s="367"/>
      <c r="EI40" s="367"/>
      <c r="EJ40" s="367"/>
      <c r="EK40" s="367"/>
      <c r="EL40" s="367"/>
      <c r="EM40" s="367"/>
      <c r="EN40" s="367"/>
      <c r="EO40" s="367"/>
      <c r="EP40" s="367"/>
      <c r="EQ40" s="367"/>
      <c r="ER40" s="367"/>
      <c r="ES40" s="367"/>
      <c r="ET40" s="367"/>
      <c r="EU40" s="367"/>
    </row>
    <row r="41" spans="1:151" s="3" customFormat="1" ht="15" customHeight="1" x14ac:dyDescent="0.3">
      <c r="A41" s="10"/>
      <c r="B41" s="533" t="s">
        <v>58</v>
      </c>
      <c r="C41" s="534"/>
      <c r="D41" s="413"/>
      <c r="E41" s="414"/>
      <c r="F41" s="414"/>
      <c r="G41" s="415">
        <f>SUM(G9:G40)</f>
        <v>216.666</v>
      </c>
      <c r="H41" s="416"/>
      <c r="I41" s="414"/>
      <c r="J41" s="414"/>
      <c r="K41" s="415">
        <f>SUM(K9:K40)</f>
        <v>25254.488200000003</v>
      </c>
      <c r="L41" s="413"/>
      <c r="M41" s="414"/>
      <c r="N41" s="414"/>
      <c r="O41" s="415">
        <f>SUM(O9:O40)</f>
        <v>22551</v>
      </c>
      <c r="P41" s="416"/>
      <c r="Q41" s="414"/>
      <c r="R41" s="414"/>
      <c r="S41" s="415">
        <f>SUM(S9:S40)</f>
        <v>0</v>
      </c>
      <c r="T41" s="370"/>
      <c r="U41" s="370"/>
      <c r="V41" s="367"/>
      <c r="W41" s="367"/>
      <c r="X41" s="367"/>
      <c r="Y41" s="367"/>
      <c r="Z41" s="367"/>
      <c r="AA41" s="367"/>
      <c r="AB41" s="367"/>
      <c r="AC41" s="367"/>
      <c r="AD41" s="367"/>
      <c r="AE41" s="367"/>
      <c r="AF41" s="367"/>
      <c r="AG41" s="367"/>
      <c r="AH41" s="367"/>
      <c r="AI41" s="367"/>
      <c r="AJ41" s="367"/>
      <c r="AK41" s="367"/>
      <c r="AL41" s="367"/>
      <c r="AM41" s="367"/>
      <c r="AN41" s="367"/>
      <c r="AO41" s="367"/>
      <c r="AP41" s="367"/>
      <c r="AQ41" s="367"/>
      <c r="AR41" s="367"/>
      <c r="AS41" s="367"/>
      <c r="AT41" s="367"/>
      <c r="AU41" s="367"/>
      <c r="AV41" s="367"/>
      <c r="AW41" s="367"/>
      <c r="AX41" s="367"/>
      <c r="AY41" s="367"/>
      <c r="AZ41" s="367"/>
      <c r="BA41" s="367"/>
      <c r="BB41" s="367"/>
      <c r="BC41" s="367"/>
      <c r="BD41" s="367"/>
      <c r="BE41" s="367"/>
      <c r="BF41" s="367"/>
      <c r="BG41" s="367"/>
      <c r="BH41" s="367"/>
      <c r="BI41" s="367"/>
      <c r="BJ41" s="367"/>
      <c r="BK41" s="367"/>
      <c r="BL41" s="367"/>
      <c r="BM41" s="367"/>
      <c r="BN41" s="367"/>
      <c r="BO41" s="367"/>
      <c r="BP41" s="367"/>
      <c r="BQ41" s="367"/>
      <c r="BR41" s="367"/>
      <c r="BS41" s="367"/>
      <c r="BT41" s="367"/>
      <c r="BU41" s="367"/>
      <c r="BV41" s="367"/>
      <c r="BW41" s="367"/>
      <c r="BX41" s="367"/>
      <c r="BY41" s="367"/>
      <c r="BZ41" s="367"/>
      <c r="CA41" s="367"/>
      <c r="CB41" s="367"/>
      <c r="CC41" s="367"/>
      <c r="CD41" s="367"/>
      <c r="CE41" s="367"/>
      <c r="CF41" s="367"/>
      <c r="CG41" s="367"/>
      <c r="CH41" s="367"/>
      <c r="CI41" s="367"/>
      <c r="CJ41" s="367"/>
      <c r="CK41" s="367"/>
      <c r="CL41" s="367"/>
      <c r="CM41" s="367"/>
      <c r="CN41" s="367"/>
      <c r="CO41" s="367"/>
      <c r="CP41" s="367"/>
      <c r="CQ41" s="367"/>
      <c r="CR41" s="367"/>
      <c r="CS41" s="367"/>
      <c r="CT41" s="367"/>
      <c r="CU41" s="367"/>
      <c r="CV41" s="367"/>
      <c r="CW41" s="367"/>
      <c r="CX41" s="367"/>
      <c r="CY41" s="367"/>
      <c r="CZ41" s="367"/>
      <c r="DA41" s="367"/>
      <c r="DB41" s="367"/>
      <c r="DC41" s="367"/>
      <c r="DD41" s="367"/>
      <c r="DE41" s="367"/>
      <c r="DF41" s="367"/>
      <c r="DG41" s="367"/>
      <c r="DH41" s="367"/>
      <c r="DI41" s="367"/>
      <c r="DJ41" s="367"/>
      <c r="DK41" s="367"/>
      <c r="DL41" s="367"/>
      <c r="DM41" s="367"/>
      <c r="DN41" s="367"/>
      <c r="DO41" s="367"/>
      <c r="DP41" s="367"/>
      <c r="DQ41" s="367"/>
      <c r="DR41" s="367"/>
      <c r="DS41" s="367"/>
      <c r="DT41" s="367"/>
      <c r="DU41" s="367"/>
      <c r="DV41" s="367"/>
      <c r="DW41" s="367"/>
      <c r="DX41" s="367"/>
      <c r="DY41" s="367"/>
      <c r="DZ41" s="367"/>
      <c r="EA41" s="367"/>
      <c r="EB41" s="367"/>
      <c r="EC41" s="367"/>
      <c r="ED41" s="367"/>
      <c r="EE41" s="367"/>
      <c r="EF41" s="367"/>
      <c r="EG41" s="367"/>
      <c r="EH41" s="367"/>
      <c r="EI41" s="367"/>
      <c r="EJ41" s="367"/>
      <c r="EK41" s="367"/>
      <c r="EL41" s="367"/>
      <c r="EM41" s="367"/>
      <c r="EN41" s="367"/>
      <c r="EO41" s="367"/>
      <c r="EP41" s="367"/>
      <c r="EQ41" s="367"/>
      <c r="ER41" s="367"/>
      <c r="ES41" s="367"/>
      <c r="ET41" s="367"/>
      <c r="EU41" s="367"/>
    </row>
    <row r="42" spans="1:151" ht="30" customHeight="1" x14ac:dyDescent="0.3">
      <c r="A42" s="365"/>
      <c r="B42" s="436" t="s">
        <v>59</v>
      </c>
      <c r="C42" s="417">
        <f>+C44+C52+C60</f>
        <v>47600</v>
      </c>
      <c r="D42" s="531" t="str">
        <f>+'Plan_Ejecutivo_Plurianual (PEP)'!C9</f>
        <v>Fortalecimiento de los sistemas de información de la AFIP</v>
      </c>
      <c r="E42" s="531"/>
      <c r="F42" s="531"/>
      <c r="G42" s="531"/>
      <c r="H42" s="531"/>
      <c r="I42" s="531"/>
      <c r="J42" s="531"/>
      <c r="K42" s="531"/>
      <c r="L42" s="531"/>
      <c r="M42" s="531"/>
      <c r="N42" s="531"/>
      <c r="O42" s="531"/>
      <c r="P42" s="531"/>
      <c r="Q42" s="531"/>
      <c r="R42" s="531"/>
      <c r="S42" s="531"/>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c r="CJ42" s="367"/>
      <c r="CK42" s="367"/>
      <c r="CL42" s="367"/>
      <c r="CM42" s="367"/>
      <c r="CN42" s="367"/>
      <c r="CO42" s="367"/>
      <c r="CP42" s="367"/>
      <c r="CQ42" s="367"/>
      <c r="CR42" s="367"/>
      <c r="CS42" s="367"/>
      <c r="CT42" s="367"/>
      <c r="CU42" s="367"/>
      <c r="CV42" s="367"/>
      <c r="CW42" s="367"/>
      <c r="CX42" s="367"/>
      <c r="CY42" s="367"/>
      <c r="CZ42" s="367"/>
      <c r="DA42" s="367"/>
      <c r="DB42" s="367"/>
      <c r="DC42" s="367"/>
      <c r="DD42" s="367"/>
      <c r="DE42" s="367"/>
      <c r="DF42" s="367"/>
      <c r="DG42" s="367"/>
      <c r="DH42" s="367"/>
      <c r="DI42" s="367"/>
      <c r="DJ42" s="367"/>
      <c r="DK42" s="367"/>
      <c r="DL42" s="367"/>
      <c r="DM42" s="367"/>
      <c r="DN42" s="367"/>
      <c r="DO42" s="367"/>
      <c r="DP42" s="367"/>
      <c r="DQ42" s="367"/>
      <c r="DR42" s="367"/>
      <c r="DS42" s="367"/>
      <c r="DT42" s="367"/>
      <c r="DU42" s="367"/>
      <c r="DV42" s="367"/>
      <c r="DW42" s="367"/>
      <c r="DX42" s="367"/>
      <c r="DY42" s="367"/>
      <c r="DZ42" s="367"/>
      <c r="EA42" s="367"/>
      <c r="EB42" s="367"/>
      <c r="EC42" s="367"/>
      <c r="ED42" s="367"/>
      <c r="EE42" s="367"/>
      <c r="EF42" s="367"/>
      <c r="EG42" s="367"/>
      <c r="EH42" s="367"/>
      <c r="EI42" s="367"/>
      <c r="EJ42" s="367"/>
      <c r="EK42" s="367"/>
      <c r="EL42" s="367"/>
      <c r="EM42" s="367"/>
      <c r="EN42" s="367"/>
      <c r="EO42" s="367"/>
      <c r="EP42" s="367"/>
      <c r="EQ42" s="367"/>
      <c r="ER42" s="367"/>
      <c r="ES42" s="367"/>
      <c r="ET42" s="367"/>
      <c r="EU42" s="367"/>
    </row>
    <row r="43" spans="1:151" x14ac:dyDescent="0.3">
      <c r="A43" s="365"/>
      <c r="B43" s="549" t="s">
        <v>60</v>
      </c>
      <c r="C43" s="549"/>
      <c r="D43" s="538" t="str">
        <f>+'Plan_Ejecutivo_Plurianual (PEP)'!C10</f>
        <v>Data Center (Software&amp;Hardware y Capacitación)</v>
      </c>
      <c r="E43" s="539"/>
      <c r="F43" s="539"/>
      <c r="G43" s="539"/>
      <c r="H43" s="539"/>
      <c r="I43" s="539"/>
      <c r="J43" s="539"/>
      <c r="K43" s="539"/>
      <c r="L43" s="539"/>
      <c r="M43" s="594"/>
      <c r="N43" s="594"/>
      <c r="O43" s="594"/>
      <c r="P43" s="539"/>
      <c r="Q43" s="539"/>
      <c r="R43" s="539"/>
      <c r="S43" s="540"/>
      <c r="T43" s="367"/>
      <c r="U43" s="367"/>
      <c r="V43" s="367"/>
      <c r="W43" s="367"/>
      <c r="X43" s="367"/>
      <c r="Y43" s="367"/>
      <c r="Z43" s="367"/>
      <c r="AA43" s="367"/>
      <c r="AB43" s="367"/>
      <c r="AC43" s="367"/>
      <c r="AD43" s="367"/>
      <c r="AE43" s="367"/>
      <c r="AF43" s="367"/>
      <c r="AG43" s="367"/>
      <c r="AH43" s="367"/>
      <c r="AI43" s="367"/>
      <c r="AJ43" s="367"/>
      <c r="AK43" s="367"/>
      <c r="AL43" s="367"/>
      <c r="AM43" s="367"/>
      <c r="AN43" s="367"/>
      <c r="AO43" s="367"/>
      <c r="AP43" s="367"/>
      <c r="AQ43" s="367"/>
      <c r="AR43" s="367"/>
      <c r="AS43" s="367"/>
      <c r="AT43" s="367"/>
      <c r="AU43" s="367"/>
      <c r="AV43" s="367"/>
      <c r="AW43" s="367"/>
      <c r="AX43" s="367"/>
      <c r="AY43" s="367"/>
      <c r="AZ43" s="367"/>
      <c r="BA43" s="367"/>
      <c r="BB43" s="367"/>
      <c r="BC43" s="367"/>
      <c r="BD43" s="367"/>
      <c r="BE43" s="367"/>
      <c r="BF43" s="367"/>
      <c r="BG43" s="367"/>
      <c r="BH43" s="367"/>
      <c r="BI43" s="367"/>
      <c r="BJ43" s="367"/>
      <c r="BK43" s="367"/>
      <c r="BL43" s="367"/>
      <c r="BM43" s="367"/>
      <c r="BN43" s="367"/>
      <c r="BO43" s="367"/>
      <c r="BP43" s="367"/>
      <c r="BQ43" s="367"/>
      <c r="BR43" s="367"/>
      <c r="BS43" s="367"/>
      <c r="BT43" s="367"/>
      <c r="BU43" s="367"/>
      <c r="BV43" s="367"/>
      <c r="BW43" s="367"/>
      <c r="BX43" s="367"/>
      <c r="BY43" s="367"/>
      <c r="BZ43" s="367"/>
      <c r="CA43" s="367"/>
      <c r="CB43" s="367"/>
      <c r="CC43" s="367"/>
      <c r="CD43" s="367"/>
      <c r="CE43" s="367"/>
      <c r="CF43" s="367"/>
      <c r="CG43" s="367"/>
      <c r="CH43" s="367"/>
      <c r="CI43" s="367"/>
      <c r="CJ43" s="367"/>
      <c r="CK43" s="367"/>
      <c r="CL43" s="367"/>
      <c r="CM43" s="367"/>
      <c r="CN43" s="367"/>
      <c r="CO43" s="367"/>
      <c r="CP43" s="367"/>
      <c r="CQ43" s="367"/>
      <c r="CR43" s="367"/>
      <c r="CS43" s="367"/>
      <c r="CT43" s="367"/>
      <c r="CU43" s="367"/>
      <c r="CV43" s="367"/>
      <c r="CW43" s="367"/>
      <c r="CX43" s="367"/>
      <c r="CY43" s="367"/>
      <c r="CZ43" s="367"/>
      <c r="DA43" s="367"/>
      <c r="DB43" s="367"/>
      <c r="DC43" s="367"/>
      <c r="DD43" s="367"/>
      <c r="DE43" s="367"/>
      <c r="DF43" s="367"/>
      <c r="DG43" s="367"/>
      <c r="DH43" s="367"/>
      <c r="DI43" s="367"/>
      <c r="DJ43" s="367"/>
      <c r="DK43" s="367"/>
      <c r="DL43" s="367"/>
      <c r="DM43" s="367"/>
      <c r="DN43" s="367"/>
      <c r="DO43" s="367"/>
      <c r="DP43" s="367"/>
      <c r="DQ43" s="367"/>
      <c r="DR43" s="367"/>
      <c r="DS43" s="367"/>
      <c r="DT43" s="367"/>
      <c r="DU43" s="367"/>
      <c r="DV43" s="367"/>
      <c r="DW43" s="367"/>
      <c r="DX43" s="367"/>
      <c r="DY43" s="367"/>
      <c r="DZ43" s="367"/>
      <c r="EA43" s="367"/>
      <c r="EB43" s="367"/>
      <c r="EC43" s="367"/>
      <c r="ED43" s="367"/>
      <c r="EE43" s="367"/>
      <c r="EF43" s="367"/>
      <c r="EG43" s="367"/>
      <c r="EH43" s="367"/>
      <c r="EI43" s="367"/>
      <c r="EJ43" s="367"/>
      <c r="EK43" s="367"/>
      <c r="EL43" s="367"/>
      <c r="EM43" s="367"/>
      <c r="EN43" s="367"/>
      <c r="EO43" s="367"/>
      <c r="EP43" s="367"/>
      <c r="EQ43" s="367"/>
      <c r="ER43" s="367"/>
      <c r="ES43" s="367"/>
      <c r="ET43" s="367"/>
      <c r="EU43" s="367"/>
    </row>
    <row r="44" spans="1:151" ht="61.5" customHeight="1" x14ac:dyDescent="0.3">
      <c r="A44" s="365"/>
      <c r="B44" s="545" t="s">
        <v>61</v>
      </c>
      <c r="C44" s="597">
        <f>SUM(O44:O50)</f>
        <v>21000</v>
      </c>
      <c r="D44" s="411"/>
      <c r="E44" s="411"/>
      <c r="F44" s="411"/>
      <c r="G44" s="411"/>
      <c r="H44" s="411"/>
      <c r="I44" s="411"/>
      <c r="J44" s="411"/>
      <c r="K44" s="411"/>
      <c r="L44" s="418" t="s">
        <v>62</v>
      </c>
      <c r="M44" s="419">
        <f>+'A4_Detalle Soft&amp;Hard Sub 2 '!D7</f>
        <v>3000</v>
      </c>
      <c r="N44" s="386">
        <v>1</v>
      </c>
      <c r="O44" s="420">
        <f>+M44*N44</f>
        <v>3000</v>
      </c>
      <c r="P44" s="336"/>
      <c r="Q44" s="421"/>
      <c r="R44" s="421"/>
      <c r="S44" s="421"/>
      <c r="T44" s="367"/>
      <c r="U44" s="367"/>
      <c r="V44" s="367"/>
      <c r="W44" s="367"/>
      <c r="X44" s="367"/>
      <c r="Y44" s="367"/>
      <c r="Z44" s="367"/>
      <c r="AA44" s="367"/>
      <c r="AB44" s="367"/>
      <c r="AC44" s="367"/>
      <c r="AD44" s="367"/>
      <c r="AE44" s="367"/>
      <c r="AF44" s="367"/>
      <c r="AG44" s="367"/>
      <c r="AH44" s="367"/>
      <c r="AI44" s="367"/>
      <c r="AJ44" s="367"/>
      <c r="AK44" s="367"/>
      <c r="AL44" s="367"/>
      <c r="AM44" s="367"/>
      <c r="AN44" s="367"/>
      <c r="AO44" s="367"/>
      <c r="AP44" s="367"/>
      <c r="AQ44" s="367"/>
      <c r="AR44" s="367"/>
      <c r="AS44" s="367"/>
      <c r="AT44" s="367"/>
      <c r="AU44" s="367"/>
      <c r="AV44" s="367"/>
      <c r="AW44" s="367"/>
      <c r="AX44" s="367"/>
      <c r="AY44" s="367"/>
      <c r="AZ44" s="367"/>
      <c r="BA44" s="367"/>
      <c r="BB44" s="367"/>
      <c r="BC44" s="367"/>
      <c r="BD44" s="367"/>
      <c r="BE44" s="367"/>
      <c r="BF44" s="367"/>
      <c r="BG44" s="367"/>
      <c r="BH44" s="367"/>
      <c r="BI44" s="367"/>
      <c r="BJ44" s="367"/>
      <c r="BK44" s="367"/>
      <c r="BL44" s="367"/>
      <c r="BM44" s="367"/>
      <c r="BN44" s="367"/>
      <c r="BO44" s="367"/>
      <c r="BP44" s="367"/>
      <c r="BQ44" s="367"/>
      <c r="BR44" s="367"/>
      <c r="BS44" s="367"/>
      <c r="BT44" s="367"/>
      <c r="BU44" s="367"/>
      <c r="BV44" s="367"/>
      <c r="BW44" s="367"/>
      <c r="BX44" s="367"/>
      <c r="BY44" s="367"/>
      <c r="BZ44" s="367"/>
      <c r="CA44" s="367"/>
      <c r="CB44" s="367"/>
      <c r="CC44" s="367"/>
      <c r="CD44" s="367"/>
      <c r="CE44" s="367"/>
      <c r="CF44" s="367"/>
      <c r="CG44" s="367"/>
      <c r="CH44" s="367"/>
      <c r="CI44" s="367"/>
      <c r="CJ44" s="367"/>
      <c r="CK44" s="367"/>
      <c r="CL44" s="367"/>
      <c r="CM44" s="367"/>
      <c r="CN44" s="367"/>
      <c r="CO44" s="367"/>
      <c r="CP44" s="367"/>
      <c r="CQ44" s="367"/>
      <c r="CR44" s="367"/>
      <c r="CS44" s="367"/>
      <c r="CT44" s="367"/>
      <c r="CU44" s="367"/>
      <c r="CV44" s="367"/>
      <c r="CW44" s="367"/>
      <c r="CX44" s="367"/>
      <c r="CY44" s="367"/>
      <c r="CZ44" s="367"/>
      <c r="DA44" s="367"/>
      <c r="DB44" s="367"/>
      <c r="DC44" s="367"/>
      <c r="DD44" s="367"/>
      <c r="DE44" s="367"/>
      <c r="DF44" s="367"/>
      <c r="DG44" s="367"/>
      <c r="DH44" s="367"/>
      <c r="DI44" s="367"/>
      <c r="DJ44" s="367"/>
      <c r="DK44" s="367"/>
      <c r="DL44" s="367"/>
      <c r="DM44" s="367"/>
      <c r="DN44" s="367"/>
      <c r="DO44" s="367"/>
      <c r="DP44" s="367"/>
      <c r="DQ44" s="367"/>
      <c r="DR44" s="367"/>
      <c r="DS44" s="367"/>
      <c r="DT44" s="367"/>
      <c r="DU44" s="367"/>
      <c r="DV44" s="367"/>
      <c r="DW44" s="367"/>
      <c r="DX44" s="367"/>
      <c r="DY44" s="367"/>
      <c r="DZ44" s="367"/>
      <c r="EA44" s="367"/>
      <c r="EB44" s="367"/>
      <c r="EC44" s="367"/>
      <c r="ED44" s="367"/>
      <c r="EE44" s="367"/>
      <c r="EF44" s="367"/>
      <c r="EG44" s="367"/>
      <c r="EH44" s="367"/>
      <c r="EI44" s="367"/>
      <c r="EJ44" s="367"/>
      <c r="EK44" s="367"/>
      <c r="EL44" s="367"/>
      <c r="EM44" s="367"/>
      <c r="EN44" s="367"/>
      <c r="EO44" s="367"/>
      <c r="EP44" s="367"/>
      <c r="EQ44" s="367"/>
      <c r="ER44" s="367"/>
      <c r="ES44" s="367"/>
      <c r="ET44" s="367"/>
      <c r="EU44" s="367"/>
    </row>
    <row r="45" spans="1:151" ht="51" customHeight="1" x14ac:dyDescent="0.3">
      <c r="A45" s="365"/>
      <c r="B45" s="545"/>
      <c r="C45" s="598"/>
      <c r="D45" s="411"/>
      <c r="E45" s="411"/>
      <c r="F45" s="411"/>
      <c r="G45" s="411"/>
      <c r="H45" s="411"/>
      <c r="I45" s="411"/>
      <c r="J45" s="411"/>
      <c r="K45" s="411"/>
      <c r="L45" s="418" t="s">
        <v>63</v>
      </c>
      <c r="M45" s="387">
        <v>0.82</v>
      </c>
      <c r="N45" s="392">
        <v>10000</v>
      </c>
      <c r="O45" s="422">
        <f t="shared" ref="O45:O68" si="8">+M45*N45</f>
        <v>8200</v>
      </c>
      <c r="P45" s="336"/>
      <c r="Q45" s="421"/>
      <c r="R45" s="421"/>
      <c r="S45" s="421"/>
      <c r="T45" s="367"/>
      <c r="U45" s="367"/>
      <c r="V45" s="367"/>
      <c r="W45" s="367"/>
      <c r="X45" s="367"/>
      <c r="Y45" s="367"/>
      <c r="Z45" s="367"/>
      <c r="AA45" s="367"/>
      <c r="AB45" s="367"/>
      <c r="AC45" s="367"/>
      <c r="AD45" s="367"/>
      <c r="AE45" s="367"/>
      <c r="AF45" s="367"/>
      <c r="AG45" s="367"/>
      <c r="AH45" s="367"/>
      <c r="AI45" s="367"/>
      <c r="AJ45" s="367"/>
      <c r="AK45" s="367"/>
      <c r="AL45" s="367"/>
      <c r="AM45" s="367"/>
      <c r="AN45" s="367"/>
      <c r="AO45" s="367"/>
      <c r="AP45" s="367"/>
      <c r="AQ45" s="367"/>
      <c r="AR45" s="367"/>
      <c r="AS45" s="367"/>
      <c r="AT45" s="367"/>
      <c r="AU45" s="367"/>
      <c r="AV45" s="367"/>
      <c r="AW45" s="367"/>
      <c r="AX45" s="367"/>
      <c r="AY45" s="367"/>
      <c r="AZ45" s="367"/>
      <c r="BA45" s="367"/>
      <c r="BB45" s="367"/>
      <c r="BC45" s="367"/>
      <c r="BD45" s="367"/>
      <c r="BE45" s="367"/>
      <c r="BF45" s="367"/>
      <c r="BG45" s="367"/>
      <c r="BH45" s="367"/>
      <c r="BI45" s="367"/>
      <c r="BJ45" s="367"/>
      <c r="BK45" s="367"/>
      <c r="BL45" s="367"/>
      <c r="BM45" s="367"/>
      <c r="BN45" s="367"/>
      <c r="BO45" s="367"/>
      <c r="BP45" s="367"/>
      <c r="BQ45" s="367"/>
      <c r="BR45" s="367"/>
      <c r="BS45" s="367"/>
      <c r="BT45" s="367"/>
      <c r="BU45" s="367"/>
      <c r="BV45" s="367"/>
      <c r="BW45" s="367"/>
      <c r="BX45" s="367"/>
      <c r="BY45" s="367"/>
      <c r="BZ45" s="367"/>
      <c r="CA45" s="367"/>
      <c r="CB45" s="367"/>
      <c r="CC45" s="367"/>
      <c r="CD45" s="367"/>
      <c r="CE45" s="367"/>
      <c r="CF45" s="367"/>
      <c r="CG45" s="367"/>
      <c r="CH45" s="367"/>
      <c r="CI45" s="367"/>
      <c r="CJ45" s="367"/>
      <c r="CK45" s="367"/>
      <c r="CL45" s="367"/>
      <c r="CM45" s="367"/>
      <c r="CN45" s="367"/>
      <c r="CO45" s="367"/>
      <c r="CP45" s="367"/>
      <c r="CQ45" s="367"/>
      <c r="CR45" s="367"/>
      <c r="CS45" s="367"/>
      <c r="CT45" s="367"/>
      <c r="CU45" s="367"/>
      <c r="CV45" s="367"/>
      <c r="CW45" s="367"/>
      <c r="CX45" s="367"/>
      <c r="CY45" s="367"/>
      <c r="CZ45" s="367"/>
      <c r="DA45" s="367"/>
      <c r="DB45" s="367"/>
      <c r="DC45" s="367"/>
      <c r="DD45" s="367"/>
      <c r="DE45" s="367"/>
      <c r="DF45" s="367"/>
      <c r="DG45" s="367"/>
      <c r="DH45" s="367"/>
      <c r="DI45" s="367"/>
      <c r="DJ45" s="367"/>
      <c r="DK45" s="367"/>
      <c r="DL45" s="367"/>
      <c r="DM45" s="367"/>
      <c r="DN45" s="367"/>
      <c r="DO45" s="367"/>
      <c r="DP45" s="367"/>
      <c r="DQ45" s="367"/>
      <c r="DR45" s="367"/>
      <c r="DS45" s="367"/>
      <c r="DT45" s="367"/>
      <c r="DU45" s="367"/>
      <c r="DV45" s="367"/>
      <c r="DW45" s="367"/>
      <c r="DX45" s="367"/>
      <c r="DY45" s="367"/>
      <c r="DZ45" s="367"/>
      <c r="EA45" s="367"/>
      <c r="EB45" s="367"/>
      <c r="EC45" s="367"/>
      <c r="ED45" s="367"/>
      <c r="EE45" s="367"/>
      <c r="EF45" s="367"/>
      <c r="EG45" s="367"/>
      <c r="EH45" s="367"/>
      <c r="EI45" s="367"/>
      <c r="EJ45" s="367"/>
      <c r="EK45" s="367"/>
      <c r="EL45" s="367"/>
      <c r="EM45" s="367"/>
      <c r="EN45" s="367"/>
      <c r="EO45" s="367"/>
      <c r="EP45" s="367"/>
      <c r="EQ45" s="367"/>
      <c r="ER45" s="367"/>
      <c r="ES45" s="367"/>
      <c r="ET45" s="367"/>
      <c r="EU45" s="367"/>
    </row>
    <row r="46" spans="1:151" ht="43.2" x14ac:dyDescent="0.3">
      <c r="A46" s="365"/>
      <c r="B46" s="545"/>
      <c r="C46" s="598"/>
      <c r="D46" s="411"/>
      <c r="E46" s="411"/>
      <c r="F46" s="411"/>
      <c r="G46" s="411"/>
      <c r="H46" s="411"/>
      <c r="I46" s="411"/>
      <c r="J46" s="411"/>
      <c r="K46" s="411"/>
      <c r="L46" s="418" t="s">
        <v>64</v>
      </c>
      <c r="M46" s="387">
        <f>+'A4_Detalle Soft&amp;Hard Sub 2 '!D9</f>
        <v>3000</v>
      </c>
      <c r="N46" s="392">
        <v>1</v>
      </c>
      <c r="O46" s="422">
        <f t="shared" si="8"/>
        <v>3000</v>
      </c>
      <c r="P46" s="336"/>
      <c r="Q46" s="421"/>
      <c r="R46" s="421"/>
      <c r="S46" s="421"/>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c r="DJ46" s="367"/>
      <c r="DK46" s="367"/>
      <c r="DL46" s="367"/>
      <c r="DM46" s="367"/>
      <c r="DN46" s="367"/>
      <c r="DO46" s="367"/>
      <c r="DP46" s="367"/>
      <c r="DQ46" s="367"/>
      <c r="DR46" s="367"/>
      <c r="DS46" s="367"/>
      <c r="DT46" s="367"/>
      <c r="DU46" s="367"/>
      <c r="DV46" s="367"/>
      <c r="DW46" s="367"/>
      <c r="DX46" s="367"/>
      <c r="DY46" s="367"/>
      <c r="DZ46" s="367"/>
      <c r="EA46" s="367"/>
      <c r="EB46" s="367"/>
      <c r="EC46" s="367"/>
      <c r="ED46" s="367"/>
      <c r="EE46" s="367"/>
      <c r="EF46" s="367"/>
      <c r="EG46" s="367"/>
      <c r="EH46" s="367"/>
      <c r="EI46" s="367"/>
      <c r="EJ46" s="367"/>
      <c r="EK46" s="367"/>
      <c r="EL46" s="367"/>
      <c r="EM46" s="367"/>
      <c r="EN46" s="367"/>
      <c r="EO46" s="367"/>
      <c r="EP46" s="367"/>
      <c r="EQ46" s="367"/>
      <c r="ER46" s="367"/>
      <c r="ES46" s="367"/>
      <c r="ET46" s="367"/>
      <c r="EU46" s="367"/>
    </row>
    <row r="47" spans="1:151" ht="33.75" customHeight="1" x14ac:dyDescent="0.3">
      <c r="A47" s="365"/>
      <c r="B47" s="545"/>
      <c r="C47" s="598"/>
      <c r="D47" s="411"/>
      <c r="E47" s="411"/>
      <c r="F47" s="411"/>
      <c r="G47" s="411"/>
      <c r="H47" s="411"/>
      <c r="I47" s="411"/>
      <c r="J47" s="411"/>
      <c r="K47" s="411"/>
      <c r="L47" s="418" t="s">
        <v>65</v>
      </c>
      <c r="M47" s="387">
        <f>+'A4_Detalle Soft&amp;Hard Sub 2 '!D10</f>
        <v>1000</v>
      </c>
      <c r="N47" s="392">
        <v>1</v>
      </c>
      <c r="O47" s="422">
        <f t="shared" si="8"/>
        <v>1000</v>
      </c>
      <c r="P47" s="336"/>
      <c r="Q47" s="421"/>
      <c r="R47" s="421"/>
      <c r="S47" s="421"/>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c r="DJ47" s="367"/>
      <c r="DK47" s="367"/>
      <c r="DL47" s="367"/>
      <c r="DM47" s="367"/>
      <c r="DN47" s="367"/>
      <c r="DO47" s="367"/>
      <c r="DP47" s="367"/>
      <c r="DQ47" s="367"/>
      <c r="DR47" s="367"/>
      <c r="DS47" s="367"/>
      <c r="DT47" s="367"/>
      <c r="DU47" s="367"/>
      <c r="DV47" s="367"/>
      <c r="DW47" s="367"/>
      <c r="DX47" s="367"/>
      <c r="DY47" s="367"/>
      <c r="DZ47" s="367"/>
      <c r="EA47" s="367"/>
      <c r="EB47" s="367"/>
      <c r="EC47" s="367"/>
      <c r="ED47" s="367"/>
      <c r="EE47" s="367"/>
      <c r="EF47" s="367"/>
      <c r="EG47" s="367"/>
      <c r="EH47" s="367"/>
      <c r="EI47" s="367"/>
      <c r="EJ47" s="367"/>
      <c r="EK47" s="367"/>
      <c r="EL47" s="367"/>
      <c r="EM47" s="367"/>
      <c r="EN47" s="367"/>
      <c r="EO47" s="367"/>
      <c r="EP47" s="367"/>
      <c r="EQ47" s="367"/>
      <c r="ER47" s="367"/>
      <c r="ES47" s="367"/>
      <c r="ET47" s="367"/>
      <c r="EU47" s="367"/>
    </row>
    <row r="48" spans="1:151" ht="43.5" customHeight="1" x14ac:dyDescent="0.3">
      <c r="A48" s="365"/>
      <c r="B48" s="545"/>
      <c r="C48" s="598"/>
      <c r="D48" s="411"/>
      <c r="E48" s="411"/>
      <c r="F48" s="411"/>
      <c r="G48" s="411"/>
      <c r="H48" s="411"/>
      <c r="I48" s="411"/>
      <c r="J48" s="411"/>
      <c r="K48" s="411"/>
      <c r="L48" s="418" t="s">
        <v>66</v>
      </c>
      <c r="M48" s="387">
        <f>+'A4_Detalle Soft&amp;Hard Sub 2 '!D11</f>
        <v>1100</v>
      </c>
      <c r="N48" s="392">
        <v>1</v>
      </c>
      <c r="O48" s="422">
        <f t="shared" si="8"/>
        <v>1100</v>
      </c>
      <c r="P48" s="336"/>
      <c r="Q48" s="421"/>
      <c r="R48" s="421"/>
      <c r="S48" s="421"/>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c r="DJ48" s="367"/>
      <c r="DK48" s="367"/>
      <c r="DL48" s="367"/>
      <c r="DM48" s="367"/>
      <c r="DN48" s="367"/>
      <c r="DO48" s="367"/>
      <c r="DP48" s="367"/>
      <c r="DQ48" s="367"/>
      <c r="DR48" s="367"/>
      <c r="DS48" s="367"/>
      <c r="DT48" s="367"/>
      <c r="DU48" s="367"/>
      <c r="DV48" s="367"/>
      <c r="DW48" s="367"/>
      <c r="DX48" s="367"/>
      <c r="DY48" s="367"/>
      <c r="DZ48" s="367"/>
      <c r="EA48" s="367"/>
      <c r="EB48" s="367"/>
      <c r="EC48" s="367"/>
      <c r="ED48" s="367"/>
      <c r="EE48" s="367"/>
      <c r="EF48" s="367"/>
      <c r="EG48" s="367"/>
      <c r="EH48" s="367"/>
      <c r="EI48" s="367"/>
      <c r="EJ48" s="367"/>
      <c r="EK48" s="367"/>
      <c r="EL48" s="367"/>
      <c r="EM48" s="367"/>
      <c r="EN48" s="367"/>
      <c r="EO48" s="367"/>
      <c r="EP48" s="367"/>
      <c r="EQ48" s="367"/>
      <c r="ER48" s="367"/>
      <c r="ES48" s="367"/>
      <c r="ET48" s="367"/>
      <c r="EU48" s="367"/>
    </row>
    <row r="49" spans="2:21" ht="45" customHeight="1" x14ac:dyDescent="0.3">
      <c r="B49" s="545"/>
      <c r="C49" s="598"/>
      <c r="D49" s="411"/>
      <c r="E49" s="411"/>
      <c r="F49" s="411"/>
      <c r="G49" s="411"/>
      <c r="H49" s="411"/>
      <c r="I49" s="411"/>
      <c r="J49" s="411"/>
      <c r="K49" s="411"/>
      <c r="L49" s="418" t="s">
        <v>67</v>
      </c>
      <c r="M49" s="387">
        <v>10</v>
      </c>
      <c r="N49" s="392">
        <v>350</v>
      </c>
      <c r="O49" s="422">
        <f t="shared" si="8"/>
        <v>3500</v>
      </c>
      <c r="P49" s="336"/>
      <c r="Q49" s="421"/>
      <c r="R49" s="421"/>
      <c r="S49" s="421"/>
      <c r="T49" s="367"/>
      <c r="U49" s="367"/>
    </row>
    <row r="50" spans="2:21" ht="45" customHeight="1" x14ac:dyDescent="0.3">
      <c r="B50" s="545"/>
      <c r="C50" s="599"/>
      <c r="D50" s="411"/>
      <c r="E50" s="411"/>
      <c r="F50" s="411"/>
      <c r="G50" s="411"/>
      <c r="H50" s="411"/>
      <c r="I50" s="411"/>
      <c r="J50" s="411"/>
      <c r="K50" s="411"/>
      <c r="L50" s="418" t="s">
        <v>68</v>
      </c>
      <c r="M50" s="387">
        <f>+'A4_Detalle Soft&amp;Hard Sub 2 '!D13</f>
        <v>1200</v>
      </c>
      <c r="N50" s="392">
        <v>1</v>
      </c>
      <c r="O50" s="422">
        <f t="shared" si="8"/>
        <v>1200</v>
      </c>
      <c r="P50" s="336"/>
      <c r="Q50" s="421"/>
      <c r="R50" s="421"/>
      <c r="S50" s="421"/>
      <c r="T50" s="367"/>
      <c r="U50" s="367"/>
    </row>
    <row r="51" spans="2:21" ht="29.25" customHeight="1" x14ac:dyDescent="0.3">
      <c r="B51" s="549" t="s">
        <v>69</v>
      </c>
      <c r="C51" s="549"/>
      <c r="D51" s="549" t="str">
        <f>+'Plan_Ejecutivo_Plurianual (PEP)'!C11</f>
        <v>Comunicaciones (adquisión de equipos y actualizacion de sistemas)</v>
      </c>
      <c r="E51" s="549"/>
      <c r="F51" s="549"/>
      <c r="G51" s="549">
        <f>E51*F51</f>
        <v>0</v>
      </c>
      <c r="H51" s="549"/>
      <c r="I51" s="549"/>
      <c r="J51" s="549"/>
      <c r="K51" s="549">
        <f t="shared" ref="K51" si="9">I51*J51</f>
        <v>0</v>
      </c>
      <c r="L51" s="549"/>
      <c r="M51" s="549"/>
      <c r="N51" s="549"/>
      <c r="O51" s="549">
        <f t="shared" ref="O51" si="10">M51*N51</f>
        <v>0</v>
      </c>
      <c r="P51" s="549"/>
      <c r="Q51" s="549"/>
      <c r="R51" s="549"/>
      <c r="S51" s="549">
        <f t="shared" ref="S51" si="11">Q51*R51</f>
        <v>0</v>
      </c>
      <c r="T51" s="367"/>
      <c r="U51" s="367"/>
    </row>
    <row r="52" spans="2:21" ht="76.5" customHeight="1" x14ac:dyDescent="0.3">
      <c r="B52" s="545" t="s">
        <v>70</v>
      </c>
      <c r="C52" s="554">
        <f>SUM(O52:O58)</f>
        <v>12400</v>
      </c>
      <c r="D52" s="423"/>
      <c r="E52" s="423"/>
      <c r="F52" s="423"/>
      <c r="G52" s="423"/>
      <c r="H52" s="423"/>
      <c r="I52" s="423"/>
      <c r="J52" s="423"/>
      <c r="K52" s="423"/>
      <c r="L52" s="424" t="s">
        <v>71</v>
      </c>
      <c r="M52" s="387">
        <f>+'A4_Detalle Soft&amp;Hard Sub 2 '!D15</f>
        <v>6000</v>
      </c>
      <c r="N52" s="386">
        <v>1</v>
      </c>
      <c r="O52" s="422">
        <f t="shared" si="8"/>
        <v>6000</v>
      </c>
      <c r="P52" s="341"/>
      <c r="Q52" s="425"/>
      <c r="R52" s="425"/>
      <c r="S52" s="425"/>
      <c r="T52" s="367"/>
      <c r="U52" s="367"/>
    </row>
    <row r="53" spans="2:21" ht="106.5" customHeight="1" x14ac:dyDescent="0.3">
      <c r="B53" s="545"/>
      <c r="C53" s="554"/>
      <c r="D53" s="411"/>
      <c r="E53" s="411"/>
      <c r="F53" s="411"/>
      <c r="G53" s="411"/>
      <c r="H53" s="411"/>
      <c r="I53" s="411"/>
      <c r="J53" s="411"/>
      <c r="K53" s="411"/>
      <c r="L53" s="418" t="s">
        <v>72</v>
      </c>
      <c r="M53" s="387">
        <f>+'A4_Detalle Soft&amp;Hard Sub 2 '!D16</f>
        <v>700</v>
      </c>
      <c r="N53" s="392">
        <v>1</v>
      </c>
      <c r="O53" s="422">
        <f t="shared" si="8"/>
        <v>700</v>
      </c>
      <c r="P53" s="336"/>
      <c r="Q53" s="421"/>
      <c r="R53" s="421"/>
      <c r="S53" s="421"/>
      <c r="T53" s="370"/>
      <c r="U53" s="369"/>
    </row>
    <row r="54" spans="2:21" ht="69.75" customHeight="1" x14ac:dyDescent="0.3">
      <c r="B54" s="545"/>
      <c r="C54" s="554"/>
      <c r="D54" s="411"/>
      <c r="E54" s="411"/>
      <c r="F54" s="411"/>
      <c r="G54" s="411"/>
      <c r="H54" s="411"/>
      <c r="I54" s="411"/>
      <c r="J54" s="411"/>
      <c r="K54" s="411"/>
      <c r="L54" s="418" t="s">
        <v>73</v>
      </c>
      <c r="M54" s="387">
        <f>+'A4_Detalle Soft&amp;Hard Sub 2 '!D17</f>
        <v>750</v>
      </c>
      <c r="N54" s="392">
        <v>1</v>
      </c>
      <c r="O54" s="422">
        <f t="shared" si="8"/>
        <v>750</v>
      </c>
      <c r="P54" s="336"/>
      <c r="Q54" s="421"/>
      <c r="R54" s="421"/>
      <c r="S54" s="421"/>
      <c r="T54" s="367"/>
      <c r="U54" s="367"/>
    </row>
    <row r="55" spans="2:21" ht="120.75" customHeight="1" x14ac:dyDescent="0.3">
      <c r="B55" s="545"/>
      <c r="C55" s="554"/>
      <c r="D55" s="411"/>
      <c r="E55" s="411"/>
      <c r="F55" s="411"/>
      <c r="G55" s="411"/>
      <c r="H55" s="411"/>
      <c r="I55" s="411"/>
      <c r="J55" s="411"/>
      <c r="K55" s="411"/>
      <c r="L55" s="418" t="s">
        <v>74</v>
      </c>
      <c r="M55" s="387">
        <v>40</v>
      </c>
      <c r="N55" s="392">
        <v>10</v>
      </c>
      <c r="O55" s="422">
        <f t="shared" si="8"/>
        <v>400</v>
      </c>
      <c r="P55" s="336"/>
      <c r="Q55" s="421"/>
      <c r="R55" s="421"/>
      <c r="S55" s="421"/>
      <c r="T55" s="370"/>
      <c r="U55" s="367"/>
    </row>
    <row r="56" spans="2:21" ht="106.5" customHeight="1" x14ac:dyDescent="0.3">
      <c r="B56" s="545"/>
      <c r="C56" s="554"/>
      <c r="D56" s="411"/>
      <c r="E56" s="411"/>
      <c r="F56" s="411"/>
      <c r="G56" s="411"/>
      <c r="H56" s="411"/>
      <c r="I56" s="411"/>
      <c r="J56" s="411"/>
      <c r="K56" s="411"/>
      <c r="L56" s="426" t="s">
        <v>75</v>
      </c>
      <c r="M56" s="387">
        <f>+'A4_Detalle Soft&amp;Hard Sub 2 '!D19</f>
        <v>350</v>
      </c>
      <c r="N56" s="392">
        <v>1</v>
      </c>
      <c r="O56" s="422">
        <f>+'A4_Detalle Soft&amp;Hard Sub 2 '!D19</f>
        <v>350</v>
      </c>
      <c r="P56" s="336"/>
      <c r="Q56" s="421"/>
      <c r="R56" s="421"/>
      <c r="S56" s="421"/>
      <c r="T56" s="367"/>
      <c r="U56" s="367"/>
    </row>
    <row r="57" spans="2:21" ht="76.5" customHeight="1" x14ac:dyDescent="0.3">
      <c r="B57" s="545"/>
      <c r="C57" s="554"/>
      <c r="D57" s="411"/>
      <c r="E57" s="411"/>
      <c r="F57" s="411"/>
      <c r="G57" s="411"/>
      <c r="H57" s="411"/>
      <c r="I57" s="411"/>
      <c r="J57" s="411"/>
      <c r="K57" s="411"/>
      <c r="L57" s="426" t="s">
        <v>76</v>
      </c>
      <c r="M57" s="387">
        <f>+'A4_Detalle Soft&amp;Hard Sub 2 '!D20</f>
        <v>3600</v>
      </c>
      <c r="N57" s="392">
        <v>1</v>
      </c>
      <c r="O57" s="422">
        <f>+'A4_Detalle Soft&amp;Hard Sub 2 '!D20</f>
        <v>3600</v>
      </c>
      <c r="P57" s="336"/>
      <c r="Q57" s="421"/>
      <c r="R57" s="421"/>
      <c r="S57" s="421"/>
      <c r="T57" s="367"/>
      <c r="U57" s="367"/>
    </row>
    <row r="58" spans="2:21" ht="129" customHeight="1" x14ac:dyDescent="0.3">
      <c r="B58" s="545"/>
      <c r="C58" s="554"/>
      <c r="D58" s="411"/>
      <c r="E58" s="411"/>
      <c r="F58" s="411"/>
      <c r="G58" s="411"/>
      <c r="H58" s="411"/>
      <c r="I58" s="411"/>
      <c r="J58" s="411"/>
      <c r="K58" s="411"/>
      <c r="L58" s="418" t="s">
        <v>77</v>
      </c>
      <c r="M58" s="387">
        <f>+'A4_Detalle Soft&amp;Hard Sub 2 '!D21</f>
        <v>600</v>
      </c>
      <c r="N58" s="392">
        <v>1</v>
      </c>
      <c r="O58" s="422">
        <f>+'A4_Detalle Soft&amp;Hard Sub 2 '!D21</f>
        <v>600</v>
      </c>
      <c r="P58" s="336"/>
      <c r="Q58" s="421"/>
      <c r="R58" s="421"/>
      <c r="S58" s="421"/>
      <c r="T58" s="367"/>
      <c r="U58" s="367"/>
    </row>
    <row r="59" spans="2:21" ht="29.25" customHeight="1" x14ac:dyDescent="0.3">
      <c r="B59" s="549" t="s">
        <v>78</v>
      </c>
      <c r="C59" s="549"/>
      <c r="D59" s="550" t="str">
        <f>+'Plan_Ejecutivo_Plurianual (PEP)'!C12</f>
        <v>Seguridad Informática (adquisión de equipos y actualización de sistemas)</v>
      </c>
      <c r="E59" s="551"/>
      <c r="F59" s="551"/>
      <c r="G59" s="551"/>
      <c r="H59" s="551"/>
      <c r="I59" s="551"/>
      <c r="J59" s="551"/>
      <c r="K59" s="551"/>
      <c r="L59" s="539"/>
      <c r="M59" s="539"/>
      <c r="N59" s="539"/>
      <c r="O59" s="539"/>
      <c r="P59" s="539"/>
      <c r="Q59" s="539"/>
      <c r="R59" s="539"/>
      <c r="S59" s="540"/>
      <c r="T59" s="367"/>
      <c r="U59" s="367"/>
    </row>
    <row r="60" spans="2:21" ht="104.25" customHeight="1" x14ac:dyDescent="0.3">
      <c r="B60" s="546" t="s">
        <v>79</v>
      </c>
      <c r="C60" s="552">
        <f>SUM(O60:O68)</f>
        <v>14200</v>
      </c>
      <c r="D60" s="411"/>
      <c r="E60" s="411"/>
      <c r="F60" s="411"/>
      <c r="G60" s="411"/>
      <c r="H60" s="411"/>
      <c r="I60" s="411"/>
      <c r="J60" s="411"/>
      <c r="K60" s="411"/>
      <c r="L60" s="426" t="s">
        <v>80</v>
      </c>
      <c r="M60" s="387">
        <f>+'A4_Detalle Soft&amp;Hard Sub 2 '!D23</f>
        <v>2000</v>
      </c>
      <c r="N60" s="392">
        <v>1</v>
      </c>
      <c r="O60" s="422">
        <f t="shared" si="8"/>
        <v>2000</v>
      </c>
      <c r="P60" s="336"/>
      <c r="Q60" s="421"/>
      <c r="R60" s="421"/>
      <c r="S60" s="421"/>
      <c r="T60" s="367"/>
      <c r="U60" s="370"/>
    </row>
    <row r="61" spans="2:21" ht="57" customHeight="1" x14ac:dyDescent="0.3">
      <c r="B61" s="547"/>
      <c r="C61" s="552"/>
      <c r="D61" s="411"/>
      <c r="E61" s="411"/>
      <c r="F61" s="411"/>
      <c r="G61" s="411"/>
      <c r="H61" s="411"/>
      <c r="I61" s="411"/>
      <c r="J61" s="411"/>
      <c r="K61" s="411"/>
      <c r="L61" s="426" t="s">
        <v>81</v>
      </c>
      <c r="M61" s="387">
        <f>+'A4_Detalle Soft&amp;Hard Sub 2 '!D24</f>
        <v>2000</v>
      </c>
      <c r="N61" s="392">
        <v>1</v>
      </c>
      <c r="O61" s="422">
        <f t="shared" si="8"/>
        <v>2000</v>
      </c>
      <c r="P61" s="336"/>
      <c r="Q61" s="421"/>
      <c r="R61" s="421"/>
      <c r="S61" s="421"/>
      <c r="T61" s="367"/>
      <c r="U61" s="367"/>
    </row>
    <row r="62" spans="2:21" ht="58.5" customHeight="1" x14ac:dyDescent="0.3">
      <c r="B62" s="547"/>
      <c r="C62" s="552"/>
      <c r="D62" s="411"/>
      <c r="E62" s="411"/>
      <c r="F62" s="411"/>
      <c r="G62" s="411"/>
      <c r="H62" s="411"/>
      <c r="I62" s="411"/>
      <c r="J62" s="411"/>
      <c r="K62" s="411"/>
      <c r="L62" s="418" t="s">
        <v>82</v>
      </c>
      <c r="M62" s="387">
        <f>+'A4_Detalle Soft&amp;Hard Sub 2 '!D25</f>
        <v>1500</v>
      </c>
      <c r="N62" s="392">
        <v>1</v>
      </c>
      <c r="O62" s="422">
        <f t="shared" si="8"/>
        <v>1500</v>
      </c>
      <c r="P62" s="336"/>
      <c r="Q62" s="421"/>
      <c r="R62" s="421"/>
      <c r="S62" s="421"/>
      <c r="T62" s="367"/>
      <c r="U62" s="367"/>
    </row>
    <row r="63" spans="2:21" ht="69" customHeight="1" x14ac:dyDescent="0.3">
      <c r="B63" s="547"/>
      <c r="C63" s="552"/>
      <c r="D63" s="411"/>
      <c r="E63" s="411"/>
      <c r="F63" s="411"/>
      <c r="G63" s="411"/>
      <c r="H63" s="411"/>
      <c r="I63" s="411"/>
      <c r="J63" s="411"/>
      <c r="K63" s="411"/>
      <c r="L63" s="426" t="s">
        <v>83</v>
      </c>
      <c r="M63" s="387">
        <f>+'A4_Detalle Soft&amp;Hard Sub 2 '!D26</f>
        <v>1500</v>
      </c>
      <c r="N63" s="392">
        <v>1</v>
      </c>
      <c r="O63" s="422">
        <f t="shared" si="8"/>
        <v>1500</v>
      </c>
      <c r="P63" s="336"/>
      <c r="Q63" s="421"/>
      <c r="R63" s="421"/>
      <c r="S63" s="421"/>
      <c r="T63" s="367"/>
      <c r="U63" s="367"/>
    </row>
    <row r="64" spans="2:21" ht="57.6" x14ac:dyDescent="0.3">
      <c r="B64" s="547"/>
      <c r="C64" s="552"/>
      <c r="D64" s="411"/>
      <c r="E64" s="411"/>
      <c r="F64" s="411"/>
      <c r="G64" s="411"/>
      <c r="H64" s="411"/>
      <c r="I64" s="411"/>
      <c r="J64" s="411"/>
      <c r="K64" s="411"/>
      <c r="L64" s="426" t="s">
        <v>84</v>
      </c>
      <c r="M64" s="387">
        <f>+'A4_Detalle Soft&amp;Hard Sub 2 '!D27</f>
        <v>1700</v>
      </c>
      <c r="N64" s="392">
        <v>1</v>
      </c>
      <c r="O64" s="422">
        <f t="shared" si="8"/>
        <v>1700</v>
      </c>
      <c r="P64" s="336"/>
      <c r="Q64" s="421"/>
      <c r="R64" s="421"/>
      <c r="S64" s="421"/>
      <c r="T64" s="367"/>
      <c r="U64" s="367"/>
    </row>
    <row r="65" spans="1:151" ht="72" x14ac:dyDescent="0.3">
      <c r="A65" s="365"/>
      <c r="B65" s="547"/>
      <c r="C65" s="552"/>
      <c r="D65" s="411"/>
      <c r="E65" s="411"/>
      <c r="F65" s="411"/>
      <c r="G65" s="411"/>
      <c r="H65" s="411"/>
      <c r="I65" s="411"/>
      <c r="J65" s="411"/>
      <c r="K65" s="411"/>
      <c r="L65" s="418" t="s">
        <v>85</v>
      </c>
      <c r="M65" s="387">
        <f>+'A4_Detalle Soft&amp;Hard Sub 2 '!D28</f>
        <v>800</v>
      </c>
      <c r="N65" s="392">
        <v>1</v>
      </c>
      <c r="O65" s="422">
        <f t="shared" si="8"/>
        <v>800</v>
      </c>
      <c r="P65" s="336"/>
      <c r="Q65" s="421"/>
      <c r="R65" s="421"/>
      <c r="S65" s="421"/>
      <c r="T65" s="367"/>
      <c r="U65" s="367"/>
      <c r="V65" s="367"/>
      <c r="W65" s="367"/>
      <c r="X65" s="367"/>
      <c r="Y65" s="367"/>
      <c r="Z65" s="367"/>
      <c r="AA65" s="367"/>
      <c r="AB65" s="367"/>
      <c r="AC65" s="367"/>
      <c r="AD65" s="367"/>
      <c r="AE65" s="367"/>
      <c r="AF65" s="367"/>
      <c r="AG65" s="367"/>
      <c r="AH65" s="367"/>
      <c r="AI65" s="367"/>
      <c r="AJ65" s="367"/>
      <c r="AK65" s="367"/>
      <c r="AL65" s="367"/>
      <c r="AM65" s="367"/>
      <c r="AN65" s="367"/>
      <c r="AO65" s="367"/>
      <c r="AP65" s="367"/>
      <c r="AQ65" s="367"/>
      <c r="AR65" s="367"/>
      <c r="AS65" s="367"/>
      <c r="AT65" s="367"/>
      <c r="AU65" s="367"/>
      <c r="AV65" s="367"/>
      <c r="AW65" s="367"/>
      <c r="AX65" s="367"/>
      <c r="AY65" s="367"/>
      <c r="AZ65" s="367"/>
      <c r="BA65" s="367"/>
      <c r="BB65" s="367"/>
      <c r="BC65" s="367"/>
      <c r="BD65" s="367"/>
      <c r="BE65" s="367"/>
      <c r="BF65" s="367"/>
      <c r="BG65" s="367"/>
      <c r="BH65" s="367"/>
      <c r="BI65" s="367"/>
      <c r="BJ65" s="367"/>
      <c r="BK65" s="367"/>
      <c r="BL65" s="367"/>
      <c r="BM65" s="367"/>
      <c r="BN65" s="367"/>
      <c r="BO65" s="367"/>
      <c r="BP65" s="367"/>
      <c r="BQ65" s="367"/>
      <c r="BR65" s="367"/>
      <c r="BS65" s="367"/>
      <c r="BT65" s="367"/>
      <c r="BU65" s="367"/>
      <c r="BV65" s="367"/>
      <c r="BW65" s="367"/>
      <c r="BX65" s="367"/>
      <c r="BY65" s="367"/>
      <c r="BZ65" s="367"/>
      <c r="CA65" s="367"/>
      <c r="CB65" s="367"/>
      <c r="CC65" s="367"/>
      <c r="CD65" s="367"/>
      <c r="CE65" s="367"/>
      <c r="CF65" s="367"/>
      <c r="CG65" s="367"/>
      <c r="CH65" s="367"/>
      <c r="CI65" s="367"/>
      <c r="CJ65" s="367"/>
      <c r="CK65" s="367"/>
      <c r="CL65" s="367"/>
      <c r="CM65" s="367"/>
      <c r="CN65" s="367"/>
      <c r="CO65" s="367"/>
      <c r="CP65" s="367"/>
      <c r="CQ65" s="367"/>
      <c r="CR65" s="367"/>
      <c r="CS65" s="367"/>
      <c r="CT65" s="367"/>
      <c r="CU65" s="367"/>
      <c r="CV65" s="367"/>
      <c r="CW65" s="367"/>
      <c r="CX65" s="367"/>
      <c r="CY65" s="367"/>
      <c r="CZ65" s="367"/>
      <c r="DA65" s="367"/>
      <c r="DB65" s="367"/>
      <c r="DC65" s="367"/>
      <c r="DD65" s="367"/>
      <c r="DE65" s="367"/>
      <c r="DF65" s="367"/>
      <c r="DG65" s="367"/>
      <c r="DH65" s="367"/>
      <c r="DI65" s="367"/>
      <c r="DJ65" s="367"/>
      <c r="DK65" s="367"/>
      <c r="DL65" s="367"/>
      <c r="DM65" s="367"/>
      <c r="DN65" s="367"/>
      <c r="DO65" s="367"/>
      <c r="DP65" s="367"/>
      <c r="DQ65" s="367"/>
      <c r="DR65" s="367"/>
      <c r="DS65" s="367"/>
      <c r="DT65" s="367"/>
      <c r="DU65" s="367"/>
      <c r="DV65" s="367"/>
      <c r="DW65" s="367"/>
      <c r="DX65" s="367"/>
      <c r="DY65" s="367"/>
      <c r="DZ65" s="367"/>
      <c r="EA65" s="367"/>
      <c r="EB65" s="367"/>
      <c r="EC65" s="367"/>
      <c r="ED65" s="367"/>
      <c r="EE65" s="367"/>
      <c r="EF65" s="367"/>
      <c r="EG65" s="367"/>
      <c r="EH65" s="367"/>
      <c r="EI65" s="367"/>
      <c r="EJ65" s="367"/>
      <c r="EK65" s="367"/>
      <c r="EL65" s="367"/>
      <c r="EM65" s="367"/>
      <c r="EN65" s="367"/>
      <c r="EO65" s="367"/>
      <c r="EP65" s="367"/>
      <c r="EQ65" s="367"/>
      <c r="ER65" s="367"/>
      <c r="ES65" s="367"/>
      <c r="ET65" s="367"/>
      <c r="EU65" s="367"/>
    </row>
    <row r="66" spans="1:151" x14ac:dyDescent="0.3">
      <c r="A66" s="365"/>
      <c r="B66" s="547"/>
      <c r="C66" s="552"/>
      <c r="D66" s="411"/>
      <c r="E66" s="411"/>
      <c r="F66" s="411"/>
      <c r="G66" s="411"/>
      <c r="H66" s="411"/>
      <c r="I66" s="411"/>
      <c r="J66" s="411"/>
      <c r="K66" s="411"/>
      <c r="L66" s="418" t="s">
        <v>86</v>
      </c>
      <c r="M66" s="387">
        <f>+'A4_Detalle Soft&amp;Hard Sub 2 '!D29</f>
        <v>3000</v>
      </c>
      <c r="N66" s="427">
        <v>1</v>
      </c>
      <c r="O66" s="422">
        <f t="shared" si="8"/>
        <v>3000</v>
      </c>
      <c r="P66" s="337"/>
      <c r="Q66" s="384"/>
      <c r="R66" s="384"/>
      <c r="S66" s="384"/>
      <c r="T66" s="367"/>
      <c r="U66" s="367"/>
      <c r="V66" s="367"/>
      <c r="W66" s="367"/>
      <c r="X66" s="367"/>
      <c r="Y66" s="367"/>
      <c r="Z66" s="367"/>
      <c r="AA66" s="367"/>
      <c r="AB66" s="367"/>
      <c r="AC66" s="367"/>
      <c r="AD66" s="367"/>
      <c r="AE66" s="367"/>
      <c r="AF66" s="367"/>
      <c r="AG66" s="367"/>
      <c r="AH66" s="367"/>
      <c r="AI66" s="367"/>
      <c r="AJ66" s="367"/>
      <c r="AK66" s="367"/>
      <c r="AL66" s="367"/>
      <c r="AM66" s="367"/>
      <c r="AN66" s="367"/>
      <c r="AO66" s="367"/>
      <c r="AP66" s="367"/>
      <c r="AQ66" s="367"/>
      <c r="AR66" s="367"/>
      <c r="AS66" s="367"/>
      <c r="AT66" s="367"/>
      <c r="AU66" s="367"/>
      <c r="AV66" s="367"/>
      <c r="AW66" s="367"/>
      <c r="AX66" s="367"/>
      <c r="AY66" s="367"/>
      <c r="AZ66" s="367"/>
      <c r="BA66" s="367"/>
      <c r="BB66" s="367"/>
      <c r="BC66" s="367"/>
      <c r="BD66" s="367"/>
      <c r="BE66" s="367"/>
      <c r="BF66" s="367"/>
      <c r="BG66" s="367"/>
      <c r="BH66" s="367"/>
      <c r="BI66" s="367"/>
      <c r="BJ66" s="367"/>
      <c r="BK66" s="367"/>
      <c r="BL66" s="367"/>
      <c r="BM66" s="367"/>
      <c r="BN66" s="367"/>
      <c r="BO66" s="367"/>
      <c r="BP66" s="367"/>
      <c r="BQ66" s="367"/>
      <c r="BR66" s="367"/>
      <c r="BS66" s="367"/>
      <c r="BT66" s="367"/>
      <c r="BU66" s="367"/>
      <c r="BV66" s="367"/>
      <c r="BW66" s="367"/>
      <c r="BX66" s="367"/>
      <c r="BY66" s="367"/>
      <c r="BZ66" s="367"/>
      <c r="CA66" s="367"/>
      <c r="CB66" s="367"/>
      <c r="CC66" s="367"/>
      <c r="CD66" s="367"/>
      <c r="CE66" s="367"/>
      <c r="CF66" s="367"/>
      <c r="CG66" s="367"/>
      <c r="CH66" s="367"/>
      <c r="CI66" s="367"/>
      <c r="CJ66" s="367"/>
      <c r="CK66" s="367"/>
      <c r="CL66" s="367"/>
      <c r="CM66" s="367"/>
      <c r="CN66" s="367"/>
      <c r="CO66" s="367"/>
      <c r="CP66" s="367"/>
      <c r="CQ66" s="367"/>
      <c r="CR66" s="367"/>
      <c r="CS66" s="367"/>
      <c r="CT66" s="367"/>
      <c r="CU66" s="367"/>
      <c r="CV66" s="367"/>
      <c r="CW66" s="367"/>
      <c r="CX66" s="367"/>
      <c r="CY66" s="367"/>
      <c r="CZ66" s="367"/>
      <c r="DA66" s="367"/>
      <c r="DB66" s="367"/>
      <c r="DC66" s="367"/>
      <c r="DD66" s="367"/>
      <c r="DE66" s="367"/>
      <c r="DF66" s="367"/>
      <c r="DG66" s="367"/>
      <c r="DH66" s="367"/>
      <c r="DI66" s="367"/>
      <c r="DJ66" s="367"/>
      <c r="DK66" s="367"/>
      <c r="DL66" s="367"/>
      <c r="DM66" s="367"/>
      <c r="DN66" s="367"/>
      <c r="DO66" s="367"/>
      <c r="DP66" s="367"/>
      <c r="DQ66" s="367"/>
      <c r="DR66" s="367"/>
      <c r="DS66" s="367"/>
      <c r="DT66" s="367"/>
      <c r="DU66" s="367"/>
      <c r="DV66" s="367"/>
      <c r="DW66" s="367"/>
      <c r="DX66" s="367"/>
      <c r="DY66" s="367"/>
      <c r="DZ66" s="367"/>
      <c r="EA66" s="367"/>
      <c r="EB66" s="367"/>
      <c r="EC66" s="367"/>
      <c r="ED66" s="367"/>
      <c r="EE66" s="367"/>
      <c r="EF66" s="367"/>
      <c r="EG66" s="367"/>
      <c r="EH66" s="367"/>
      <c r="EI66" s="367"/>
      <c r="EJ66" s="367"/>
      <c r="EK66" s="367"/>
      <c r="EL66" s="367"/>
      <c r="EM66" s="367"/>
      <c r="EN66" s="367"/>
      <c r="EO66" s="367"/>
      <c r="EP66" s="367"/>
      <c r="EQ66" s="367"/>
      <c r="ER66" s="367"/>
      <c r="ES66" s="367"/>
      <c r="ET66" s="367"/>
      <c r="EU66" s="367"/>
    </row>
    <row r="67" spans="1:151" x14ac:dyDescent="0.3">
      <c r="A67" s="365"/>
      <c r="B67" s="547"/>
      <c r="C67" s="552"/>
      <c r="D67" s="411"/>
      <c r="E67" s="411"/>
      <c r="F67" s="411"/>
      <c r="G67" s="411"/>
      <c r="H67" s="411"/>
      <c r="I67" s="411"/>
      <c r="J67" s="411"/>
      <c r="K67" s="411"/>
      <c r="L67" s="418" t="s">
        <v>87</v>
      </c>
      <c r="M67" s="387">
        <f>+'A4_Detalle Soft&amp;Hard Sub 2 '!D30</f>
        <v>500</v>
      </c>
      <c r="N67" s="427">
        <v>1</v>
      </c>
      <c r="O67" s="422">
        <f t="shared" si="8"/>
        <v>500</v>
      </c>
      <c r="P67" s="337"/>
      <c r="Q67" s="384"/>
      <c r="R67" s="384"/>
      <c r="S67" s="384"/>
      <c r="T67" s="367"/>
      <c r="U67" s="367"/>
      <c r="V67" s="367"/>
      <c r="W67" s="367"/>
      <c r="X67" s="367"/>
      <c r="Y67" s="367"/>
      <c r="Z67" s="367"/>
      <c r="AA67" s="367"/>
      <c r="AB67" s="367"/>
      <c r="AC67" s="367"/>
      <c r="AD67" s="367"/>
      <c r="AE67" s="367"/>
      <c r="AF67" s="367"/>
      <c r="AG67" s="367"/>
      <c r="AH67" s="367"/>
      <c r="AI67" s="367"/>
      <c r="AJ67" s="367"/>
      <c r="AK67" s="367"/>
      <c r="AL67" s="367"/>
      <c r="AM67" s="367"/>
      <c r="AN67" s="367"/>
      <c r="AO67" s="367"/>
      <c r="AP67" s="367"/>
      <c r="AQ67" s="367"/>
      <c r="AR67" s="367"/>
      <c r="AS67" s="367"/>
      <c r="AT67" s="367"/>
      <c r="AU67" s="367"/>
      <c r="AV67" s="367"/>
      <c r="AW67" s="367"/>
      <c r="AX67" s="367"/>
      <c r="AY67" s="367"/>
      <c r="AZ67" s="367"/>
      <c r="BA67" s="367"/>
      <c r="BB67" s="367"/>
      <c r="BC67" s="367"/>
      <c r="BD67" s="367"/>
      <c r="BE67" s="367"/>
      <c r="BF67" s="367"/>
      <c r="BG67" s="367"/>
      <c r="BH67" s="367"/>
      <c r="BI67" s="367"/>
      <c r="BJ67" s="367"/>
      <c r="BK67" s="367"/>
      <c r="BL67" s="367"/>
      <c r="BM67" s="367"/>
      <c r="BN67" s="367"/>
      <c r="BO67" s="367"/>
      <c r="BP67" s="367"/>
      <c r="BQ67" s="367"/>
      <c r="BR67" s="367"/>
      <c r="BS67" s="367"/>
      <c r="BT67" s="367"/>
      <c r="BU67" s="367"/>
      <c r="BV67" s="367"/>
      <c r="BW67" s="367"/>
      <c r="BX67" s="367"/>
      <c r="BY67" s="367"/>
      <c r="BZ67" s="367"/>
      <c r="CA67" s="367"/>
      <c r="CB67" s="367"/>
      <c r="CC67" s="367"/>
      <c r="CD67" s="367"/>
      <c r="CE67" s="367"/>
      <c r="CF67" s="367"/>
      <c r="CG67" s="367"/>
      <c r="CH67" s="367"/>
      <c r="CI67" s="367"/>
      <c r="CJ67" s="367"/>
      <c r="CK67" s="367"/>
      <c r="CL67" s="367"/>
      <c r="CM67" s="367"/>
      <c r="CN67" s="367"/>
      <c r="CO67" s="367"/>
      <c r="CP67" s="367"/>
      <c r="CQ67" s="367"/>
      <c r="CR67" s="367"/>
      <c r="CS67" s="367"/>
      <c r="CT67" s="367"/>
      <c r="CU67" s="367"/>
      <c r="CV67" s="367"/>
      <c r="CW67" s="367"/>
      <c r="CX67" s="367"/>
      <c r="CY67" s="367"/>
      <c r="CZ67" s="367"/>
      <c r="DA67" s="367"/>
      <c r="DB67" s="367"/>
      <c r="DC67" s="367"/>
      <c r="DD67" s="367"/>
      <c r="DE67" s="367"/>
      <c r="DF67" s="367"/>
      <c r="DG67" s="367"/>
      <c r="DH67" s="367"/>
      <c r="DI67" s="367"/>
      <c r="DJ67" s="367"/>
      <c r="DK67" s="367"/>
      <c r="DL67" s="367"/>
      <c r="DM67" s="367"/>
      <c r="DN67" s="367"/>
      <c r="DO67" s="367"/>
      <c r="DP67" s="367"/>
      <c r="DQ67" s="367"/>
      <c r="DR67" s="367"/>
      <c r="DS67" s="367"/>
      <c r="DT67" s="367"/>
      <c r="DU67" s="367"/>
      <c r="DV67" s="367"/>
      <c r="DW67" s="367"/>
      <c r="DX67" s="367"/>
      <c r="DY67" s="367"/>
      <c r="DZ67" s="367"/>
      <c r="EA67" s="367"/>
      <c r="EB67" s="367"/>
      <c r="EC67" s="367"/>
      <c r="ED67" s="367"/>
      <c r="EE67" s="367"/>
      <c r="EF67" s="367"/>
      <c r="EG67" s="367"/>
      <c r="EH67" s="367"/>
      <c r="EI67" s="367"/>
      <c r="EJ67" s="367"/>
      <c r="EK67" s="367"/>
      <c r="EL67" s="367"/>
      <c r="EM67" s="367"/>
      <c r="EN67" s="367"/>
      <c r="EO67" s="367"/>
      <c r="EP67" s="367"/>
      <c r="EQ67" s="367"/>
      <c r="ER67" s="367"/>
      <c r="ES67" s="367"/>
      <c r="ET67" s="367"/>
      <c r="EU67" s="367"/>
    </row>
    <row r="68" spans="1:151" x14ac:dyDescent="0.3">
      <c r="A68" s="365"/>
      <c r="B68" s="548"/>
      <c r="C68" s="553"/>
      <c r="D68" s="411"/>
      <c r="E68" s="411"/>
      <c r="F68" s="411"/>
      <c r="G68" s="411"/>
      <c r="H68" s="411"/>
      <c r="I68" s="411"/>
      <c r="J68" s="411"/>
      <c r="K68" s="411"/>
      <c r="L68" s="428" t="s">
        <v>88</v>
      </c>
      <c r="M68" s="387">
        <f>+'A4_Detalle Soft&amp;Hard Sub 2 '!D31</f>
        <v>1200</v>
      </c>
      <c r="N68" s="427">
        <v>1</v>
      </c>
      <c r="O68" s="422">
        <f t="shared" si="8"/>
        <v>1200</v>
      </c>
      <c r="P68" s="337"/>
      <c r="Q68" s="384"/>
      <c r="R68" s="384"/>
      <c r="S68" s="384"/>
      <c r="T68" s="367"/>
      <c r="U68" s="367"/>
      <c r="V68" s="367"/>
      <c r="W68" s="367"/>
      <c r="X68" s="367"/>
      <c r="Y68" s="367"/>
      <c r="Z68" s="367"/>
      <c r="AA68" s="367"/>
      <c r="AB68" s="367"/>
      <c r="AC68" s="367"/>
      <c r="AD68" s="367"/>
      <c r="AE68" s="367"/>
      <c r="AF68" s="367"/>
      <c r="AG68" s="367"/>
      <c r="AH68" s="367"/>
      <c r="AI68" s="367"/>
      <c r="AJ68" s="367"/>
      <c r="AK68" s="367"/>
      <c r="AL68" s="367"/>
      <c r="AM68" s="367"/>
      <c r="AN68" s="367"/>
      <c r="AO68" s="367"/>
      <c r="AP68" s="367"/>
      <c r="AQ68" s="367"/>
      <c r="AR68" s="367"/>
      <c r="AS68" s="367"/>
      <c r="AT68" s="367"/>
      <c r="AU68" s="367"/>
      <c r="AV68" s="367"/>
      <c r="AW68" s="367"/>
      <c r="AX68" s="367"/>
      <c r="AY68" s="367"/>
      <c r="AZ68" s="367"/>
      <c r="BA68" s="367"/>
      <c r="BB68" s="367"/>
      <c r="BC68" s="367"/>
      <c r="BD68" s="367"/>
      <c r="BE68" s="367"/>
      <c r="BF68" s="367"/>
      <c r="BG68" s="367"/>
      <c r="BH68" s="367"/>
      <c r="BI68" s="367"/>
      <c r="BJ68" s="367"/>
      <c r="BK68" s="367"/>
      <c r="BL68" s="367"/>
      <c r="BM68" s="367"/>
      <c r="BN68" s="367"/>
      <c r="BO68" s="367"/>
      <c r="BP68" s="367"/>
      <c r="BQ68" s="367"/>
      <c r="BR68" s="367"/>
      <c r="BS68" s="367"/>
      <c r="BT68" s="367"/>
      <c r="BU68" s="367"/>
      <c r="BV68" s="367"/>
      <c r="BW68" s="367"/>
      <c r="BX68" s="367"/>
      <c r="BY68" s="367"/>
      <c r="BZ68" s="367"/>
      <c r="CA68" s="367"/>
      <c r="CB68" s="367"/>
      <c r="CC68" s="367"/>
      <c r="CD68" s="367"/>
      <c r="CE68" s="367"/>
      <c r="CF68" s="367"/>
      <c r="CG68" s="367"/>
      <c r="CH68" s="367"/>
      <c r="CI68" s="367"/>
      <c r="CJ68" s="367"/>
      <c r="CK68" s="367"/>
      <c r="CL68" s="367"/>
      <c r="CM68" s="367"/>
      <c r="CN68" s="367"/>
      <c r="CO68" s="367"/>
      <c r="CP68" s="367"/>
      <c r="CQ68" s="367"/>
      <c r="CR68" s="367"/>
      <c r="CS68" s="367"/>
      <c r="CT68" s="367"/>
      <c r="CU68" s="367"/>
      <c r="CV68" s="367"/>
      <c r="CW68" s="367"/>
      <c r="CX68" s="367"/>
      <c r="CY68" s="367"/>
      <c r="CZ68" s="367"/>
      <c r="DA68" s="367"/>
      <c r="DB68" s="367"/>
      <c r="DC68" s="367"/>
      <c r="DD68" s="367"/>
      <c r="DE68" s="367"/>
      <c r="DF68" s="367"/>
      <c r="DG68" s="367"/>
      <c r="DH68" s="367"/>
      <c r="DI68" s="367"/>
      <c r="DJ68" s="367"/>
      <c r="DK68" s="367"/>
      <c r="DL68" s="367"/>
      <c r="DM68" s="367"/>
      <c r="DN68" s="367"/>
      <c r="DO68" s="367"/>
      <c r="DP68" s="367"/>
      <c r="DQ68" s="367"/>
      <c r="DR68" s="367"/>
      <c r="DS68" s="367"/>
      <c r="DT68" s="367"/>
      <c r="DU68" s="367"/>
      <c r="DV68" s="367"/>
      <c r="DW68" s="367"/>
      <c r="DX68" s="367"/>
      <c r="DY68" s="367"/>
      <c r="DZ68" s="367"/>
      <c r="EA68" s="367"/>
      <c r="EB68" s="367"/>
      <c r="EC68" s="367"/>
      <c r="ED68" s="367"/>
      <c r="EE68" s="367"/>
      <c r="EF68" s="367"/>
      <c r="EG68" s="367"/>
      <c r="EH68" s="367"/>
      <c r="EI68" s="367"/>
      <c r="EJ68" s="367"/>
      <c r="EK68" s="367"/>
      <c r="EL68" s="367"/>
      <c r="EM68" s="367"/>
      <c r="EN68" s="367"/>
      <c r="EO68" s="367"/>
      <c r="EP68" s="367"/>
      <c r="EQ68" s="367"/>
      <c r="ER68" s="367"/>
      <c r="ES68" s="367"/>
      <c r="ET68" s="367"/>
      <c r="EU68" s="367"/>
    </row>
    <row r="69" spans="1:151" s="3" customFormat="1" ht="15" customHeight="1" x14ac:dyDescent="0.3">
      <c r="A69" s="10"/>
      <c r="B69" s="533" t="s">
        <v>89</v>
      </c>
      <c r="C69" s="534"/>
      <c r="D69" s="36"/>
      <c r="E69" s="34"/>
      <c r="F69" s="34"/>
      <c r="G69" s="35">
        <f>SUM(G44:G68)</f>
        <v>0</v>
      </c>
      <c r="H69" s="33"/>
      <c r="I69" s="34"/>
      <c r="J69" s="34"/>
      <c r="K69" s="35">
        <f>SUM(K44:K68)</f>
        <v>0</v>
      </c>
      <c r="L69" s="413"/>
      <c r="M69" s="414"/>
      <c r="N69" s="414"/>
      <c r="O69" s="35">
        <f>SUM(O44:O68)</f>
        <v>47600</v>
      </c>
      <c r="P69" s="416"/>
      <c r="Q69" s="414"/>
      <c r="R69" s="414"/>
      <c r="S69" s="35">
        <f>SUM(S44:S68)</f>
        <v>0</v>
      </c>
      <c r="T69" s="370"/>
      <c r="U69" s="367"/>
      <c r="V69" s="367"/>
      <c r="W69" s="367"/>
      <c r="X69" s="367"/>
      <c r="Y69" s="367"/>
      <c r="Z69" s="367"/>
      <c r="AA69" s="367"/>
      <c r="AB69" s="367"/>
      <c r="AC69" s="367"/>
      <c r="AD69" s="367"/>
      <c r="AE69" s="367"/>
      <c r="AF69" s="367"/>
      <c r="AG69" s="367"/>
      <c r="AH69" s="367"/>
      <c r="AI69" s="367"/>
      <c r="AJ69" s="367"/>
      <c r="AK69" s="367"/>
      <c r="AL69" s="367"/>
      <c r="AM69" s="367"/>
      <c r="AN69" s="367"/>
      <c r="AO69" s="367"/>
      <c r="AP69" s="367"/>
      <c r="AQ69" s="367"/>
      <c r="AR69" s="367"/>
      <c r="AS69" s="367"/>
      <c r="AT69" s="367"/>
      <c r="AU69" s="367"/>
      <c r="AV69" s="367"/>
      <c r="AW69" s="367"/>
      <c r="AX69" s="367"/>
      <c r="AY69" s="367"/>
      <c r="AZ69" s="367"/>
      <c r="BA69" s="367"/>
      <c r="BB69" s="367"/>
      <c r="BC69" s="367"/>
      <c r="BD69" s="367"/>
      <c r="BE69" s="367"/>
      <c r="BF69" s="367"/>
      <c r="BG69" s="367"/>
      <c r="BH69" s="367"/>
      <c r="BI69" s="367"/>
      <c r="BJ69" s="367"/>
      <c r="BK69" s="367"/>
      <c r="BL69" s="367"/>
      <c r="BM69" s="367"/>
      <c r="BN69" s="367"/>
      <c r="BO69" s="367"/>
      <c r="BP69" s="367"/>
      <c r="BQ69" s="367"/>
      <c r="BR69" s="367"/>
      <c r="BS69" s="367"/>
      <c r="BT69" s="367"/>
      <c r="BU69" s="367"/>
      <c r="BV69" s="367"/>
      <c r="BW69" s="367"/>
      <c r="BX69" s="367"/>
      <c r="BY69" s="367"/>
      <c r="BZ69" s="367"/>
      <c r="CA69" s="367"/>
      <c r="CB69" s="367"/>
      <c r="CC69" s="367"/>
      <c r="CD69" s="367"/>
      <c r="CE69" s="367"/>
      <c r="CF69" s="367"/>
      <c r="CG69" s="367"/>
      <c r="CH69" s="367"/>
      <c r="CI69" s="367"/>
      <c r="CJ69" s="367"/>
      <c r="CK69" s="367"/>
      <c r="CL69" s="367"/>
      <c r="CM69" s="367"/>
      <c r="CN69" s="367"/>
      <c r="CO69" s="367"/>
      <c r="CP69" s="367"/>
      <c r="CQ69" s="367"/>
      <c r="CR69" s="367"/>
      <c r="CS69" s="367"/>
      <c r="CT69" s="367"/>
      <c r="CU69" s="367"/>
      <c r="CV69" s="367"/>
      <c r="CW69" s="367"/>
      <c r="CX69" s="367"/>
      <c r="CY69" s="367"/>
      <c r="CZ69" s="367"/>
      <c r="DA69" s="367"/>
      <c r="DB69" s="367"/>
      <c r="DC69" s="367"/>
      <c r="DD69" s="367"/>
      <c r="DE69" s="367"/>
      <c r="DF69" s="367"/>
      <c r="DG69" s="367"/>
      <c r="DH69" s="367"/>
      <c r="DI69" s="367"/>
      <c r="DJ69" s="367"/>
      <c r="DK69" s="367"/>
      <c r="DL69" s="367"/>
      <c r="DM69" s="367"/>
      <c r="DN69" s="367"/>
      <c r="DO69" s="367"/>
      <c r="DP69" s="367"/>
      <c r="DQ69" s="367"/>
      <c r="DR69" s="367"/>
      <c r="DS69" s="367"/>
      <c r="DT69" s="367"/>
      <c r="DU69" s="367"/>
      <c r="DV69" s="367"/>
      <c r="DW69" s="367"/>
      <c r="DX69" s="367"/>
      <c r="DY69" s="367"/>
      <c r="DZ69" s="367"/>
      <c r="EA69" s="367"/>
      <c r="EB69" s="367"/>
      <c r="EC69" s="367"/>
      <c r="ED69" s="367"/>
      <c r="EE69" s="367"/>
      <c r="EF69" s="367"/>
      <c r="EG69" s="367"/>
      <c r="EH69" s="367"/>
      <c r="EI69" s="367"/>
      <c r="EJ69" s="367"/>
      <c r="EK69" s="367"/>
      <c r="EL69" s="367"/>
      <c r="EM69" s="367"/>
      <c r="EN69" s="367"/>
      <c r="EO69" s="367"/>
      <c r="EP69" s="367"/>
      <c r="EQ69" s="367"/>
      <c r="ER69" s="367"/>
      <c r="ES69" s="367"/>
      <c r="ET69" s="367"/>
      <c r="EU69" s="367"/>
    </row>
    <row r="70" spans="1:151" ht="30" customHeight="1" x14ac:dyDescent="0.3">
      <c r="A70" s="365"/>
      <c r="B70" s="436" t="s">
        <v>90</v>
      </c>
      <c r="C70" s="429">
        <f>+C72+C74+C77</f>
        <v>9377.8947999999982</v>
      </c>
      <c r="D70" s="535" t="str">
        <f>+'Plan_Ejecutivo_Plurianual (PEP)'!C13</f>
        <v>Mejora de los servicios de atención al contribuyente y del modelo de gestión, de planificación y desarrollo de servicios de las áreas centrales de la AFIP</v>
      </c>
      <c r="E70" s="536"/>
      <c r="F70" s="536"/>
      <c r="G70" s="536"/>
      <c r="H70" s="536"/>
      <c r="I70" s="536"/>
      <c r="J70" s="536"/>
      <c r="K70" s="536"/>
      <c r="L70" s="536"/>
      <c r="M70" s="536"/>
      <c r="N70" s="536"/>
      <c r="O70" s="536"/>
      <c r="P70" s="536"/>
      <c r="Q70" s="536"/>
      <c r="R70" s="536"/>
      <c r="S70" s="537"/>
      <c r="T70" s="367"/>
      <c r="U70" s="367"/>
      <c r="V70" s="367"/>
      <c r="W70" s="367"/>
      <c r="X70" s="367"/>
      <c r="Y70" s="367"/>
      <c r="Z70" s="367"/>
      <c r="AA70" s="367"/>
      <c r="AB70" s="367"/>
      <c r="AC70" s="367"/>
      <c r="AD70" s="367"/>
      <c r="AE70" s="367"/>
      <c r="AF70" s="367"/>
      <c r="AG70" s="367"/>
      <c r="AH70" s="367"/>
      <c r="AI70" s="367"/>
      <c r="AJ70" s="367"/>
      <c r="AK70" s="367"/>
      <c r="AL70" s="367"/>
      <c r="AM70" s="367"/>
      <c r="AN70" s="367"/>
      <c r="AO70" s="367"/>
      <c r="AP70" s="367"/>
      <c r="AQ70" s="367"/>
      <c r="AR70" s="367"/>
      <c r="AS70" s="367"/>
      <c r="AT70" s="367"/>
      <c r="AU70" s="367"/>
      <c r="AV70" s="367"/>
      <c r="AW70" s="367"/>
      <c r="AX70" s="367"/>
      <c r="AY70" s="367"/>
      <c r="AZ70" s="367"/>
      <c r="BA70" s="367"/>
      <c r="BB70" s="367"/>
      <c r="BC70" s="367"/>
      <c r="BD70" s="367"/>
      <c r="BE70" s="367"/>
      <c r="BF70" s="367"/>
      <c r="BG70" s="367"/>
      <c r="BH70" s="367"/>
      <c r="BI70" s="367"/>
      <c r="BJ70" s="367"/>
      <c r="BK70" s="367"/>
      <c r="BL70" s="367"/>
      <c r="BM70" s="367"/>
      <c r="BN70" s="367"/>
      <c r="BO70" s="367"/>
      <c r="BP70" s="367"/>
      <c r="BQ70" s="367"/>
      <c r="BR70" s="367"/>
      <c r="BS70" s="367"/>
      <c r="BT70" s="367"/>
      <c r="BU70" s="367"/>
      <c r="BV70" s="367"/>
      <c r="BW70" s="367"/>
      <c r="BX70" s="367"/>
      <c r="BY70" s="367"/>
      <c r="BZ70" s="367"/>
      <c r="CA70" s="367"/>
      <c r="CB70" s="367"/>
      <c r="CC70" s="367"/>
      <c r="CD70" s="367"/>
      <c r="CE70" s="367"/>
      <c r="CF70" s="367"/>
      <c r="CG70" s="367"/>
      <c r="CH70" s="367"/>
      <c r="CI70" s="367"/>
      <c r="CJ70" s="367"/>
      <c r="CK70" s="367"/>
      <c r="CL70" s="367"/>
      <c r="CM70" s="367"/>
      <c r="CN70" s="367"/>
      <c r="CO70" s="367"/>
      <c r="CP70" s="367"/>
      <c r="CQ70" s="367"/>
      <c r="CR70" s="367"/>
      <c r="CS70" s="367"/>
      <c r="CT70" s="367"/>
      <c r="CU70" s="367"/>
      <c r="CV70" s="367"/>
      <c r="CW70" s="367"/>
      <c r="CX70" s="367"/>
      <c r="CY70" s="367"/>
      <c r="CZ70" s="367"/>
      <c r="DA70" s="367"/>
      <c r="DB70" s="367"/>
      <c r="DC70" s="367"/>
      <c r="DD70" s="367"/>
      <c r="DE70" s="367"/>
      <c r="DF70" s="367"/>
      <c r="DG70" s="367"/>
      <c r="DH70" s="367"/>
      <c r="DI70" s="367"/>
      <c r="DJ70" s="367"/>
      <c r="DK70" s="367"/>
      <c r="DL70" s="367"/>
      <c r="DM70" s="367"/>
      <c r="DN70" s="367"/>
      <c r="DO70" s="367"/>
      <c r="DP70" s="367"/>
      <c r="DQ70" s="367"/>
      <c r="DR70" s="367"/>
      <c r="DS70" s="367"/>
      <c r="DT70" s="367"/>
      <c r="DU70" s="367"/>
      <c r="DV70" s="367"/>
      <c r="DW70" s="367"/>
      <c r="DX70" s="367"/>
      <c r="DY70" s="367"/>
      <c r="DZ70" s="367"/>
      <c r="EA70" s="367"/>
      <c r="EB70" s="367"/>
      <c r="EC70" s="367"/>
      <c r="ED70" s="367"/>
      <c r="EE70" s="367"/>
      <c r="EF70" s="367"/>
      <c r="EG70" s="367"/>
      <c r="EH70" s="367"/>
      <c r="EI70" s="367"/>
      <c r="EJ70" s="367"/>
      <c r="EK70" s="367"/>
      <c r="EL70" s="367"/>
      <c r="EM70" s="367"/>
      <c r="EN70" s="367"/>
      <c r="EO70" s="367"/>
      <c r="EP70" s="367"/>
      <c r="EQ70" s="367"/>
      <c r="ER70" s="367"/>
      <c r="ES70" s="367"/>
      <c r="ET70" s="367"/>
      <c r="EU70" s="367"/>
    </row>
    <row r="71" spans="1:151" x14ac:dyDescent="0.3">
      <c r="A71" s="365"/>
      <c r="B71" s="538" t="s">
        <v>91</v>
      </c>
      <c r="C71" s="540"/>
      <c r="D71" s="538" t="str">
        <f>+'Plan_Ejecutivo_Plurianual (PEP)'!C14</f>
        <v>Mejora normativa, simplificación de procedimientos y cambio de enfoque en la atención (CRM)</v>
      </c>
      <c r="E71" s="539"/>
      <c r="F71" s="539"/>
      <c r="G71" s="539"/>
      <c r="H71" s="539"/>
      <c r="I71" s="539"/>
      <c r="J71" s="539"/>
      <c r="K71" s="539"/>
      <c r="L71" s="539"/>
      <c r="M71" s="539"/>
      <c r="N71" s="539"/>
      <c r="O71" s="539"/>
      <c r="P71" s="539"/>
      <c r="Q71" s="539"/>
      <c r="R71" s="539"/>
      <c r="S71" s="540"/>
      <c r="T71" s="367"/>
      <c r="U71" s="367"/>
      <c r="V71" s="367"/>
      <c r="W71" s="367"/>
      <c r="X71" s="367"/>
      <c r="Y71" s="367"/>
      <c r="Z71" s="367"/>
      <c r="AA71" s="367"/>
      <c r="AB71" s="367"/>
      <c r="AC71" s="367"/>
      <c r="AD71" s="367"/>
      <c r="AE71" s="367"/>
      <c r="AF71" s="367"/>
      <c r="AG71" s="367"/>
      <c r="AH71" s="367"/>
      <c r="AI71" s="367"/>
      <c r="AJ71" s="367"/>
      <c r="AK71" s="367"/>
      <c r="AL71" s="367"/>
      <c r="AM71" s="367"/>
      <c r="AN71" s="367"/>
      <c r="AO71" s="367"/>
      <c r="AP71" s="367"/>
      <c r="AQ71" s="367"/>
      <c r="AR71" s="367"/>
      <c r="AS71" s="367"/>
      <c r="AT71" s="367"/>
      <c r="AU71" s="367"/>
      <c r="AV71" s="367"/>
      <c r="AW71" s="367"/>
      <c r="AX71" s="367"/>
      <c r="AY71" s="367"/>
      <c r="AZ71" s="367"/>
      <c r="BA71" s="367"/>
      <c r="BB71" s="367"/>
      <c r="BC71" s="367"/>
      <c r="BD71" s="367"/>
      <c r="BE71" s="367"/>
      <c r="BF71" s="367"/>
      <c r="BG71" s="367"/>
      <c r="BH71" s="367"/>
      <c r="BI71" s="367"/>
      <c r="BJ71" s="367"/>
      <c r="BK71" s="367"/>
      <c r="BL71" s="367"/>
      <c r="BM71" s="367"/>
      <c r="BN71" s="367"/>
      <c r="BO71" s="367"/>
      <c r="BP71" s="367"/>
      <c r="BQ71" s="367"/>
      <c r="BR71" s="367"/>
      <c r="BS71" s="367"/>
      <c r="BT71" s="367"/>
      <c r="BU71" s="367"/>
      <c r="BV71" s="367"/>
      <c r="BW71" s="367"/>
      <c r="BX71" s="367"/>
      <c r="BY71" s="367"/>
      <c r="BZ71" s="367"/>
      <c r="CA71" s="367"/>
      <c r="CB71" s="367"/>
      <c r="CC71" s="367"/>
      <c r="CD71" s="367"/>
      <c r="CE71" s="367"/>
      <c r="CF71" s="367"/>
      <c r="CG71" s="367"/>
      <c r="CH71" s="367"/>
      <c r="CI71" s="367"/>
      <c r="CJ71" s="367"/>
      <c r="CK71" s="367"/>
      <c r="CL71" s="367"/>
      <c r="CM71" s="367"/>
      <c r="CN71" s="367"/>
      <c r="CO71" s="367"/>
      <c r="CP71" s="367"/>
      <c r="CQ71" s="367"/>
      <c r="CR71" s="367"/>
      <c r="CS71" s="367"/>
      <c r="CT71" s="367"/>
      <c r="CU71" s="367"/>
      <c r="CV71" s="367"/>
      <c r="CW71" s="367"/>
      <c r="CX71" s="367"/>
      <c r="CY71" s="367"/>
      <c r="CZ71" s="367"/>
      <c r="DA71" s="367"/>
      <c r="DB71" s="367"/>
      <c r="DC71" s="367"/>
      <c r="DD71" s="367"/>
      <c r="DE71" s="367"/>
      <c r="DF71" s="367"/>
      <c r="DG71" s="367"/>
      <c r="DH71" s="367"/>
      <c r="DI71" s="367"/>
      <c r="DJ71" s="367"/>
      <c r="DK71" s="367"/>
      <c r="DL71" s="367"/>
      <c r="DM71" s="367"/>
      <c r="DN71" s="367"/>
      <c r="DO71" s="367"/>
      <c r="DP71" s="367"/>
      <c r="DQ71" s="367"/>
      <c r="DR71" s="367"/>
      <c r="DS71" s="367"/>
      <c r="DT71" s="367"/>
      <c r="DU71" s="367"/>
      <c r="DV71" s="367"/>
      <c r="DW71" s="367"/>
      <c r="DX71" s="367"/>
      <c r="DY71" s="367"/>
      <c r="DZ71" s="367"/>
      <c r="EA71" s="367"/>
      <c r="EB71" s="367"/>
      <c r="EC71" s="367"/>
      <c r="ED71" s="367"/>
      <c r="EE71" s="367"/>
      <c r="EF71" s="367"/>
      <c r="EG71" s="367"/>
      <c r="EH71" s="367"/>
      <c r="EI71" s="367"/>
      <c r="EJ71" s="367"/>
      <c r="EK71" s="367"/>
      <c r="EL71" s="367"/>
      <c r="EM71" s="367"/>
      <c r="EN71" s="367"/>
      <c r="EO71" s="367"/>
      <c r="EP71" s="367"/>
      <c r="EQ71" s="367"/>
      <c r="ER71" s="367"/>
      <c r="ES71" s="367"/>
      <c r="ET71" s="367"/>
      <c r="EU71" s="367"/>
    </row>
    <row r="72" spans="1:151" ht="201" customHeight="1" x14ac:dyDescent="0.3">
      <c r="A72" s="365"/>
      <c r="B72" s="430" t="s">
        <v>92</v>
      </c>
      <c r="C72" s="362">
        <f>+G72</f>
        <v>4549.9943999999996</v>
      </c>
      <c r="D72" s="431" t="s">
        <v>93</v>
      </c>
      <c r="E72" s="394">
        <f>+'A2. Consultorias Individuales'!D23</f>
        <v>216.66639999999998</v>
      </c>
      <c r="F72" s="392">
        <f>+'A2. Consultorias Individuales'!C26</f>
        <v>21</v>
      </c>
      <c r="G72" s="394">
        <f>+E72*F72</f>
        <v>4549.9943999999996</v>
      </c>
      <c r="H72" s="409" t="s">
        <v>94</v>
      </c>
      <c r="I72" s="384"/>
      <c r="J72" s="384"/>
      <c r="K72" s="390"/>
      <c r="L72" s="421"/>
      <c r="M72" s="421"/>
      <c r="N72" s="421"/>
      <c r="O72" s="421"/>
      <c r="P72" s="421"/>
      <c r="Q72" s="421"/>
      <c r="R72" s="421"/>
      <c r="S72" s="421"/>
      <c r="T72" s="367"/>
      <c r="U72" s="367"/>
      <c r="V72" s="367"/>
      <c r="W72" s="367"/>
      <c r="X72" s="367"/>
      <c r="Y72" s="367"/>
      <c r="Z72" s="367"/>
      <c r="AA72" s="367"/>
      <c r="AB72" s="367"/>
      <c r="AC72" s="367"/>
      <c r="AD72" s="367"/>
      <c r="AE72" s="367"/>
      <c r="AF72" s="367"/>
      <c r="AG72" s="367"/>
      <c r="AH72" s="367"/>
      <c r="AI72" s="367"/>
      <c r="AJ72" s="367"/>
      <c r="AK72" s="367"/>
      <c r="AL72" s="367"/>
      <c r="AM72" s="367"/>
      <c r="AN72" s="367"/>
      <c r="AO72" s="367"/>
      <c r="AP72" s="367"/>
      <c r="AQ72" s="367"/>
      <c r="AR72" s="367"/>
      <c r="AS72" s="367"/>
      <c r="AT72" s="367"/>
      <c r="AU72" s="367"/>
      <c r="AV72" s="367"/>
      <c r="AW72" s="367"/>
      <c r="AX72" s="367"/>
      <c r="AY72" s="367"/>
      <c r="AZ72" s="367"/>
      <c r="BA72" s="367"/>
      <c r="BB72" s="367"/>
      <c r="BC72" s="367"/>
      <c r="BD72" s="367"/>
      <c r="BE72" s="367"/>
      <c r="BF72" s="367"/>
      <c r="BG72" s="367"/>
      <c r="BH72" s="367"/>
      <c r="BI72" s="367"/>
      <c r="BJ72" s="367"/>
      <c r="BK72" s="367"/>
      <c r="BL72" s="367"/>
      <c r="BM72" s="367"/>
      <c r="BN72" s="367"/>
      <c r="BO72" s="367"/>
      <c r="BP72" s="367"/>
      <c r="BQ72" s="367"/>
      <c r="BR72" s="367"/>
      <c r="BS72" s="367"/>
      <c r="BT72" s="367"/>
      <c r="BU72" s="367"/>
      <c r="BV72" s="367"/>
      <c r="BW72" s="367"/>
      <c r="BX72" s="367"/>
      <c r="BY72" s="367"/>
      <c r="BZ72" s="367"/>
      <c r="CA72" s="367"/>
      <c r="CB72" s="367"/>
      <c r="CC72" s="367"/>
      <c r="CD72" s="367"/>
      <c r="CE72" s="367"/>
      <c r="CF72" s="367"/>
      <c r="CG72" s="367"/>
      <c r="CH72" s="367"/>
      <c r="CI72" s="367"/>
      <c r="CJ72" s="367"/>
      <c r="CK72" s="367"/>
      <c r="CL72" s="367"/>
      <c r="CM72" s="367"/>
      <c r="CN72" s="367"/>
      <c r="CO72" s="367"/>
      <c r="CP72" s="367"/>
      <c r="CQ72" s="367"/>
      <c r="CR72" s="367"/>
      <c r="CS72" s="367"/>
      <c r="CT72" s="367"/>
      <c r="CU72" s="367"/>
      <c r="CV72" s="367"/>
      <c r="CW72" s="367"/>
      <c r="CX72" s="367"/>
      <c r="CY72" s="367"/>
      <c r="CZ72" s="367"/>
      <c r="DA72" s="367"/>
      <c r="DB72" s="367"/>
      <c r="DC72" s="367"/>
      <c r="DD72" s="367"/>
      <c r="DE72" s="367"/>
      <c r="DF72" s="367"/>
      <c r="DG72" s="367"/>
      <c r="DH72" s="367"/>
      <c r="DI72" s="367"/>
      <c r="DJ72" s="367"/>
      <c r="DK72" s="367"/>
      <c r="DL72" s="367"/>
      <c r="DM72" s="367"/>
      <c r="DN72" s="367"/>
      <c r="DO72" s="367"/>
      <c r="DP72" s="367"/>
      <c r="DQ72" s="367"/>
      <c r="DR72" s="367"/>
      <c r="DS72" s="367"/>
      <c r="DT72" s="367"/>
      <c r="DU72" s="367"/>
      <c r="DV72" s="367"/>
      <c r="DW72" s="367"/>
      <c r="DX72" s="367"/>
      <c r="DY72" s="367"/>
      <c r="DZ72" s="367"/>
      <c r="EA72" s="367"/>
      <c r="EB72" s="367"/>
      <c r="EC72" s="367"/>
      <c r="ED72" s="367"/>
      <c r="EE72" s="367"/>
      <c r="EF72" s="367"/>
      <c r="EG72" s="367"/>
      <c r="EH72" s="367"/>
      <c r="EI72" s="367"/>
      <c r="EJ72" s="367"/>
      <c r="EK72" s="367"/>
      <c r="EL72" s="367"/>
      <c r="EM72" s="367"/>
      <c r="EN72" s="367"/>
      <c r="EO72" s="367"/>
      <c r="EP72" s="367"/>
      <c r="EQ72" s="367"/>
      <c r="ER72" s="367"/>
      <c r="ES72" s="367"/>
      <c r="ET72" s="367"/>
      <c r="EU72" s="367"/>
    </row>
    <row r="73" spans="1:151" x14ac:dyDescent="0.3">
      <c r="A73" s="365"/>
      <c r="B73" s="538" t="s">
        <v>95</v>
      </c>
      <c r="C73" s="540"/>
      <c r="D73" s="538" t="str">
        <f>+'Plan_Ejecutivo_Plurianual (PEP)'!C15</f>
        <v>Incorporación de nuevos medios y tecnologías y reorientación del rol de las sucursales/agencias que constituyen el despliegue territorial de la AFIP</v>
      </c>
      <c r="E73" s="539"/>
      <c r="F73" s="539"/>
      <c r="G73" s="539">
        <f t="shared" ref="G73" si="12">E73*F73</f>
        <v>0</v>
      </c>
      <c r="H73" s="539"/>
      <c r="I73" s="539"/>
      <c r="J73" s="539"/>
      <c r="K73" s="539">
        <f t="shared" ref="K73" si="13">I73*J73</f>
        <v>0</v>
      </c>
      <c r="L73" s="539" t="s">
        <v>96</v>
      </c>
      <c r="M73" s="539">
        <v>2000000</v>
      </c>
      <c r="N73" s="539">
        <v>1</v>
      </c>
      <c r="O73" s="539">
        <f t="shared" ref="O73" si="14">M73*N73</f>
        <v>2000000</v>
      </c>
      <c r="P73" s="539"/>
      <c r="Q73" s="539"/>
      <c r="R73" s="539"/>
      <c r="S73" s="540">
        <f t="shared" ref="S73" si="15">Q73*R73</f>
        <v>0</v>
      </c>
      <c r="T73" s="367"/>
      <c r="U73" s="367"/>
      <c r="V73" s="367"/>
      <c r="W73" s="367"/>
      <c r="X73" s="367"/>
      <c r="Y73" s="367"/>
      <c r="Z73" s="367"/>
      <c r="AA73" s="367"/>
      <c r="AB73" s="367"/>
      <c r="AC73" s="367"/>
      <c r="AD73" s="367"/>
      <c r="AE73" s="367"/>
      <c r="AF73" s="367"/>
      <c r="AG73" s="367"/>
      <c r="AH73" s="367"/>
      <c r="AI73" s="367"/>
      <c r="AJ73" s="367"/>
      <c r="AK73" s="367"/>
      <c r="AL73" s="367"/>
      <c r="AM73" s="367"/>
      <c r="AN73" s="367"/>
      <c r="AO73" s="367"/>
      <c r="AP73" s="367"/>
      <c r="AQ73" s="367"/>
      <c r="AR73" s="367"/>
      <c r="AS73" s="367"/>
      <c r="AT73" s="367"/>
      <c r="AU73" s="367"/>
      <c r="AV73" s="367"/>
      <c r="AW73" s="367"/>
      <c r="AX73" s="367"/>
      <c r="AY73" s="367"/>
      <c r="AZ73" s="367"/>
      <c r="BA73" s="367"/>
      <c r="BB73" s="367"/>
      <c r="BC73" s="367"/>
      <c r="BD73" s="367"/>
      <c r="BE73" s="367"/>
      <c r="BF73" s="367"/>
      <c r="BG73" s="367"/>
      <c r="BH73" s="367"/>
      <c r="BI73" s="367"/>
      <c r="BJ73" s="367"/>
      <c r="BK73" s="367"/>
      <c r="BL73" s="367"/>
      <c r="BM73" s="367"/>
      <c r="BN73" s="367"/>
      <c r="BO73" s="367"/>
      <c r="BP73" s="367"/>
      <c r="BQ73" s="367"/>
      <c r="BR73" s="367"/>
      <c r="BS73" s="367"/>
      <c r="BT73" s="367"/>
      <c r="BU73" s="367"/>
      <c r="BV73" s="367"/>
      <c r="BW73" s="367"/>
      <c r="BX73" s="367"/>
      <c r="BY73" s="367"/>
      <c r="BZ73" s="367"/>
      <c r="CA73" s="367"/>
      <c r="CB73" s="367"/>
      <c r="CC73" s="367"/>
      <c r="CD73" s="367"/>
      <c r="CE73" s="367"/>
      <c r="CF73" s="367"/>
      <c r="CG73" s="367"/>
      <c r="CH73" s="367"/>
      <c r="CI73" s="367"/>
      <c r="CJ73" s="367"/>
      <c r="CK73" s="367"/>
      <c r="CL73" s="367"/>
      <c r="CM73" s="367"/>
      <c r="CN73" s="367"/>
      <c r="CO73" s="367"/>
      <c r="CP73" s="367"/>
      <c r="CQ73" s="367"/>
      <c r="CR73" s="367"/>
      <c r="CS73" s="367"/>
      <c r="CT73" s="367"/>
      <c r="CU73" s="367"/>
      <c r="CV73" s="367"/>
      <c r="CW73" s="367"/>
      <c r="CX73" s="367"/>
      <c r="CY73" s="367"/>
      <c r="CZ73" s="367"/>
      <c r="DA73" s="367"/>
      <c r="DB73" s="367"/>
      <c r="DC73" s="367"/>
      <c r="DD73" s="367"/>
      <c r="DE73" s="367"/>
      <c r="DF73" s="367"/>
      <c r="DG73" s="367"/>
      <c r="DH73" s="367"/>
      <c r="DI73" s="367"/>
      <c r="DJ73" s="367"/>
      <c r="DK73" s="367"/>
      <c r="DL73" s="367"/>
      <c r="DM73" s="367"/>
      <c r="DN73" s="367"/>
      <c r="DO73" s="367"/>
      <c r="DP73" s="367"/>
      <c r="DQ73" s="367"/>
      <c r="DR73" s="367"/>
      <c r="DS73" s="367"/>
      <c r="DT73" s="367"/>
      <c r="DU73" s="367"/>
      <c r="DV73" s="367"/>
      <c r="DW73" s="367"/>
      <c r="DX73" s="367"/>
      <c r="DY73" s="367"/>
      <c r="DZ73" s="367"/>
      <c r="EA73" s="367"/>
      <c r="EB73" s="367"/>
      <c r="EC73" s="367"/>
      <c r="ED73" s="367"/>
      <c r="EE73" s="367"/>
      <c r="EF73" s="367"/>
      <c r="EG73" s="367"/>
      <c r="EH73" s="367"/>
      <c r="EI73" s="367"/>
      <c r="EJ73" s="367"/>
      <c r="EK73" s="367"/>
      <c r="EL73" s="367"/>
      <c r="EM73" s="367"/>
      <c r="EN73" s="367"/>
      <c r="EO73" s="367"/>
      <c r="EP73" s="367"/>
      <c r="EQ73" s="367"/>
      <c r="ER73" s="367"/>
      <c r="ES73" s="367"/>
      <c r="ET73" s="367"/>
      <c r="EU73" s="367"/>
    </row>
    <row r="74" spans="1:151" ht="114.75" customHeight="1" x14ac:dyDescent="0.3">
      <c r="A74" s="365"/>
      <c r="B74" s="430" t="s">
        <v>97</v>
      </c>
      <c r="C74" s="541">
        <f>+G74+K75</f>
        <v>2166.6603999999998</v>
      </c>
      <c r="D74" s="431" t="s">
        <v>98</v>
      </c>
      <c r="E74" s="394">
        <f>+'A2. Consultorias Individuales'!D41</f>
        <v>216.66639999999998</v>
      </c>
      <c r="F74" s="392">
        <f>+'A2. Consultorias Individuales'!C41</f>
        <v>1</v>
      </c>
      <c r="G74" s="394">
        <f>+E74*F74</f>
        <v>216.66639999999998</v>
      </c>
      <c r="H74" s="339"/>
      <c r="I74" s="421"/>
      <c r="J74" s="376"/>
      <c r="K74" s="432"/>
      <c r="L74" s="421"/>
      <c r="M74" s="421"/>
      <c r="N74" s="421"/>
      <c r="O74" s="421"/>
      <c r="P74" s="421"/>
      <c r="Q74" s="421"/>
      <c r="R74" s="421"/>
      <c r="S74" s="421"/>
      <c r="T74" s="367"/>
      <c r="U74" s="367"/>
      <c r="V74" s="367"/>
      <c r="W74" s="367"/>
      <c r="X74" s="367"/>
      <c r="Y74" s="367"/>
      <c r="Z74" s="367"/>
      <c r="AA74" s="367"/>
      <c r="AB74" s="367"/>
      <c r="AC74" s="367"/>
      <c r="AD74" s="367"/>
      <c r="AE74" s="367"/>
      <c r="AF74" s="367"/>
      <c r="AG74" s="367"/>
      <c r="AH74" s="367"/>
      <c r="AI74" s="367"/>
      <c r="AJ74" s="367"/>
      <c r="AK74" s="367"/>
      <c r="AL74" s="367"/>
      <c r="AM74" s="367"/>
      <c r="AN74" s="367"/>
      <c r="AO74" s="367"/>
      <c r="AP74" s="367"/>
      <c r="AQ74" s="367"/>
      <c r="AR74" s="367"/>
      <c r="AS74" s="367"/>
      <c r="AT74" s="367"/>
      <c r="AU74" s="367"/>
      <c r="AV74" s="367"/>
      <c r="AW74" s="367"/>
      <c r="AX74" s="367"/>
      <c r="AY74" s="367"/>
      <c r="AZ74" s="367"/>
      <c r="BA74" s="367"/>
      <c r="BB74" s="367"/>
      <c r="BC74" s="367"/>
      <c r="BD74" s="367"/>
      <c r="BE74" s="367"/>
      <c r="BF74" s="367"/>
      <c r="BG74" s="367"/>
      <c r="BH74" s="367"/>
      <c r="BI74" s="367"/>
      <c r="BJ74" s="367"/>
      <c r="BK74" s="367"/>
      <c r="BL74" s="367"/>
      <c r="BM74" s="367"/>
      <c r="BN74" s="367"/>
      <c r="BO74" s="367"/>
      <c r="BP74" s="367"/>
      <c r="BQ74" s="367"/>
      <c r="BR74" s="367"/>
      <c r="BS74" s="367"/>
      <c r="BT74" s="367"/>
      <c r="BU74" s="367"/>
      <c r="BV74" s="367"/>
      <c r="BW74" s="367"/>
      <c r="BX74" s="367"/>
      <c r="BY74" s="367"/>
      <c r="BZ74" s="367"/>
      <c r="CA74" s="367"/>
      <c r="CB74" s="367"/>
      <c r="CC74" s="367"/>
      <c r="CD74" s="367"/>
      <c r="CE74" s="367"/>
      <c r="CF74" s="367"/>
      <c r="CG74" s="367"/>
      <c r="CH74" s="367"/>
      <c r="CI74" s="367"/>
      <c r="CJ74" s="367"/>
      <c r="CK74" s="367"/>
      <c r="CL74" s="367"/>
      <c r="CM74" s="367"/>
      <c r="CN74" s="367"/>
      <c r="CO74" s="367"/>
      <c r="CP74" s="367"/>
      <c r="CQ74" s="367"/>
      <c r="CR74" s="367"/>
      <c r="CS74" s="367"/>
      <c r="CT74" s="367"/>
      <c r="CU74" s="367"/>
      <c r="CV74" s="367"/>
      <c r="CW74" s="367"/>
      <c r="CX74" s="367"/>
      <c r="CY74" s="367"/>
      <c r="CZ74" s="367"/>
      <c r="DA74" s="367"/>
      <c r="DB74" s="367"/>
      <c r="DC74" s="367"/>
      <c r="DD74" s="367"/>
      <c r="DE74" s="367"/>
      <c r="DF74" s="367"/>
      <c r="DG74" s="367"/>
      <c r="DH74" s="367"/>
      <c r="DI74" s="367"/>
      <c r="DJ74" s="367"/>
      <c r="DK74" s="367"/>
      <c r="DL74" s="367"/>
      <c r="DM74" s="367"/>
      <c r="DN74" s="367"/>
      <c r="DO74" s="367"/>
      <c r="DP74" s="367"/>
      <c r="DQ74" s="367"/>
      <c r="DR74" s="367"/>
      <c r="DS74" s="367"/>
      <c r="DT74" s="367"/>
      <c r="DU74" s="367"/>
      <c r="DV74" s="367"/>
      <c r="DW74" s="367"/>
      <c r="DX74" s="367"/>
      <c r="DY74" s="367"/>
      <c r="DZ74" s="367"/>
      <c r="EA74" s="367"/>
      <c r="EB74" s="367"/>
      <c r="EC74" s="367"/>
      <c r="ED74" s="367"/>
      <c r="EE74" s="367"/>
      <c r="EF74" s="367"/>
      <c r="EG74" s="367"/>
      <c r="EH74" s="367"/>
      <c r="EI74" s="367"/>
      <c r="EJ74" s="367"/>
      <c r="EK74" s="367"/>
      <c r="EL74" s="367"/>
      <c r="EM74" s="367"/>
      <c r="EN74" s="367"/>
      <c r="EO74" s="367"/>
      <c r="EP74" s="367"/>
      <c r="EQ74" s="367"/>
      <c r="ER74" s="367"/>
      <c r="ES74" s="367"/>
      <c r="ET74" s="367"/>
      <c r="EU74" s="367"/>
    </row>
    <row r="75" spans="1:151" ht="130.5" customHeight="1" x14ac:dyDescent="0.3">
      <c r="A75" s="365"/>
      <c r="B75" s="430" t="s">
        <v>99</v>
      </c>
      <c r="C75" s="542"/>
      <c r="D75" s="411"/>
      <c r="E75" s="433"/>
      <c r="F75" s="384"/>
      <c r="G75" s="433"/>
      <c r="H75" s="338" t="s">
        <v>100</v>
      </c>
      <c r="I75" s="434">
        <f>+'A1. Firmas Consultoras'!D152</f>
        <v>108.333</v>
      </c>
      <c r="J75" s="392">
        <f>+'A1. Firmas Consultoras'!C155</f>
        <v>18</v>
      </c>
      <c r="K75" s="393">
        <f>+I75*J75</f>
        <v>1949.9939999999999</v>
      </c>
      <c r="L75" s="421"/>
      <c r="M75" s="421"/>
      <c r="N75" s="421"/>
      <c r="O75" s="421"/>
      <c r="P75" s="421"/>
      <c r="Q75" s="421"/>
      <c r="R75" s="421"/>
      <c r="S75" s="421"/>
      <c r="T75" s="367"/>
      <c r="U75" s="367"/>
      <c r="V75" s="367"/>
      <c r="W75" s="367"/>
      <c r="X75" s="367"/>
      <c r="Y75" s="367"/>
      <c r="Z75" s="367"/>
      <c r="AA75" s="367"/>
      <c r="AB75" s="367"/>
      <c r="AC75" s="367"/>
      <c r="AD75" s="367"/>
      <c r="AE75" s="367"/>
      <c r="AF75" s="367"/>
      <c r="AG75" s="367"/>
      <c r="AH75" s="367"/>
      <c r="AI75" s="367"/>
      <c r="AJ75" s="367"/>
      <c r="AK75" s="367"/>
      <c r="AL75" s="367"/>
      <c r="AM75" s="367"/>
      <c r="AN75" s="367"/>
      <c r="AO75" s="367"/>
      <c r="AP75" s="367"/>
      <c r="AQ75" s="367"/>
      <c r="AR75" s="367"/>
      <c r="AS75" s="367"/>
      <c r="AT75" s="367"/>
      <c r="AU75" s="367"/>
      <c r="AV75" s="367"/>
      <c r="AW75" s="367"/>
      <c r="AX75" s="367"/>
      <c r="AY75" s="367"/>
      <c r="AZ75" s="367"/>
      <c r="BA75" s="367"/>
      <c r="BB75" s="367"/>
      <c r="BC75" s="367"/>
      <c r="BD75" s="367"/>
      <c r="BE75" s="367"/>
      <c r="BF75" s="367"/>
      <c r="BG75" s="367"/>
      <c r="BH75" s="367"/>
      <c r="BI75" s="367"/>
      <c r="BJ75" s="367"/>
      <c r="BK75" s="367"/>
      <c r="BL75" s="367"/>
      <c r="BM75" s="367"/>
      <c r="BN75" s="367"/>
      <c r="BO75" s="367"/>
      <c r="BP75" s="367"/>
      <c r="BQ75" s="367"/>
      <c r="BR75" s="367"/>
      <c r="BS75" s="367"/>
      <c r="BT75" s="367"/>
      <c r="BU75" s="367"/>
      <c r="BV75" s="367"/>
      <c r="BW75" s="367"/>
      <c r="BX75" s="367"/>
      <c r="BY75" s="367"/>
      <c r="BZ75" s="367"/>
      <c r="CA75" s="367"/>
      <c r="CB75" s="367"/>
      <c r="CC75" s="367"/>
      <c r="CD75" s="367"/>
      <c r="CE75" s="367"/>
      <c r="CF75" s="367"/>
      <c r="CG75" s="367"/>
      <c r="CH75" s="367"/>
      <c r="CI75" s="367"/>
      <c r="CJ75" s="367"/>
      <c r="CK75" s="367"/>
      <c r="CL75" s="367"/>
      <c r="CM75" s="367"/>
      <c r="CN75" s="367"/>
      <c r="CO75" s="367"/>
      <c r="CP75" s="367"/>
      <c r="CQ75" s="367"/>
      <c r="CR75" s="367"/>
      <c r="CS75" s="367"/>
      <c r="CT75" s="367"/>
      <c r="CU75" s="367"/>
      <c r="CV75" s="367"/>
      <c r="CW75" s="367"/>
      <c r="CX75" s="367"/>
      <c r="CY75" s="367"/>
      <c r="CZ75" s="367"/>
      <c r="DA75" s="367"/>
      <c r="DB75" s="367"/>
      <c r="DC75" s="367"/>
      <c r="DD75" s="367"/>
      <c r="DE75" s="367"/>
      <c r="DF75" s="367"/>
      <c r="DG75" s="367"/>
      <c r="DH75" s="367"/>
      <c r="DI75" s="367"/>
      <c r="DJ75" s="367"/>
      <c r="DK75" s="367"/>
      <c r="DL75" s="367"/>
      <c r="DM75" s="367"/>
      <c r="DN75" s="367"/>
      <c r="DO75" s="367"/>
      <c r="DP75" s="367"/>
      <c r="DQ75" s="367"/>
      <c r="DR75" s="367"/>
      <c r="DS75" s="367"/>
      <c r="DT75" s="367"/>
      <c r="DU75" s="367"/>
      <c r="DV75" s="367"/>
      <c r="DW75" s="367"/>
      <c r="DX75" s="367"/>
      <c r="DY75" s="367"/>
      <c r="DZ75" s="367"/>
      <c r="EA75" s="367"/>
      <c r="EB75" s="367"/>
      <c r="EC75" s="367"/>
      <c r="ED75" s="367"/>
      <c r="EE75" s="367"/>
      <c r="EF75" s="367"/>
      <c r="EG75" s="367"/>
      <c r="EH75" s="367"/>
      <c r="EI75" s="367"/>
      <c r="EJ75" s="367"/>
      <c r="EK75" s="367"/>
      <c r="EL75" s="367"/>
      <c r="EM75" s="367"/>
      <c r="EN75" s="367"/>
      <c r="EO75" s="367"/>
      <c r="EP75" s="367"/>
      <c r="EQ75" s="367"/>
      <c r="ER75" s="367"/>
      <c r="ES75" s="367"/>
      <c r="ET75" s="367"/>
      <c r="EU75" s="367"/>
    </row>
    <row r="76" spans="1:151" x14ac:dyDescent="0.3">
      <c r="A76" s="365"/>
      <c r="B76" s="538" t="s">
        <v>101</v>
      </c>
      <c r="C76" s="540"/>
      <c r="D76" s="538" t="str">
        <f>+'Plan_Ejecutivo_Plurianual (PEP)'!C16</f>
        <v>Nuevo modelo de gestión, planificación y organización</v>
      </c>
      <c r="E76" s="539"/>
      <c r="F76" s="539"/>
      <c r="G76" s="539">
        <f t="shared" ref="G76" si="16">E76*F76</f>
        <v>0</v>
      </c>
      <c r="H76" s="539"/>
      <c r="I76" s="539"/>
      <c r="J76" s="539"/>
      <c r="K76" s="539">
        <f t="shared" ref="K76" si="17">I76*J76</f>
        <v>0</v>
      </c>
      <c r="L76" s="539" t="s">
        <v>96</v>
      </c>
      <c r="M76" s="539">
        <v>2000000</v>
      </c>
      <c r="N76" s="539">
        <v>1</v>
      </c>
      <c r="O76" s="539">
        <f t="shared" ref="O76" si="18">M76*N76</f>
        <v>2000000</v>
      </c>
      <c r="P76" s="539"/>
      <c r="Q76" s="539"/>
      <c r="R76" s="539"/>
      <c r="S76" s="540">
        <f t="shared" ref="S76" si="19">Q76*R76</f>
        <v>0</v>
      </c>
      <c r="T76" s="367"/>
      <c r="U76" s="367"/>
      <c r="V76" s="367"/>
      <c r="W76" s="367"/>
      <c r="X76" s="367"/>
      <c r="Y76" s="367"/>
      <c r="Z76" s="367"/>
      <c r="AA76" s="367"/>
      <c r="AB76" s="367"/>
      <c r="AC76" s="367"/>
      <c r="AD76" s="367"/>
      <c r="AE76" s="367"/>
      <c r="AF76" s="367"/>
      <c r="AG76" s="367"/>
      <c r="AH76" s="367"/>
      <c r="AI76" s="367"/>
      <c r="AJ76" s="367"/>
      <c r="AK76" s="367"/>
      <c r="AL76" s="367"/>
      <c r="AM76" s="367"/>
      <c r="AN76" s="367"/>
      <c r="AO76" s="367"/>
      <c r="AP76" s="367"/>
      <c r="AQ76" s="367"/>
      <c r="AR76" s="367"/>
      <c r="AS76" s="367"/>
      <c r="AT76" s="367"/>
      <c r="AU76" s="367"/>
      <c r="AV76" s="367"/>
      <c r="AW76" s="367"/>
      <c r="AX76" s="367"/>
      <c r="AY76" s="367"/>
      <c r="AZ76" s="367"/>
      <c r="BA76" s="367"/>
      <c r="BB76" s="367"/>
      <c r="BC76" s="367"/>
      <c r="BD76" s="367"/>
      <c r="BE76" s="367"/>
      <c r="BF76" s="367"/>
      <c r="BG76" s="367"/>
      <c r="BH76" s="367"/>
      <c r="BI76" s="367"/>
      <c r="BJ76" s="367"/>
      <c r="BK76" s="367"/>
      <c r="BL76" s="367"/>
      <c r="BM76" s="367"/>
      <c r="BN76" s="367"/>
      <c r="BO76" s="367"/>
      <c r="BP76" s="367"/>
      <c r="BQ76" s="367"/>
      <c r="BR76" s="367"/>
      <c r="BS76" s="367"/>
      <c r="BT76" s="367"/>
      <c r="BU76" s="367"/>
      <c r="BV76" s="367"/>
      <c r="BW76" s="367"/>
      <c r="BX76" s="367"/>
      <c r="BY76" s="367"/>
      <c r="BZ76" s="367"/>
      <c r="CA76" s="367"/>
      <c r="CB76" s="367"/>
      <c r="CC76" s="367"/>
      <c r="CD76" s="367"/>
      <c r="CE76" s="367"/>
      <c r="CF76" s="367"/>
      <c r="CG76" s="367"/>
      <c r="CH76" s="367"/>
      <c r="CI76" s="367"/>
      <c r="CJ76" s="367"/>
      <c r="CK76" s="367"/>
      <c r="CL76" s="367"/>
      <c r="CM76" s="367"/>
      <c r="CN76" s="367"/>
      <c r="CO76" s="367"/>
      <c r="CP76" s="367"/>
      <c r="CQ76" s="367"/>
      <c r="CR76" s="367"/>
      <c r="CS76" s="367"/>
      <c r="CT76" s="367"/>
      <c r="CU76" s="367"/>
      <c r="CV76" s="367"/>
      <c r="CW76" s="367"/>
      <c r="CX76" s="367"/>
      <c r="CY76" s="367"/>
      <c r="CZ76" s="367"/>
      <c r="DA76" s="367"/>
      <c r="DB76" s="367"/>
      <c r="DC76" s="367"/>
      <c r="DD76" s="367"/>
      <c r="DE76" s="367"/>
      <c r="DF76" s="367"/>
      <c r="DG76" s="367"/>
      <c r="DH76" s="367"/>
      <c r="DI76" s="367"/>
      <c r="DJ76" s="367"/>
      <c r="DK76" s="367"/>
      <c r="DL76" s="367"/>
      <c r="DM76" s="367"/>
      <c r="DN76" s="367"/>
      <c r="DO76" s="367"/>
      <c r="DP76" s="367"/>
      <c r="DQ76" s="367"/>
      <c r="DR76" s="367"/>
      <c r="DS76" s="367"/>
      <c r="DT76" s="367"/>
      <c r="DU76" s="367"/>
      <c r="DV76" s="367"/>
      <c r="DW76" s="367"/>
      <c r="DX76" s="367"/>
      <c r="DY76" s="367"/>
      <c r="DZ76" s="367"/>
      <c r="EA76" s="367"/>
      <c r="EB76" s="367"/>
      <c r="EC76" s="367"/>
      <c r="ED76" s="367"/>
      <c r="EE76" s="367"/>
      <c r="EF76" s="367"/>
      <c r="EG76" s="367"/>
      <c r="EH76" s="367"/>
      <c r="EI76" s="367"/>
      <c r="EJ76" s="367"/>
      <c r="EK76" s="367"/>
      <c r="EL76" s="367"/>
      <c r="EM76" s="367"/>
      <c r="EN76" s="367"/>
      <c r="EO76" s="367"/>
      <c r="EP76" s="367"/>
      <c r="EQ76" s="367"/>
      <c r="ER76" s="367"/>
      <c r="ES76" s="367"/>
      <c r="ET76" s="367"/>
      <c r="EU76" s="367"/>
    </row>
    <row r="77" spans="1:151" ht="88.5" customHeight="1" x14ac:dyDescent="0.3">
      <c r="A77" s="365"/>
      <c r="B77" s="579" t="s">
        <v>102</v>
      </c>
      <c r="C77" s="571">
        <f>+K77+K78+G79+G80+G81</f>
        <v>2661.24</v>
      </c>
      <c r="D77" s="433"/>
      <c r="E77" s="433"/>
      <c r="F77" s="433"/>
      <c r="G77" s="433"/>
      <c r="H77" s="543" t="s">
        <v>103</v>
      </c>
      <c r="I77" s="434">
        <f>+'A1. Firmas Consultoras'!K152</f>
        <v>72.16</v>
      </c>
      <c r="J77" s="392">
        <f>+'A1. Firmas Consultoras'!J152</f>
        <v>5</v>
      </c>
      <c r="K77" s="393">
        <f t="shared" ref="K77:K78" si="20">+I77*J77</f>
        <v>360.79999999999995</v>
      </c>
      <c r="L77" s="421"/>
      <c r="M77" s="421"/>
      <c r="N77" s="421"/>
      <c r="O77" s="421"/>
      <c r="P77" s="421"/>
      <c r="Q77" s="421"/>
      <c r="R77" s="421"/>
      <c r="S77" s="421"/>
      <c r="T77" s="367"/>
      <c r="U77" s="367"/>
      <c r="V77" s="367"/>
      <c r="W77" s="367"/>
      <c r="X77" s="367"/>
      <c r="Y77" s="367"/>
      <c r="Z77" s="367"/>
      <c r="AA77" s="367"/>
      <c r="AB77" s="367"/>
      <c r="AC77" s="367"/>
      <c r="AD77" s="367"/>
      <c r="AE77" s="367"/>
      <c r="AF77" s="367"/>
      <c r="AG77" s="367"/>
      <c r="AH77" s="367"/>
      <c r="AI77" s="367"/>
      <c r="AJ77" s="367"/>
      <c r="AK77" s="367"/>
      <c r="AL77" s="367"/>
      <c r="AM77" s="367"/>
      <c r="AN77" s="367"/>
      <c r="AO77" s="367"/>
      <c r="AP77" s="367"/>
      <c r="AQ77" s="367"/>
      <c r="AR77" s="367"/>
      <c r="AS77" s="367"/>
      <c r="AT77" s="367"/>
      <c r="AU77" s="367"/>
      <c r="AV77" s="367"/>
      <c r="AW77" s="367"/>
      <c r="AX77" s="367"/>
      <c r="AY77" s="367"/>
      <c r="AZ77" s="367"/>
      <c r="BA77" s="367"/>
      <c r="BB77" s="367"/>
      <c r="BC77" s="367"/>
      <c r="BD77" s="367"/>
      <c r="BE77" s="367"/>
      <c r="BF77" s="367"/>
      <c r="BG77" s="367"/>
      <c r="BH77" s="367"/>
      <c r="BI77" s="367"/>
      <c r="BJ77" s="367"/>
      <c r="BK77" s="367"/>
      <c r="BL77" s="367"/>
      <c r="BM77" s="367"/>
      <c r="BN77" s="367"/>
      <c r="BO77" s="367"/>
      <c r="BP77" s="367"/>
      <c r="BQ77" s="367"/>
      <c r="BR77" s="367"/>
      <c r="BS77" s="367"/>
      <c r="BT77" s="367"/>
      <c r="BU77" s="367"/>
      <c r="BV77" s="367"/>
      <c r="BW77" s="367"/>
      <c r="BX77" s="367"/>
      <c r="BY77" s="367"/>
      <c r="BZ77" s="367"/>
      <c r="CA77" s="367"/>
      <c r="CB77" s="367"/>
      <c r="CC77" s="367"/>
      <c r="CD77" s="367"/>
      <c r="CE77" s="367"/>
      <c r="CF77" s="367"/>
      <c r="CG77" s="367"/>
      <c r="CH77" s="367"/>
      <c r="CI77" s="367"/>
      <c r="CJ77" s="367"/>
      <c r="CK77" s="367"/>
      <c r="CL77" s="367"/>
      <c r="CM77" s="367"/>
      <c r="CN77" s="367"/>
      <c r="CO77" s="367"/>
      <c r="CP77" s="367"/>
      <c r="CQ77" s="367"/>
      <c r="CR77" s="367"/>
      <c r="CS77" s="367"/>
      <c r="CT77" s="367"/>
      <c r="CU77" s="367"/>
      <c r="CV77" s="367"/>
      <c r="CW77" s="367"/>
      <c r="CX77" s="367"/>
      <c r="CY77" s="367"/>
      <c r="CZ77" s="367"/>
      <c r="DA77" s="367"/>
      <c r="DB77" s="367"/>
      <c r="DC77" s="367"/>
      <c r="DD77" s="367"/>
      <c r="DE77" s="367"/>
      <c r="DF77" s="367"/>
      <c r="DG77" s="367"/>
      <c r="DH77" s="367"/>
      <c r="DI77" s="367"/>
      <c r="DJ77" s="367"/>
      <c r="DK77" s="367"/>
      <c r="DL77" s="367"/>
      <c r="DM77" s="367"/>
      <c r="DN77" s="367"/>
      <c r="DO77" s="367"/>
      <c r="DP77" s="367"/>
      <c r="DQ77" s="367"/>
      <c r="DR77" s="367"/>
      <c r="DS77" s="367"/>
      <c r="DT77" s="367"/>
      <c r="DU77" s="367"/>
      <c r="DV77" s="367"/>
      <c r="DW77" s="367"/>
      <c r="DX77" s="367"/>
      <c r="DY77" s="367"/>
      <c r="DZ77" s="367"/>
      <c r="EA77" s="367"/>
      <c r="EB77" s="367"/>
      <c r="EC77" s="367"/>
      <c r="ED77" s="367"/>
      <c r="EE77" s="367"/>
      <c r="EF77" s="367"/>
      <c r="EG77" s="367"/>
      <c r="EH77" s="367"/>
      <c r="EI77" s="367"/>
      <c r="EJ77" s="367"/>
      <c r="EK77" s="367"/>
      <c r="EL77" s="367"/>
      <c r="EM77" s="367"/>
      <c r="EN77" s="367"/>
      <c r="EO77" s="367"/>
      <c r="EP77" s="367"/>
      <c r="EQ77" s="367"/>
      <c r="ER77" s="367"/>
      <c r="ES77" s="367"/>
      <c r="ET77" s="367"/>
      <c r="EU77" s="367"/>
    </row>
    <row r="78" spans="1:151" ht="86.25" customHeight="1" x14ac:dyDescent="0.3">
      <c r="A78" s="365"/>
      <c r="B78" s="580"/>
      <c r="C78" s="552"/>
      <c r="D78" s="433"/>
      <c r="E78" s="433"/>
      <c r="F78" s="433"/>
      <c r="G78" s="433"/>
      <c r="H78" s="544"/>
      <c r="I78" s="434">
        <f>+'A1. Firmas Consultoras'!K153</f>
        <v>107</v>
      </c>
      <c r="J78" s="392">
        <f>+'A1. Firmas Consultoras'!J153</f>
        <v>8</v>
      </c>
      <c r="K78" s="393">
        <f t="shared" si="20"/>
        <v>856</v>
      </c>
      <c r="L78" s="421"/>
      <c r="M78" s="421"/>
      <c r="N78" s="421"/>
      <c r="O78" s="421"/>
      <c r="P78" s="421"/>
      <c r="Q78" s="421"/>
      <c r="R78" s="421"/>
      <c r="S78" s="421"/>
      <c r="T78" s="367"/>
      <c r="U78" s="367"/>
      <c r="V78" s="367"/>
      <c r="W78" s="367"/>
      <c r="X78" s="367"/>
      <c r="Y78" s="367"/>
      <c r="Z78" s="367"/>
      <c r="AA78" s="367"/>
      <c r="AB78" s="367"/>
      <c r="AC78" s="367"/>
      <c r="AD78" s="367"/>
      <c r="AE78" s="367"/>
      <c r="AF78" s="367"/>
      <c r="AG78" s="367"/>
      <c r="AH78" s="367"/>
      <c r="AI78" s="367"/>
      <c r="AJ78" s="367"/>
      <c r="AK78" s="367"/>
      <c r="AL78" s="367"/>
      <c r="AM78" s="367"/>
      <c r="AN78" s="367"/>
      <c r="AO78" s="367"/>
      <c r="AP78" s="367"/>
      <c r="AQ78" s="367"/>
      <c r="AR78" s="367"/>
      <c r="AS78" s="367"/>
      <c r="AT78" s="367"/>
      <c r="AU78" s="367"/>
      <c r="AV78" s="367"/>
      <c r="AW78" s="367"/>
      <c r="AX78" s="367"/>
      <c r="AY78" s="367"/>
      <c r="AZ78" s="367"/>
      <c r="BA78" s="367"/>
      <c r="BB78" s="367"/>
      <c r="BC78" s="367"/>
      <c r="BD78" s="367"/>
      <c r="BE78" s="367"/>
      <c r="BF78" s="367"/>
      <c r="BG78" s="367"/>
      <c r="BH78" s="367"/>
      <c r="BI78" s="367"/>
      <c r="BJ78" s="367"/>
      <c r="BK78" s="367"/>
      <c r="BL78" s="367"/>
      <c r="BM78" s="367"/>
      <c r="BN78" s="367"/>
      <c r="BO78" s="367"/>
      <c r="BP78" s="367"/>
      <c r="BQ78" s="367"/>
      <c r="BR78" s="367"/>
      <c r="BS78" s="367"/>
      <c r="BT78" s="367"/>
      <c r="BU78" s="367"/>
      <c r="BV78" s="367"/>
      <c r="BW78" s="367"/>
      <c r="BX78" s="367"/>
      <c r="BY78" s="367"/>
      <c r="BZ78" s="367"/>
      <c r="CA78" s="367"/>
      <c r="CB78" s="367"/>
      <c r="CC78" s="367"/>
      <c r="CD78" s="367"/>
      <c r="CE78" s="367"/>
      <c r="CF78" s="367"/>
      <c r="CG78" s="367"/>
      <c r="CH78" s="367"/>
      <c r="CI78" s="367"/>
      <c r="CJ78" s="367"/>
      <c r="CK78" s="367"/>
      <c r="CL78" s="367"/>
      <c r="CM78" s="367"/>
      <c r="CN78" s="367"/>
      <c r="CO78" s="367"/>
      <c r="CP78" s="367"/>
      <c r="CQ78" s="367"/>
      <c r="CR78" s="367"/>
      <c r="CS78" s="367"/>
      <c r="CT78" s="367"/>
      <c r="CU78" s="367"/>
      <c r="CV78" s="367"/>
      <c r="CW78" s="367"/>
      <c r="CX78" s="367"/>
      <c r="CY78" s="367"/>
      <c r="CZ78" s="367"/>
      <c r="DA78" s="367"/>
      <c r="DB78" s="367"/>
      <c r="DC78" s="367"/>
      <c r="DD78" s="367"/>
      <c r="DE78" s="367"/>
      <c r="DF78" s="367"/>
      <c r="DG78" s="367"/>
      <c r="DH78" s="367"/>
      <c r="DI78" s="367"/>
      <c r="DJ78" s="367"/>
      <c r="DK78" s="367"/>
      <c r="DL78" s="367"/>
      <c r="DM78" s="367"/>
      <c r="DN78" s="367"/>
      <c r="DO78" s="367"/>
      <c r="DP78" s="367"/>
      <c r="DQ78" s="367"/>
      <c r="DR78" s="367"/>
      <c r="DS78" s="367"/>
      <c r="DT78" s="367"/>
      <c r="DU78" s="367"/>
      <c r="DV78" s="367"/>
      <c r="DW78" s="367"/>
      <c r="DX78" s="367"/>
      <c r="DY78" s="367"/>
      <c r="DZ78" s="367"/>
      <c r="EA78" s="367"/>
      <c r="EB78" s="367"/>
      <c r="EC78" s="367"/>
      <c r="ED78" s="367"/>
      <c r="EE78" s="367"/>
      <c r="EF78" s="367"/>
      <c r="EG78" s="367"/>
      <c r="EH78" s="367"/>
      <c r="EI78" s="367"/>
      <c r="EJ78" s="367"/>
      <c r="EK78" s="367"/>
      <c r="EL78" s="367"/>
      <c r="EM78" s="367"/>
      <c r="EN78" s="367"/>
      <c r="EO78" s="367"/>
      <c r="EP78" s="367"/>
      <c r="EQ78" s="367"/>
      <c r="ER78" s="367"/>
      <c r="ES78" s="367"/>
      <c r="ET78" s="367"/>
      <c r="EU78" s="367"/>
    </row>
    <row r="79" spans="1:151" ht="138.75" customHeight="1" x14ac:dyDescent="0.3">
      <c r="A79" s="365"/>
      <c r="B79" s="435" t="s">
        <v>104</v>
      </c>
      <c r="C79" s="552"/>
      <c r="D79" s="431" t="s">
        <v>105</v>
      </c>
      <c r="E79" s="434">
        <f>+'A2. Consultorias Individuales'!I24</f>
        <v>72.221999999999994</v>
      </c>
      <c r="F79" s="392">
        <f>+'A2. Consultorias Individuales'!H26</f>
        <v>8</v>
      </c>
      <c r="G79" s="434">
        <f>+E79*F79</f>
        <v>577.77599999999995</v>
      </c>
      <c r="H79" s="421"/>
      <c r="I79" s="421"/>
      <c r="J79" s="421"/>
      <c r="K79" s="421"/>
      <c r="L79" s="421"/>
      <c r="M79" s="421"/>
      <c r="N79" s="421"/>
      <c r="O79" s="421"/>
      <c r="P79" s="421"/>
      <c r="Q79" s="421"/>
      <c r="R79" s="421"/>
      <c r="S79" s="421"/>
      <c r="T79" s="367"/>
      <c r="U79" s="367"/>
      <c r="V79" s="367"/>
      <c r="W79" s="367"/>
      <c r="X79" s="367"/>
      <c r="Y79" s="367"/>
      <c r="Z79" s="367"/>
      <c r="AA79" s="367"/>
      <c r="AB79" s="367"/>
      <c r="AC79" s="367"/>
      <c r="AD79" s="367"/>
      <c r="AE79" s="367"/>
      <c r="AF79" s="367"/>
      <c r="AG79" s="367"/>
      <c r="AH79" s="367"/>
      <c r="AI79" s="367"/>
      <c r="AJ79" s="367"/>
      <c r="AK79" s="367"/>
      <c r="AL79" s="367"/>
      <c r="AM79" s="367"/>
      <c r="AN79" s="367"/>
      <c r="AO79" s="367"/>
      <c r="AP79" s="367"/>
      <c r="AQ79" s="367"/>
      <c r="AR79" s="367"/>
      <c r="AS79" s="367"/>
      <c r="AT79" s="367"/>
      <c r="AU79" s="367"/>
      <c r="AV79" s="367"/>
      <c r="AW79" s="367"/>
      <c r="AX79" s="367"/>
      <c r="AY79" s="367"/>
      <c r="AZ79" s="367"/>
      <c r="BA79" s="367"/>
      <c r="BB79" s="367"/>
      <c r="BC79" s="367"/>
      <c r="BD79" s="367"/>
      <c r="BE79" s="367"/>
      <c r="BF79" s="367"/>
      <c r="BG79" s="367"/>
      <c r="BH79" s="367"/>
      <c r="BI79" s="367"/>
      <c r="BJ79" s="367"/>
      <c r="BK79" s="367"/>
      <c r="BL79" s="367"/>
      <c r="BM79" s="367"/>
      <c r="BN79" s="367"/>
      <c r="BO79" s="367"/>
      <c r="BP79" s="367"/>
      <c r="BQ79" s="367"/>
      <c r="BR79" s="367"/>
      <c r="BS79" s="367"/>
      <c r="BT79" s="367"/>
      <c r="BU79" s="367"/>
      <c r="BV79" s="367"/>
      <c r="BW79" s="367"/>
      <c r="BX79" s="367"/>
      <c r="BY79" s="367"/>
      <c r="BZ79" s="367"/>
      <c r="CA79" s="367"/>
      <c r="CB79" s="367"/>
      <c r="CC79" s="367"/>
      <c r="CD79" s="367"/>
      <c r="CE79" s="367"/>
      <c r="CF79" s="367"/>
      <c r="CG79" s="367"/>
      <c r="CH79" s="367"/>
      <c r="CI79" s="367"/>
      <c r="CJ79" s="367"/>
      <c r="CK79" s="367"/>
      <c r="CL79" s="367"/>
      <c r="CM79" s="367"/>
      <c r="CN79" s="367"/>
      <c r="CO79" s="367"/>
      <c r="CP79" s="367"/>
      <c r="CQ79" s="367"/>
      <c r="CR79" s="367"/>
      <c r="CS79" s="367"/>
      <c r="CT79" s="367"/>
      <c r="CU79" s="367"/>
      <c r="CV79" s="367"/>
      <c r="CW79" s="367"/>
      <c r="CX79" s="367"/>
      <c r="CY79" s="367"/>
      <c r="CZ79" s="367"/>
      <c r="DA79" s="367"/>
      <c r="DB79" s="367"/>
      <c r="DC79" s="367"/>
      <c r="DD79" s="367"/>
      <c r="DE79" s="367"/>
      <c r="DF79" s="367"/>
      <c r="DG79" s="367"/>
      <c r="DH79" s="367"/>
      <c r="DI79" s="367"/>
      <c r="DJ79" s="367"/>
      <c r="DK79" s="367"/>
      <c r="DL79" s="367"/>
      <c r="DM79" s="367"/>
      <c r="DN79" s="367"/>
      <c r="DO79" s="367"/>
      <c r="DP79" s="367"/>
      <c r="DQ79" s="367"/>
      <c r="DR79" s="367"/>
      <c r="DS79" s="367"/>
      <c r="DT79" s="367"/>
      <c r="DU79" s="367"/>
      <c r="DV79" s="367"/>
      <c r="DW79" s="367"/>
      <c r="DX79" s="367"/>
      <c r="DY79" s="367"/>
      <c r="DZ79" s="367"/>
      <c r="EA79" s="367"/>
      <c r="EB79" s="367"/>
      <c r="EC79" s="367"/>
      <c r="ED79" s="367"/>
      <c r="EE79" s="367"/>
      <c r="EF79" s="367"/>
      <c r="EG79" s="367"/>
      <c r="EH79" s="367"/>
      <c r="EI79" s="367"/>
      <c r="EJ79" s="367"/>
      <c r="EK79" s="367"/>
      <c r="EL79" s="367"/>
      <c r="EM79" s="367"/>
      <c r="EN79" s="367"/>
      <c r="EO79" s="367"/>
      <c r="EP79" s="367"/>
      <c r="EQ79" s="367"/>
      <c r="ER79" s="367"/>
      <c r="ES79" s="367"/>
      <c r="ET79" s="367"/>
      <c r="EU79" s="367"/>
    </row>
    <row r="80" spans="1:151" ht="146.25" customHeight="1" x14ac:dyDescent="0.3">
      <c r="A80" s="365"/>
      <c r="B80" s="435" t="s">
        <v>106</v>
      </c>
      <c r="C80" s="552"/>
      <c r="D80" s="431" t="s">
        <v>107</v>
      </c>
      <c r="E80" s="434">
        <f>+'A1. Firmas Consultoras'!K140</f>
        <v>108.333</v>
      </c>
      <c r="F80" s="392">
        <f>+'A1. Firmas Consultoras'!J143</f>
        <v>4</v>
      </c>
      <c r="G80" s="434">
        <f>+F80*E80</f>
        <v>433.33199999999999</v>
      </c>
      <c r="H80" s="421"/>
      <c r="I80" s="421"/>
      <c r="J80" s="421"/>
      <c r="K80" s="421"/>
      <c r="L80" s="421"/>
      <c r="M80" s="421"/>
      <c r="N80" s="421"/>
      <c r="O80" s="421"/>
      <c r="P80" s="421"/>
      <c r="Q80" s="421"/>
      <c r="R80" s="421"/>
      <c r="S80" s="421"/>
      <c r="T80" s="367"/>
      <c r="U80" s="367"/>
      <c r="V80" s="367"/>
      <c r="W80" s="367"/>
      <c r="X80" s="367"/>
      <c r="Y80" s="367"/>
      <c r="Z80" s="367"/>
      <c r="AA80" s="367"/>
      <c r="AB80" s="367"/>
      <c r="AC80" s="367"/>
      <c r="AD80" s="367"/>
      <c r="AE80" s="367"/>
      <c r="AF80" s="367"/>
      <c r="AG80" s="367"/>
      <c r="AH80" s="367"/>
      <c r="AI80" s="367"/>
      <c r="AJ80" s="367"/>
      <c r="AK80" s="367"/>
      <c r="AL80" s="367"/>
      <c r="AM80" s="367"/>
      <c r="AN80" s="367"/>
      <c r="AO80" s="367"/>
      <c r="AP80" s="367"/>
      <c r="AQ80" s="367"/>
      <c r="AR80" s="367"/>
      <c r="AS80" s="367"/>
      <c r="AT80" s="367"/>
      <c r="AU80" s="367"/>
      <c r="AV80" s="367"/>
      <c r="AW80" s="367"/>
      <c r="AX80" s="367"/>
      <c r="AY80" s="367"/>
      <c r="AZ80" s="367"/>
      <c r="BA80" s="367"/>
      <c r="BB80" s="367"/>
      <c r="BC80" s="367"/>
      <c r="BD80" s="367"/>
      <c r="BE80" s="367"/>
      <c r="BF80" s="367"/>
      <c r="BG80" s="367"/>
      <c r="BH80" s="367"/>
      <c r="BI80" s="367"/>
      <c r="BJ80" s="367"/>
      <c r="BK80" s="367"/>
      <c r="BL80" s="367"/>
      <c r="BM80" s="367"/>
      <c r="BN80" s="367"/>
      <c r="BO80" s="367"/>
      <c r="BP80" s="367"/>
      <c r="BQ80" s="367"/>
      <c r="BR80" s="367"/>
      <c r="BS80" s="367"/>
      <c r="BT80" s="367"/>
      <c r="BU80" s="367"/>
      <c r="BV80" s="367"/>
      <c r="BW80" s="367"/>
      <c r="BX80" s="367"/>
      <c r="BY80" s="367"/>
      <c r="BZ80" s="367"/>
      <c r="CA80" s="367"/>
      <c r="CB80" s="367"/>
      <c r="CC80" s="367"/>
      <c r="CD80" s="367"/>
      <c r="CE80" s="367"/>
      <c r="CF80" s="367"/>
      <c r="CG80" s="367"/>
      <c r="CH80" s="367"/>
      <c r="CI80" s="367"/>
      <c r="CJ80" s="367"/>
      <c r="CK80" s="367"/>
      <c r="CL80" s="367"/>
      <c r="CM80" s="367"/>
      <c r="CN80" s="367"/>
      <c r="CO80" s="367"/>
      <c r="CP80" s="367"/>
      <c r="CQ80" s="367"/>
      <c r="CR80" s="367"/>
      <c r="CS80" s="367"/>
      <c r="CT80" s="367"/>
      <c r="CU80" s="367"/>
      <c r="CV80" s="367"/>
      <c r="CW80" s="367"/>
      <c r="CX80" s="367"/>
      <c r="CY80" s="367"/>
      <c r="CZ80" s="367"/>
      <c r="DA80" s="367"/>
      <c r="DB80" s="367"/>
      <c r="DC80" s="367"/>
      <c r="DD80" s="367"/>
      <c r="DE80" s="367"/>
      <c r="DF80" s="367"/>
      <c r="DG80" s="367"/>
      <c r="DH80" s="367"/>
      <c r="DI80" s="367"/>
      <c r="DJ80" s="367"/>
      <c r="DK80" s="367"/>
      <c r="DL80" s="367"/>
      <c r="DM80" s="367"/>
      <c r="DN80" s="367"/>
      <c r="DO80" s="367"/>
      <c r="DP80" s="367"/>
      <c r="DQ80" s="367"/>
      <c r="DR80" s="367"/>
      <c r="DS80" s="367"/>
      <c r="DT80" s="367"/>
      <c r="DU80" s="367"/>
      <c r="DV80" s="367"/>
      <c r="DW80" s="367"/>
      <c r="DX80" s="367"/>
      <c r="DY80" s="367"/>
      <c r="DZ80" s="367"/>
      <c r="EA80" s="367"/>
      <c r="EB80" s="367"/>
      <c r="EC80" s="367"/>
      <c r="ED80" s="367"/>
      <c r="EE80" s="367"/>
      <c r="EF80" s="367"/>
      <c r="EG80" s="367"/>
      <c r="EH80" s="367"/>
      <c r="EI80" s="367"/>
      <c r="EJ80" s="367"/>
      <c r="EK80" s="367"/>
      <c r="EL80" s="367"/>
      <c r="EM80" s="367"/>
      <c r="EN80" s="367"/>
      <c r="EO80" s="367"/>
      <c r="EP80" s="367"/>
      <c r="EQ80" s="367"/>
      <c r="ER80" s="367"/>
      <c r="ES80" s="367"/>
      <c r="ET80" s="367"/>
      <c r="EU80" s="367"/>
    </row>
    <row r="81" spans="2:21" ht="146.25" customHeight="1" x14ac:dyDescent="0.3">
      <c r="B81" s="435" t="s">
        <v>106</v>
      </c>
      <c r="C81" s="552"/>
      <c r="D81" s="431" t="s">
        <v>108</v>
      </c>
      <c r="E81" s="434">
        <f>+'A1. Firmas Consultoras'!D140</f>
        <v>108.333</v>
      </c>
      <c r="F81" s="392">
        <f>+'A1. Firmas Consultoras'!C143</f>
        <v>4</v>
      </c>
      <c r="G81" s="434">
        <f>+F81*E81</f>
        <v>433.33199999999999</v>
      </c>
      <c r="H81" s="421"/>
      <c r="I81" s="421"/>
      <c r="J81" s="421"/>
      <c r="K81" s="421"/>
      <c r="L81" s="421"/>
      <c r="M81" s="421"/>
      <c r="N81" s="421"/>
      <c r="O81" s="421"/>
      <c r="P81" s="421"/>
      <c r="Q81" s="421"/>
      <c r="R81" s="421"/>
      <c r="S81" s="421"/>
      <c r="T81" s="367"/>
      <c r="U81" s="367"/>
    </row>
    <row r="82" spans="2:21" ht="23.25" customHeight="1" x14ac:dyDescent="0.3">
      <c r="B82" s="533" t="s">
        <v>109</v>
      </c>
      <c r="C82" s="534"/>
      <c r="D82" s="413"/>
      <c r="E82" s="414"/>
      <c r="F82" s="414"/>
      <c r="G82" s="415">
        <f>+SUM(G72:G81)</f>
        <v>6211.1008000000002</v>
      </c>
      <c r="H82" s="416"/>
      <c r="I82" s="414"/>
      <c r="J82" s="414"/>
      <c r="K82" s="415">
        <f>+SUM(K72:K81)</f>
        <v>3166.7939999999999</v>
      </c>
      <c r="L82" s="413"/>
      <c r="M82" s="414"/>
      <c r="N82" s="414"/>
      <c r="O82" s="415">
        <v>0</v>
      </c>
      <c r="P82" s="416"/>
      <c r="Q82" s="414"/>
      <c r="R82" s="414"/>
      <c r="S82" s="415">
        <f>+S74+S72</f>
        <v>0</v>
      </c>
      <c r="T82" s="370"/>
      <c r="U82" s="367"/>
    </row>
    <row r="83" spans="2:21" ht="21" customHeight="1" x14ac:dyDescent="0.3">
      <c r="B83" s="533" t="s">
        <v>110</v>
      </c>
      <c r="C83" s="534"/>
      <c r="D83" s="413"/>
      <c r="E83" s="414"/>
      <c r="F83" s="414"/>
      <c r="G83" s="415">
        <f>+G82+G69+G41</f>
        <v>6427.7668000000003</v>
      </c>
      <c r="H83" s="416"/>
      <c r="I83" s="414"/>
      <c r="J83" s="414"/>
      <c r="K83" s="415">
        <f>+K82+K69+K41</f>
        <v>28421.282200000001</v>
      </c>
      <c r="L83" s="413"/>
      <c r="M83" s="414"/>
      <c r="N83" s="414"/>
      <c r="O83" s="415">
        <f>+O82+O69+O41</f>
        <v>70151</v>
      </c>
      <c r="P83" s="416"/>
      <c r="Q83" s="414"/>
      <c r="R83" s="414"/>
      <c r="S83" s="415">
        <f>+S82+S69+S41</f>
        <v>0</v>
      </c>
      <c r="T83" s="370"/>
      <c r="U83" s="370"/>
    </row>
    <row r="84" spans="2:21" ht="29.25" customHeight="1" x14ac:dyDescent="0.3">
      <c r="B84" s="436" t="s">
        <v>111</v>
      </c>
      <c r="C84" s="429">
        <f>SUM(C85:C96)</f>
        <v>5500</v>
      </c>
      <c r="D84" s="531" t="s">
        <v>112</v>
      </c>
      <c r="E84" s="531"/>
      <c r="F84" s="531"/>
      <c r="G84" s="531"/>
      <c r="H84" s="531"/>
      <c r="I84" s="531"/>
      <c r="J84" s="531"/>
      <c r="K84" s="531"/>
      <c r="L84" s="532"/>
      <c r="M84" s="532"/>
      <c r="N84" s="532"/>
      <c r="O84" s="532"/>
      <c r="P84" s="531"/>
      <c r="Q84" s="531"/>
      <c r="R84" s="531"/>
      <c r="S84" s="531"/>
      <c r="T84" s="370"/>
      <c r="U84" s="367"/>
    </row>
    <row r="85" spans="2:21" x14ac:dyDescent="0.3">
      <c r="B85" s="437" t="s">
        <v>113</v>
      </c>
      <c r="C85" s="438">
        <f>G85</f>
        <v>720</v>
      </c>
      <c r="D85" s="439" t="s">
        <v>114</v>
      </c>
      <c r="E85" s="392">
        <f>+'A5_Detalle Administración'!D4*'A5_Detalle Administración'!E4</f>
        <v>144</v>
      </c>
      <c r="F85" s="392">
        <f>+'A5_Detalle Administración'!C4</f>
        <v>5</v>
      </c>
      <c r="G85" s="395">
        <f t="shared" ref="G85:G94" si="21">E85*F85</f>
        <v>720</v>
      </c>
      <c r="H85" s="421"/>
      <c r="I85" s="421"/>
      <c r="J85" s="421"/>
      <c r="K85" s="421"/>
      <c r="L85" s="421"/>
      <c r="M85" s="421"/>
      <c r="N85" s="421"/>
      <c r="O85" s="421"/>
      <c r="P85" s="421"/>
      <c r="Q85" s="421"/>
      <c r="R85" s="421"/>
      <c r="S85" s="421"/>
      <c r="T85" s="367"/>
      <c r="U85" s="370"/>
    </row>
    <row r="86" spans="2:21" x14ac:dyDescent="0.3">
      <c r="B86" s="437" t="s">
        <v>115</v>
      </c>
      <c r="C86" s="438">
        <f>G86</f>
        <v>576</v>
      </c>
      <c r="D86" s="396" t="s">
        <v>116</v>
      </c>
      <c r="E86" s="392">
        <f>+'A5_Detalle Administración'!D5*'A5_Detalle Administración'!E5</f>
        <v>144</v>
      </c>
      <c r="F86" s="392">
        <f>+'A5_Detalle Administración'!C5</f>
        <v>4</v>
      </c>
      <c r="G86" s="395">
        <f>E86*F86</f>
        <v>576</v>
      </c>
      <c r="H86" s="421"/>
      <c r="I86" s="421"/>
      <c r="J86" s="421"/>
      <c r="K86" s="421"/>
      <c r="L86" s="421"/>
      <c r="M86" s="421"/>
      <c r="N86" s="421"/>
      <c r="O86" s="421"/>
      <c r="P86" s="421"/>
      <c r="Q86" s="421"/>
      <c r="R86" s="421"/>
      <c r="S86" s="421"/>
      <c r="T86" s="367"/>
      <c r="U86" s="367"/>
    </row>
    <row r="87" spans="2:21" x14ac:dyDescent="0.3">
      <c r="B87" s="437" t="s">
        <v>117</v>
      </c>
      <c r="C87" s="438">
        <f>G87</f>
        <v>72</v>
      </c>
      <c r="D87" s="396" t="s">
        <v>118</v>
      </c>
      <c r="E87" s="392">
        <f>+'A5_Detalle Administración'!D6*'A5_Detalle Administración'!E6</f>
        <v>18</v>
      </c>
      <c r="F87" s="392">
        <f>+'A5_Detalle Administración'!C6</f>
        <v>4</v>
      </c>
      <c r="G87" s="395">
        <f t="shared" si="21"/>
        <v>72</v>
      </c>
      <c r="H87" s="421"/>
      <c r="I87" s="421"/>
      <c r="J87" s="421"/>
      <c r="K87" s="421"/>
      <c r="L87" s="421"/>
      <c r="M87" s="421"/>
      <c r="N87" s="421"/>
      <c r="O87" s="421"/>
      <c r="P87" s="421"/>
      <c r="Q87" s="421"/>
      <c r="R87" s="421"/>
      <c r="S87" s="421"/>
      <c r="T87" s="367"/>
      <c r="U87" s="370"/>
    </row>
    <row r="88" spans="2:21" x14ac:dyDescent="0.3">
      <c r="B88" s="572" t="s">
        <v>119</v>
      </c>
      <c r="C88" s="575">
        <f>SUM(G88:G92)</f>
        <v>384</v>
      </c>
      <c r="D88" s="396" t="s">
        <v>120</v>
      </c>
      <c r="E88" s="392">
        <f>+'A5_Detalle Administración'!D8*'A5_Detalle Administración'!E8</f>
        <v>18</v>
      </c>
      <c r="F88" s="392">
        <f>+'A5_Detalle Administración'!C8</f>
        <v>4</v>
      </c>
      <c r="G88" s="395">
        <f t="shared" si="21"/>
        <v>72</v>
      </c>
      <c r="H88" s="421"/>
      <c r="I88" s="421"/>
      <c r="J88" s="421"/>
      <c r="K88" s="421"/>
      <c r="L88" s="421"/>
      <c r="M88" s="421"/>
      <c r="N88" s="421"/>
      <c r="O88" s="421"/>
      <c r="P88" s="421"/>
      <c r="Q88" s="421"/>
      <c r="R88" s="421"/>
      <c r="S88" s="421"/>
      <c r="T88" s="367"/>
      <c r="U88" s="367"/>
    </row>
    <row r="89" spans="2:21" x14ac:dyDescent="0.3">
      <c r="B89" s="573"/>
      <c r="C89" s="576"/>
      <c r="D89" s="396" t="s">
        <v>121</v>
      </c>
      <c r="E89" s="392">
        <f>+'A5_Detalle Administración'!D9*'A5_Detalle Administración'!E9</f>
        <v>18</v>
      </c>
      <c r="F89" s="392">
        <f>+'A5_Detalle Administración'!C9</f>
        <v>4</v>
      </c>
      <c r="G89" s="395">
        <f t="shared" si="21"/>
        <v>72</v>
      </c>
      <c r="H89" s="421"/>
      <c r="I89" s="421"/>
      <c r="J89" s="421"/>
      <c r="K89" s="421"/>
      <c r="L89" s="421"/>
      <c r="M89" s="421"/>
      <c r="N89" s="421"/>
      <c r="O89" s="421"/>
      <c r="P89" s="421"/>
      <c r="Q89" s="421"/>
      <c r="R89" s="421"/>
      <c r="S89" s="421"/>
      <c r="T89" s="367"/>
      <c r="U89" s="367"/>
    </row>
    <row r="90" spans="2:21" x14ac:dyDescent="0.3">
      <c r="B90" s="573"/>
      <c r="C90" s="577"/>
      <c r="D90" s="396" t="s">
        <v>122</v>
      </c>
      <c r="E90" s="392">
        <f>+'A5_Detalle Administración'!D10*'A5_Detalle Administración'!E10</f>
        <v>24</v>
      </c>
      <c r="F90" s="392">
        <f>+'A5_Detalle Administración'!C10</f>
        <v>4</v>
      </c>
      <c r="G90" s="395">
        <f t="shared" si="21"/>
        <v>96</v>
      </c>
      <c r="H90" s="421"/>
      <c r="I90" s="421"/>
      <c r="J90" s="421"/>
      <c r="K90" s="421"/>
      <c r="L90" s="421"/>
      <c r="M90" s="421"/>
      <c r="N90" s="421"/>
      <c r="O90" s="421"/>
      <c r="P90" s="421"/>
      <c r="Q90" s="421"/>
      <c r="R90" s="421"/>
      <c r="S90" s="421"/>
      <c r="T90" s="367"/>
      <c r="U90" s="367"/>
    </row>
    <row r="91" spans="2:21" ht="15" customHeight="1" x14ac:dyDescent="0.3">
      <c r="B91" s="573"/>
      <c r="C91" s="577"/>
      <c r="D91" s="396" t="s">
        <v>123</v>
      </c>
      <c r="E91" s="392">
        <f>+'A5_Detalle Administración'!D11*'A5_Detalle Administración'!E11</f>
        <v>18</v>
      </c>
      <c r="F91" s="392">
        <f>+'A5_Detalle Administración'!C11</f>
        <v>4</v>
      </c>
      <c r="G91" s="395">
        <f t="shared" si="21"/>
        <v>72</v>
      </c>
      <c r="H91" s="421"/>
      <c r="I91" s="421"/>
      <c r="J91" s="421"/>
      <c r="K91" s="421"/>
      <c r="L91" s="421"/>
      <c r="M91" s="421"/>
      <c r="N91" s="421"/>
      <c r="O91" s="421"/>
      <c r="P91" s="421"/>
      <c r="Q91" s="421"/>
      <c r="R91" s="421"/>
      <c r="S91" s="421"/>
      <c r="T91" s="367"/>
      <c r="U91" s="367"/>
    </row>
    <row r="92" spans="2:21" x14ac:dyDescent="0.3">
      <c r="B92" s="574"/>
      <c r="C92" s="578"/>
      <c r="D92" s="396" t="s">
        <v>124</v>
      </c>
      <c r="E92" s="392">
        <f>+'A5_Detalle Administración'!D12*'A5_Detalle Administración'!E12</f>
        <v>18</v>
      </c>
      <c r="F92" s="392">
        <f>+'A5_Detalle Administración'!C12</f>
        <v>4</v>
      </c>
      <c r="G92" s="395">
        <f t="shared" si="21"/>
        <v>72</v>
      </c>
      <c r="H92" s="421"/>
      <c r="I92" s="421"/>
      <c r="J92" s="421"/>
      <c r="K92" s="421"/>
      <c r="L92" s="421"/>
      <c r="M92" s="421"/>
      <c r="N92" s="421"/>
      <c r="O92" s="421"/>
      <c r="P92" s="421"/>
      <c r="Q92" s="421"/>
      <c r="R92" s="421"/>
      <c r="S92" s="421"/>
      <c r="T92" s="367"/>
      <c r="U92" s="367"/>
    </row>
    <row r="93" spans="2:21" x14ac:dyDescent="0.3">
      <c r="B93" s="437" t="s">
        <v>125</v>
      </c>
      <c r="C93" s="438">
        <f>G93</f>
        <v>144</v>
      </c>
      <c r="D93" s="396"/>
      <c r="E93" s="392">
        <f>+'A5_Detalle Administración'!D13*'A5_Detalle Administración'!E13</f>
        <v>36</v>
      </c>
      <c r="F93" s="392">
        <f>+'A5_Detalle Administración'!C13</f>
        <v>4</v>
      </c>
      <c r="G93" s="395">
        <f t="shared" si="21"/>
        <v>144</v>
      </c>
      <c r="H93" s="421"/>
      <c r="I93" s="421"/>
      <c r="J93" s="421"/>
      <c r="K93" s="421"/>
      <c r="L93" s="421"/>
      <c r="M93" s="421"/>
      <c r="N93" s="421"/>
      <c r="O93" s="421"/>
      <c r="P93" s="421"/>
      <c r="Q93" s="421"/>
      <c r="R93" s="421"/>
      <c r="S93" s="421"/>
      <c r="T93" s="367"/>
      <c r="U93" s="367"/>
    </row>
    <row r="94" spans="2:21" x14ac:dyDescent="0.3">
      <c r="B94" s="437" t="s">
        <v>126</v>
      </c>
      <c r="C94" s="438">
        <f>G94</f>
        <v>576</v>
      </c>
      <c r="D94" s="396"/>
      <c r="E94" s="392">
        <f>+'A5_Detalle Administración'!D14*'A5_Detalle Administración'!E14</f>
        <v>144</v>
      </c>
      <c r="F94" s="392">
        <f>+'A5_Detalle Administración'!C14</f>
        <v>4</v>
      </c>
      <c r="G94" s="395">
        <f t="shared" si="21"/>
        <v>576</v>
      </c>
      <c r="H94" s="421"/>
      <c r="I94" s="421"/>
      <c r="J94" s="421"/>
      <c r="K94" s="421"/>
      <c r="L94" s="421"/>
      <c r="M94" s="421"/>
      <c r="N94" s="421"/>
      <c r="O94" s="421"/>
      <c r="P94" s="421"/>
      <c r="Q94" s="421"/>
      <c r="R94" s="421"/>
      <c r="S94" s="421"/>
      <c r="T94" s="367"/>
      <c r="U94" s="367"/>
    </row>
    <row r="95" spans="2:21" ht="28.8" x14ac:dyDescent="0.3">
      <c r="B95" s="437" t="s">
        <v>127</v>
      </c>
      <c r="C95" s="438">
        <f>G95</f>
        <v>576</v>
      </c>
      <c r="D95" s="396"/>
      <c r="E95" s="392">
        <f>+'A5_Detalle Administración'!D15*'A5_Detalle Administración'!E15</f>
        <v>144</v>
      </c>
      <c r="F95" s="392">
        <f>+'A5_Detalle Administración'!C15</f>
        <v>4</v>
      </c>
      <c r="G95" s="395">
        <f>E95*F95</f>
        <v>576</v>
      </c>
      <c r="H95" s="421"/>
      <c r="I95" s="421"/>
      <c r="J95" s="421"/>
      <c r="K95" s="421"/>
      <c r="L95" s="421"/>
      <c r="M95" s="421"/>
      <c r="N95" s="421"/>
      <c r="O95" s="421"/>
      <c r="P95" s="421"/>
      <c r="Q95" s="421"/>
      <c r="R95" s="421"/>
      <c r="S95" s="421"/>
      <c r="T95" s="367"/>
      <c r="U95" s="367"/>
    </row>
    <row r="96" spans="2:21" ht="18" customHeight="1" x14ac:dyDescent="0.3">
      <c r="B96" s="440" t="s">
        <v>128</v>
      </c>
      <c r="C96" s="438">
        <f>G96</f>
        <v>2452</v>
      </c>
      <c r="D96" s="396"/>
      <c r="E96" s="392">
        <f>+'A5_Detalle Administración'!F16</f>
        <v>2452</v>
      </c>
      <c r="F96" s="392">
        <v>1</v>
      </c>
      <c r="G96" s="395">
        <f>+E96*F96</f>
        <v>2452</v>
      </c>
      <c r="H96" s="421"/>
      <c r="I96" s="421"/>
      <c r="J96" s="421"/>
      <c r="K96" s="421"/>
      <c r="L96" s="421"/>
      <c r="M96" s="421"/>
      <c r="N96" s="421"/>
      <c r="O96" s="421"/>
      <c r="P96" s="421"/>
      <c r="Q96" s="421"/>
      <c r="R96" s="421"/>
      <c r="S96" s="421"/>
      <c r="T96" s="367"/>
      <c r="U96" s="367"/>
    </row>
    <row r="97" spans="2:20" ht="21" customHeight="1" x14ac:dyDescent="0.3">
      <c r="B97" s="533" t="s">
        <v>129</v>
      </c>
      <c r="C97" s="534"/>
      <c r="D97" s="413"/>
      <c r="E97" s="414"/>
      <c r="F97" s="414"/>
      <c r="G97" s="415">
        <f>SUM(G85:G96)</f>
        <v>5500</v>
      </c>
      <c r="H97" s="416"/>
      <c r="I97" s="414"/>
      <c r="J97" s="414"/>
      <c r="K97" s="415">
        <f>SUM(K85:K95)</f>
        <v>0</v>
      </c>
      <c r="L97" s="36"/>
      <c r="M97" s="34"/>
      <c r="N97" s="34"/>
      <c r="O97" s="35">
        <f>SUM(O85:O95)</f>
        <v>0</v>
      </c>
      <c r="P97" s="416"/>
      <c r="Q97" s="414"/>
      <c r="R97" s="414"/>
      <c r="S97" s="415">
        <f>SUM(S85:S95)</f>
        <v>0</v>
      </c>
      <c r="T97" s="370"/>
    </row>
    <row r="98" spans="2:20" x14ac:dyDescent="0.3">
      <c r="B98" s="24"/>
      <c r="C98" s="441"/>
      <c r="D98" s="442"/>
      <c r="E98" s="442"/>
      <c r="F98" s="367"/>
      <c r="G98" s="25"/>
      <c r="H98" s="367"/>
      <c r="I98" s="367"/>
      <c r="J98" s="367"/>
      <c r="K98" s="367"/>
      <c r="L98" s="367"/>
      <c r="M98" s="367"/>
      <c r="N98" s="367"/>
      <c r="O98" s="367"/>
      <c r="P98" s="367"/>
      <c r="Q98" s="367"/>
      <c r="R98" s="367"/>
      <c r="S98" s="367"/>
      <c r="T98" s="370"/>
    </row>
    <row r="99" spans="2:20" ht="39.75" customHeight="1" x14ac:dyDescent="0.4">
      <c r="B99" s="443" t="s">
        <v>130</v>
      </c>
      <c r="C99" s="444">
        <f>+Resumen!C15</f>
        <v>93260.851667768598</v>
      </c>
      <c r="D99" s="445"/>
      <c r="E99" s="442"/>
      <c r="F99" s="367"/>
      <c r="G99" s="367"/>
      <c r="H99" s="367"/>
      <c r="I99" s="367"/>
      <c r="J99" s="367"/>
      <c r="K99" s="367"/>
      <c r="L99" s="367"/>
      <c r="M99" s="367"/>
      <c r="N99" s="367"/>
      <c r="O99" s="367"/>
      <c r="P99" s="367"/>
      <c r="Q99" s="367"/>
      <c r="R99" s="367"/>
      <c r="S99" s="367"/>
      <c r="T99" s="367"/>
    </row>
    <row r="100" spans="2:20" ht="37.5" customHeight="1" x14ac:dyDescent="0.4">
      <c r="B100" s="443" t="s">
        <v>131</v>
      </c>
      <c r="C100" s="444">
        <f>+Resumen!C14</f>
        <v>17239.197332231404</v>
      </c>
      <c r="D100" s="442"/>
      <c r="E100" s="442"/>
      <c r="F100" s="367"/>
      <c r="G100" s="367"/>
      <c r="H100" s="367"/>
      <c r="I100" s="367"/>
      <c r="J100" s="367"/>
      <c r="K100" s="367"/>
      <c r="L100" s="367"/>
      <c r="M100" s="367"/>
      <c r="N100" s="367"/>
      <c r="O100" s="367"/>
      <c r="P100" s="367"/>
      <c r="Q100" s="367"/>
      <c r="R100" s="367"/>
      <c r="S100" s="367"/>
      <c r="T100" s="367"/>
    </row>
    <row r="101" spans="2:20" ht="27.75" customHeight="1" x14ac:dyDescent="0.3">
      <c r="B101" s="24" t="s">
        <v>132</v>
      </c>
      <c r="C101" s="441"/>
      <c r="D101" s="442"/>
      <c r="E101" s="442"/>
      <c r="F101" s="367"/>
      <c r="G101" s="367"/>
      <c r="H101" s="367"/>
      <c r="I101" s="367"/>
      <c r="J101" s="367"/>
      <c r="K101" s="367"/>
      <c r="L101" s="367"/>
      <c r="M101" s="367"/>
      <c r="N101" s="367"/>
      <c r="O101" s="367"/>
      <c r="P101" s="367"/>
      <c r="Q101" s="367"/>
      <c r="R101" s="367"/>
      <c r="S101" s="367"/>
      <c r="T101" s="367"/>
    </row>
    <row r="102" spans="2:20" x14ac:dyDescent="0.3">
      <c r="B102" s="442"/>
      <c r="C102" s="446"/>
      <c r="D102" s="442"/>
      <c r="E102" s="442"/>
      <c r="F102" s="367"/>
      <c r="G102" s="367"/>
      <c r="H102" s="367"/>
      <c r="I102" s="367"/>
      <c r="J102" s="367"/>
      <c r="K102" s="367"/>
      <c r="L102" s="367"/>
      <c r="M102" s="367"/>
      <c r="N102" s="367"/>
      <c r="O102" s="367"/>
      <c r="P102" s="367"/>
      <c r="Q102" s="367"/>
      <c r="R102" s="367"/>
      <c r="S102" s="367"/>
      <c r="T102" s="367"/>
    </row>
    <row r="103" spans="2:20" x14ac:dyDescent="0.3">
      <c r="B103" s="442"/>
      <c r="C103" s="441"/>
      <c r="D103" s="442"/>
      <c r="E103" s="442"/>
      <c r="F103" s="367"/>
      <c r="G103" s="367"/>
      <c r="H103" s="367"/>
      <c r="I103" s="367"/>
      <c r="J103" s="367"/>
      <c r="K103" s="367"/>
      <c r="L103" s="367"/>
      <c r="M103" s="367"/>
      <c r="N103" s="367"/>
      <c r="O103" s="367"/>
      <c r="P103" s="367"/>
      <c r="Q103" s="367"/>
      <c r="R103" s="367"/>
      <c r="S103" s="367"/>
      <c r="T103" s="367"/>
    </row>
    <row r="104" spans="2:20" x14ac:dyDescent="0.3">
      <c r="B104" s="442"/>
      <c r="C104" s="441"/>
      <c r="D104" s="442"/>
      <c r="E104" s="442"/>
      <c r="F104" s="367"/>
      <c r="G104" s="367"/>
      <c r="H104" s="367"/>
      <c r="I104" s="367"/>
      <c r="J104" s="367"/>
      <c r="K104" s="367"/>
      <c r="L104" s="367"/>
      <c r="M104" s="367"/>
      <c r="N104" s="367"/>
      <c r="O104" s="367"/>
      <c r="P104" s="367"/>
      <c r="Q104" s="367"/>
      <c r="R104" s="367"/>
      <c r="S104" s="367"/>
      <c r="T104" s="367"/>
    </row>
    <row r="105" spans="2:20" x14ac:dyDescent="0.3">
      <c r="B105" s="442"/>
      <c r="C105" s="441"/>
      <c r="D105" s="442"/>
      <c r="E105" s="442"/>
      <c r="F105" s="367"/>
      <c r="G105" s="367"/>
      <c r="H105" s="367"/>
      <c r="I105" s="367"/>
      <c r="J105" s="367"/>
      <c r="K105" s="367"/>
      <c r="L105" s="367"/>
      <c r="M105" s="367"/>
      <c r="N105" s="367"/>
      <c r="O105" s="367"/>
      <c r="P105" s="367"/>
      <c r="Q105" s="367"/>
      <c r="R105" s="367"/>
      <c r="S105" s="367"/>
      <c r="T105" s="367"/>
    </row>
    <row r="106" spans="2:20" x14ac:dyDescent="0.3">
      <c r="B106" s="442"/>
      <c r="C106" s="441"/>
      <c r="D106" s="442"/>
      <c r="E106" s="442"/>
      <c r="F106" s="367"/>
      <c r="G106" s="367"/>
      <c r="H106" s="367"/>
      <c r="I106" s="367"/>
      <c r="J106" s="367"/>
      <c r="K106" s="367"/>
      <c r="L106" s="367"/>
      <c r="M106" s="367"/>
      <c r="N106" s="367"/>
      <c r="O106" s="367"/>
      <c r="P106" s="367"/>
      <c r="Q106" s="367"/>
      <c r="R106" s="367"/>
      <c r="S106" s="367"/>
      <c r="T106" s="367"/>
    </row>
    <row r="107" spans="2:20" x14ac:dyDescent="0.3">
      <c r="B107" s="442"/>
      <c r="C107" s="441"/>
      <c r="D107" s="442"/>
      <c r="E107" s="442"/>
      <c r="F107" s="367"/>
      <c r="G107" s="367"/>
      <c r="H107" s="367"/>
      <c r="I107" s="367"/>
      <c r="J107" s="367"/>
      <c r="K107" s="367"/>
      <c r="L107" s="367"/>
      <c r="M107" s="367"/>
      <c r="N107" s="367"/>
      <c r="O107" s="367"/>
      <c r="P107" s="367"/>
      <c r="Q107" s="367"/>
      <c r="R107" s="367"/>
      <c r="S107" s="367"/>
      <c r="T107" s="367"/>
    </row>
    <row r="108" spans="2:20" x14ac:dyDescent="0.3">
      <c r="B108" s="442"/>
      <c r="C108" s="441"/>
      <c r="D108" s="442"/>
      <c r="E108" s="442"/>
      <c r="F108" s="367"/>
      <c r="G108" s="367"/>
      <c r="H108" s="367"/>
      <c r="I108" s="367"/>
      <c r="J108" s="367"/>
      <c r="K108" s="367"/>
      <c r="L108" s="367"/>
      <c r="M108" s="367"/>
      <c r="N108" s="367"/>
      <c r="O108" s="367"/>
      <c r="P108" s="367"/>
      <c r="Q108" s="367"/>
      <c r="R108" s="367"/>
      <c r="S108" s="367"/>
      <c r="T108" s="367"/>
    </row>
    <row r="109" spans="2:20" x14ac:dyDescent="0.3">
      <c r="B109" s="442"/>
      <c r="C109" s="441"/>
      <c r="D109" s="442"/>
      <c r="E109" s="442"/>
      <c r="F109" s="367"/>
      <c r="G109" s="367"/>
      <c r="H109" s="367"/>
      <c r="I109" s="367"/>
      <c r="J109" s="367"/>
      <c r="K109" s="367"/>
      <c r="L109" s="367"/>
      <c r="M109" s="367"/>
      <c r="N109" s="367"/>
      <c r="O109" s="367"/>
      <c r="P109" s="367"/>
      <c r="Q109" s="367"/>
      <c r="R109" s="367"/>
      <c r="S109" s="367"/>
      <c r="T109" s="367"/>
    </row>
    <row r="110" spans="2:20" x14ac:dyDescent="0.3">
      <c r="B110" s="442"/>
      <c r="C110" s="441"/>
      <c r="D110" s="442"/>
      <c r="E110" s="442"/>
      <c r="F110" s="367"/>
      <c r="G110" s="367"/>
      <c r="H110" s="367"/>
      <c r="I110" s="367"/>
      <c r="J110" s="367"/>
      <c r="K110" s="367"/>
      <c r="L110" s="367"/>
      <c r="M110" s="367"/>
      <c r="N110" s="367"/>
      <c r="O110" s="367"/>
      <c r="P110" s="367"/>
      <c r="Q110" s="367"/>
      <c r="R110" s="367"/>
      <c r="S110" s="367"/>
      <c r="T110" s="367"/>
    </row>
    <row r="111" spans="2:20" x14ac:dyDescent="0.3">
      <c r="B111" s="442"/>
      <c r="C111" s="441"/>
      <c r="D111" s="442"/>
      <c r="E111" s="442"/>
      <c r="F111" s="367"/>
      <c r="G111" s="367"/>
      <c r="H111" s="367"/>
      <c r="I111" s="367"/>
      <c r="J111" s="367"/>
      <c r="K111" s="367"/>
      <c r="L111" s="367"/>
      <c r="M111" s="367"/>
      <c r="N111" s="367"/>
      <c r="O111" s="367"/>
      <c r="P111" s="367"/>
      <c r="Q111" s="367"/>
      <c r="R111" s="367"/>
      <c r="S111" s="367"/>
      <c r="T111" s="367"/>
    </row>
    <row r="112" spans="2:20" x14ac:dyDescent="0.3">
      <c r="B112" s="442"/>
      <c r="C112" s="441"/>
      <c r="D112" s="442"/>
      <c r="E112" s="442"/>
      <c r="F112" s="367"/>
      <c r="G112" s="367"/>
      <c r="H112" s="367"/>
      <c r="I112" s="367"/>
      <c r="J112" s="367"/>
      <c r="K112" s="367"/>
      <c r="L112" s="367"/>
      <c r="M112" s="367"/>
      <c r="N112" s="367"/>
      <c r="O112" s="367"/>
      <c r="P112" s="367"/>
      <c r="Q112" s="367"/>
      <c r="R112" s="367"/>
      <c r="S112" s="367"/>
      <c r="T112" s="367"/>
    </row>
    <row r="113" spans="2:5" x14ac:dyDescent="0.3">
      <c r="B113" s="442"/>
      <c r="C113" s="441"/>
      <c r="D113" s="442"/>
      <c r="E113" s="442"/>
    </row>
    <row r="114" spans="2:5" x14ac:dyDescent="0.3">
      <c r="B114" s="442"/>
      <c r="C114" s="441"/>
      <c r="D114" s="442"/>
      <c r="E114" s="442"/>
    </row>
    <row r="115" spans="2:5" x14ac:dyDescent="0.3">
      <c r="B115" s="442"/>
      <c r="C115" s="441"/>
      <c r="D115" s="442"/>
      <c r="E115" s="442"/>
    </row>
    <row r="116" spans="2:5" x14ac:dyDescent="0.3">
      <c r="B116" s="442"/>
      <c r="C116" s="441"/>
      <c r="D116" s="442"/>
      <c r="E116" s="442"/>
    </row>
    <row r="117" spans="2:5" x14ac:dyDescent="0.3">
      <c r="B117" s="442"/>
      <c r="C117" s="441"/>
      <c r="D117" s="442"/>
      <c r="E117" s="442"/>
    </row>
  </sheetData>
  <mergeCells count="66">
    <mergeCell ref="C44:C50"/>
    <mergeCell ref="B59:C59"/>
    <mergeCell ref="B5:C6"/>
    <mergeCell ref="B83:C83"/>
    <mergeCell ref="B34:C34"/>
    <mergeCell ref="B43:C43"/>
    <mergeCell ref="B26:B27"/>
    <mergeCell ref="D8:S8"/>
    <mergeCell ref="D25:S25"/>
    <mergeCell ref="C9:C24"/>
    <mergeCell ref="D73:S73"/>
    <mergeCell ref="B76:C76"/>
    <mergeCell ref="D43:S43"/>
    <mergeCell ref="B14:B15"/>
    <mergeCell ref="H16:H17"/>
    <mergeCell ref="H18:H19"/>
    <mergeCell ref="B16:B21"/>
    <mergeCell ref="B22:B23"/>
    <mergeCell ref="B9:B13"/>
    <mergeCell ref="M9:M10"/>
    <mergeCell ref="O9:O10"/>
    <mergeCell ref="B8:C8"/>
    <mergeCell ref="B25:C25"/>
    <mergeCell ref="D4:S4"/>
    <mergeCell ref="H5:K5"/>
    <mergeCell ref="L5:O5"/>
    <mergeCell ref="D7:S7"/>
    <mergeCell ref="D5:G5"/>
    <mergeCell ref="P5:S5"/>
    <mergeCell ref="B97:C97"/>
    <mergeCell ref="B88:B92"/>
    <mergeCell ref="C88:C92"/>
    <mergeCell ref="B69:C69"/>
    <mergeCell ref="B82:C82"/>
    <mergeCell ref="B71:C71"/>
    <mergeCell ref="B73:C73"/>
    <mergeCell ref="B77:B78"/>
    <mergeCell ref="C77:C81"/>
    <mergeCell ref="P9:P13"/>
    <mergeCell ref="D34:S34"/>
    <mergeCell ref="C35:C40"/>
    <mergeCell ref="N9:N10"/>
    <mergeCell ref="M11:M12"/>
    <mergeCell ref="N11:N12"/>
    <mergeCell ref="O11:O12"/>
    <mergeCell ref="H22:H23"/>
    <mergeCell ref="H26:H27"/>
    <mergeCell ref="C26:C33"/>
    <mergeCell ref="H28:H29"/>
    <mergeCell ref="H30:H31"/>
    <mergeCell ref="D84:S84"/>
    <mergeCell ref="B41:C41"/>
    <mergeCell ref="D42:S42"/>
    <mergeCell ref="D70:S70"/>
    <mergeCell ref="D76:S76"/>
    <mergeCell ref="C74:C75"/>
    <mergeCell ref="D71:S71"/>
    <mergeCell ref="H77:H78"/>
    <mergeCell ref="B44:B50"/>
    <mergeCell ref="B52:B58"/>
    <mergeCell ref="B60:B68"/>
    <mergeCell ref="D51:S51"/>
    <mergeCell ref="D59:S59"/>
    <mergeCell ref="B51:C51"/>
    <mergeCell ref="C60:C68"/>
    <mergeCell ref="C52:C58"/>
  </mergeCells>
  <pageMargins left="0.7" right="0.7" top="0.75" bottom="0.75" header="0.3" footer="0.3"/>
  <pageSetup orientation="landscape" horizontalDpi="4294967294" verticalDpi="4294967293"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I21"/>
  <sheetViews>
    <sheetView workbookViewId="0">
      <selection activeCell="F11" sqref="F11"/>
    </sheetView>
  </sheetViews>
  <sheetFormatPr defaultColWidth="11" defaultRowHeight="15.6" x14ac:dyDescent="0.3"/>
  <cols>
    <col min="1" max="1" width="2.19921875" customWidth="1"/>
    <col min="2" max="2" width="55" customWidth="1"/>
    <col min="5" max="5" width="17.19921875" customWidth="1"/>
  </cols>
  <sheetData>
    <row r="1" spans="2:6" ht="18" x14ac:dyDescent="0.35">
      <c r="B1" s="13" t="s">
        <v>346</v>
      </c>
    </row>
    <row r="2" spans="2:6" x14ac:dyDescent="0.3">
      <c r="B2" s="2" t="s">
        <v>134</v>
      </c>
    </row>
    <row r="3" spans="2:6" x14ac:dyDescent="0.3">
      <c r="B3" s="481" t="s">
        <v>318</v>
      </c>
      <c r="C3" s="482" t="s">
        <v>347</v>
      </c>
      <c r="D3" s="482" t="s">
        <v>348</v>
      </c>
      <c r="E3" s="482" t="s">
        <v>349</v>
      </c>
      <c r="F3" s="482" t="s">
        <v>153</v>
      </c>
    </row>
    <row r="4" spans="2:6" ht="18" customHeight="1" x14ac:dyDescent="0.3">
      <c r="B4" s="483" t="s">
        <v>113</v>
      </c>
      <c r="C4" s="484">
        <v>5</v>
      </c>
      <c r="D4" s="484">
        <v>48</v>
      </c>
      <c r="E4" s="485">
        <v>3</v>
      </c>
      <c r="F4" s="486">
        <f>+C4*D4*E4</f>
        <v>720</v>
      </c>
    </row>
    <row r="5" spans="2:6" x14ac:dyDescent="0.3">
      <c r="B5" s="483" t="s">
        <v>115</v>
      </c>
      <c r="C5" s="484">
        <v>4</v>
      </c>
      <c r="D5" s="484">
        <v>48</v>
      </c>
      <c r="E5" s="485">
        <v>3</v>
      </c>
      <c r="F5" s="486">
        <f>+C5*D5*E5</f>
        <v>576</v>
      </c>
    </row>
    <row r="6" spans="2:6" x14ac:dyDescent="0.3">
      <c r="B6" s="483" t="s">
        <v>117</v>
      </c>
      <c r="C6" s="484">
        <v>4</v>
      </c>
      <c r="D6" s="484">
        <v>6</v>
      </c>
      <c r="E6" s="485">
        <v>3</v>
      </c>
      <c r="F6" s="486">
        <f>+C6*D6*E6</f>
        <v>72</v>
      </c>
    </row>
    <row r="7" spans="2:6" x14ac:dyDescent="0.3">
      <c r="B7" s="487" t="s">
        <v>350</v>
      </c>
      <c r="C7" s="484">
        <f>SUM(C8:C12)</f>
        <v>20</v>
      </c>
      <c r="D7" s="484">
        <f t="shared" ref="D7:F7" si="0">SUM(D8:D12)</f>
        <v>30</v>
      </c>
      <c r="E7" s="485">
        <f t="shared" si="0"/>
        <v>16</v>
      </c>
      <c r="F7" s="486">
        <f t="shared" si="0"/>
        <v>384</v>
      </c>
    </row>
    <row r="8" spans="2:6" x14ac:dyDescent="0.3">
      <c r="B8" s="488" t="s">
        <v>351</v>
      </c>
      <c r="C8" s="484">
        <v>4</v>
      </c>
      <c r="D8" s="484">
        <v>6</v>
      </c>
      <c r="E8" s="485">
        <v>3</v>
      </c>
      <c r="F8" s="489">
        <f t="shared" ref="F8:F15" si="1">+C8*D8*E8</f>
        <v>72</v>
      </c>
    </row>
    <row r="9" spans="2:6" x14ac:dyDescent="0.3">
      <c r="B9" s="488" t="s">
        <v>121</v>
      </c>
      <c r="C9" s="484">
        <v>4</v>
      </c>
      <c r="D9" s="484">
        <v>6</v>
      </c>
      <c r="E9" s="485">
        <v>3</v>
      </c>
      <c r="F9" s="489">
        <f t="shared" si="1"/>
        <v>72</v>
      </c>
    </row>
    <row r="10" spans="2:6" x14ac:dyDescent="0.3">
      <c r="B10" s="488" t="s">
        <v>352</v>
      </c>
      <c r="C10" s="484">
        <v>4</v>
      </c>
      <c r="D10" s="484">
        <v>6</v>
      </c>
      <c r="E10" s="485">
        <v>4</v>
      </c>
      <c r="F10" s="489">
        <f t="shared" ref="F10" si="2">+C10*D10*E10</f>
        <v>96</v>
      </c>
    </row>
    <row r="11" spans="2:6" x14ac:dyDescent="0.3">
      <c r="B11" s="488" t="s">
        <v>353</v>
      </c>
      <c r="C11" s="484">
        <v>4</v>
      </c>
      <c r="D11" s="484">
        <v>6</v>
      </c>
      <c r="E11" s="485">
        <v>3</v>
      </c>
      <c r="F11" s="489">
        <f t="shared" si="1"/>
        <v>72</v>
      </c>
    </row>
    <row r="12" spans="2:6" x14ac:dyDescent="0.3">
      <c r="B12" s="490" t="s">
        <v>124</v>
      </c>
      <c r="C12" s="484">
        <v>4</v>
      </c>
      <c r="D12" s="484">
        <v>6</v>
      </c>
      <c r="E12" s="485">
        <v>3</v>
      </c>
      <c r="F12" s="489">
        <f t="shared" si="1"/>
        <v>72</v>
      </c>
    </row>
    <row r="13" spans="2:6" x14ac:dyDescent="0.3">
      <c r="B13" s="483" t="s">
        <v>125</v>
      </c>
      <c r="C13" s="484">
        <v>4</v>
      </c>
      <c r="D13" s="484">
        <v>12</v>
      </c>
      <c r="E13" s="485">
        <v>3</v>
      </c>
      <c r="F13" s="486">
        <f t="shared" si="1"/>
        <v>144</v>
      </c>
    </row>
    <row r="14" spans="2:6" x14ac:dyDescent="0.3">
      <c r="B14" s="483" t="s">
        <v>126</v>
      </c>
      <c r="C14" s="484">
        <v>4</v>
      </c>
      <c r="D14" s="484">
        <v>48</v>
      </c>
      <c r="E14" s="485">
        <v>3</v>
      </c>
      <c r="F14" s="486">
        <f t="shared" si="1"/>
        <v>576</v>
      </c>
    </row>
    <row r="15" spans="2:6" ht="28.8" x14ac:dyDescent="0.3">
      <c r="B15" s="483" t="s">
        <v>127</v>
      </c>
      <c r="C15" s="484">
        <v>4</v>
      </c>
      <c r="D15" s="484">
        <v>48</v>
      </c>
      <c r="E15" s="485">
        <v>3</v>
      </c>
      <c r="F15" s="486">
        <f t="shared" si="1"/>
        <v>576</v>
      </c>
    </row>
    <row r="16" spans="2:6" x14ac:dyDescent="0.3">
      <c r="B16" s="483" t="s">
        <v>128</v>
      </c>
      <c r="C16" s="484"/>
      <c r="D16" s="484"/>
      <c r="E16" s="485"/>
      <c r="F16" s="486">
        <v>2452</v>
      </c>
    </row>
    <row r="17" spans="2:9" x14ac:dyDescent="0.3">
      <c r="B17" s="491" t="s">
        <v>354</v>
      </c>
      <c r="C17" s="492"/>
      <c r="D17" s="492"/>
      <c r="E17" s="493"/>
      <c r="F17" s="494">
        <f>+F4+F5+F6+F7+F13+F14+F15+F16</f>
        <v>5500</v>
      </c>
    </row>
    <row r="18" spans="2:9" x14ac:dyDescent="0.3">
      <c r="G18" s="31"/>
      <c r="I18" s="31"/>
    </row>
    <row r="20" spans="2:9" x14ac:dyDescent="0.3">
      <c r="F20" s="31"/>
    </row>
    <row r="21" spans="2:9" x14ac:dyDescent="0.3">
      <c r="G21" s="31"/>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J16"/>
  <sheetViews>
    <sheetView workbookViewId="0"/>
  </sheetViews>
  <sheetFormatPr defaultColWidth="11" defaultRowHeight="15.6" x14ac:dyDescent="0.3"/>
  <cols>
    <col min="1" max="1" width="2.8984375" customWidth="1"/>
    <col min="2" max="2" width="16.8984375" bestFit="1" customWidth="1"/>
    <col min="3" max="3" width="13" bestFit="1" customWidth="1"/>
    <col min="4" max="5" width="13" customWidth="1"/>
    <col min="6" max="6" width="2.69921875" customWidth="1"/>
    <col min="7" max="7" width="18.59765625" customWidth="1"/>
    <col min="8" max="8" width="13" bestFit="1" customWidth="1"/>
    <col min="9" max="9" width="15.09765625" customWidth="1"/>
    <col min="10" max="10" width="12.69921875" customWidth="1"/>
  </cols>
  <sheetData>
    <row r="1" spans="2:10" ht="18" x14ac:dyDescent="0.35">
      <c r="B1" s="13" t="s">
        <v>355</v>
      </c>
    </row>
    <row r="2" spans="2:10" x14ac:dyDescent="0.3">
      <c r="B2" s="2" t="s">
        <v>134</v>
      </c>
    </row>
    <row r="3" spans="2:10" x14ac:dyDescent="0.3">
      <c r="B3" s="2" t="s">
        <v>356</v>
      </c>
      <c r="G3" s="2" t="s">
        <v>357</v>
      </c>
    </row>
    <row r="4" spans="2:10" x14ac:dyDescent="0.3">
      <c r="B4" s="269" t="s">
        <v>358</v>
      </c>
      <c r="C4" s="269" t="s">
        <v>359</v>
      </c>
      <c r="D4" s="269" t="s">
        <v>142</v>
      </c>
      <c r="E4" s="269" t="s">
        <v>155</v>
      </c>
      <c r="G4" s="269" t="s">
        <v>358</v>
      </c>
      <c r="H4" s="269" t="s">
        <v>359</v>
      </c>
      <c r="I4" s="269" t="s">
        <v>142</v>
      </c>
      <c r="J4" s="269" t="s">
        <v>155</v>
      </c>
    </row>
    <row r="5" spans="2:10" x14ac:dyDescent="0.3">
      <c r="B5" s="267">
        <f>+'A1. Firmas Consultoras'!L155+'A1. Firmas Consultoras'!E155+'A1. Firmas Consultoras'!L143+'A1. Firmas Consultoras'!E143+'A1. Firmas Consultoras'!L129+'A1. Firmas Consultoras'!E129+'A1. Firmas Consultoras'!E117+'A1. Firmas Consultoras'!L117+'A1. Firmas Consultoras'!L105+'A1. Firmas Consultoras'!E105+'A1. Firmas Consultoras'!L63+'A1. Firmas Consultoras'!E63+'A1. Firmas Consultoras'!L48+'A1. Firmas Consultoras'!E48+'A1. Firmas Consultoras'!E32+'A1. Firmas Consultoras'!L13+'A1. Firmas Consultoras'!E13+'A1. Firmas Consultoras'!E78+'A1. Firmas Consultoras'!L78+'A1. Firmas Consultoras'!E90</f>
        <v>29287.946200000002</v>
      </c>
      <c r="C5" s="266" t="s">
        <v>360</v>
      </c>
      <c r="D5" s="268">
        <f>+B5*0.9</f>
        <v>26359.151580000002</v>
      </c>
      <c r="E5" s="268">
        <f>+B5*0.1</f>
        <v>2928.7946200000006</v>
      </c>
      <c r="G5" s="267">
        <f>+'A1. Firmas Consultoras'!E13+'A1. Firmas Consultoras'!L13+'A1. Firmas Consultoras'!E32+'A1. Firmas Consultoras'!E48+'A1. Firmas Consultoras'!L48+'A1. Firmas Consultoras'!L63+'A1. Firmas Consultoras'!E63+'A1. Firmas Consultoras'!L105+'A1. Firmas Consultoras'!E105+'A1. Firmas Consultoras'!L117+'A1. Firmas Consultoras'!E117+'A1. Firmas Consultoras'!L129+'A1. Firmas Consultoras'!E129+'A2. Consultorias Individuales'!E12+'A2. Consultorias Individuales'!J12+'A4_Detalle Soft&amp;Hard Sub 2 '!H14+'A4_Detalle Soft&amp;Hard Sub 2 '!H17+'A3_Bs-Equip-Infr Sub 1.2'!D6+'A3_Bs-Equip-Infr Sub 1.2'!D12+'A1. Firmas Consultoras'!E78+'A1. Firmas Consultoras'!L78+'A1. Firmas Consultoras'!E90</f>
        <v>48022.154199999997</v>
      </c>
      <c r="H5" s="266" t="s">
        <v>361</v>
      </c>
      <c r="I5" s="268">
        <f>+G5*0.9</f>
        <v>43219.938779999997</v>
      </c>
      <c r="J5" s="268">
        <f>+G5*0.1</f>
        <v>4802.2154199999995</v>
      </c>
    </row>
    <row r="6" spans="2:10" x14ac:dyDescent="0.3">
      <c r="B6" s="267">
        <f>+'A2. Consultorias Individuales'!E43+'A2. Consultorias Individuales'!J26+'A2. Consultorias Individuales'!E26+'A2. Consultorias Individuales'!E12+'A2. Consultorias Individuales'!J12</f>
        <v>5561.1027999999997</v>
      </c>
      <c r="C6" s="266" t="s">
        <v>362</v>
      </c>
      <c r="D6" s="268">
        <f t="shared" ref="D6:D11" si="0">+B6*0.9</f>
        <v>5004.9925199999998</v>
      </c>
      <c r="E6" s="268">
        <f t="shared" ref="E6:E11" si="1">+B6*0.1</f>
        <v>556.11027999999999</v>
      </c>
      <c r="G6" s="267">
        <f>+'A4_Detalle Soft&amp;Hard Sub 2 '!D32</f>
        <v>47600</v>
      </c>
      <c r="H6" s="266" t="s">
        <v>363</v>
      </c>
      <c r="I6" s="268">
        <f t="shared" ref="I6:I8" si="2">+G6*0.9</f>
        <v>42840</v>
      </c>
      <c r="J6" s="268">
        <f t="shared" ref="J6:J8" si="3">+G6*0.1</f>
        <v>4760</v>
      </c>
    </row>
    <row r="7" spans="2:10" x14ac:dyDescent="0.3">
      <c r="B7" s="267">
        <f>+'A4_Detalle Soft&amp;Hard Sub 2 '!H14+'A4_Detalle Soft&amp;Hard Sub 2 '!H17</f>
        <v>5291</v>
      </c>
      <c r="C7" s="266" t="s">
        <v>364</v>
      </c>
      <c r="D7" s="268">
        <f t="shared" si="0"/>
        <v>4761.9000000000005</v>
      </c>
      <c r="E7" s="268">
        <f t="shared" si="1"/>
        <v>529.1</v>
      </c>
      <c r="G7" s="267">
        <f>+'A1. Firmas Consultoras'!L143+'A1. Firmas Consultoras'!E143+'A1. Firmas Consultoras'!L155+'A1. Firmas Consultoras'!E155+'A2. Consultorias Individuales'!J26+'A2. Consultorias Individuales'!E26+'A2. Consultorias Individuales'!E43</f>
        <v>9377.8948</v>
      </c>
      <c r="H7" s="266" t="s">
        <v>365</v>
      </c>
      <c r="I7" s="268">
        <f t="shared" si="2"/>
        <v>8440.1053200000006</v>
      </c>
      <c r="J7" s="268">
        <f t="shared" si="3"/>
        <v>937.78948000000003</v>
      </c>
    </row>
    <row r="8" spans="2:10" x14ac:dyDescent="0.3">
      <c r="B8" s="267">
        <f>+'A4_Detalle Soft&amp;Hard Sub 2 '!D32</f>
        <v>47600</v>
      </c>
      <c r="C8" s="266" t="s">
        <v>366</v>
      </c>
      <c r="D8" s="268">
        <f t="shared" si="0"/>
        <v>42840</v>
      </c>
      <c r="E8" s="268">
        <f t="shared" si="1"/>
        <v>4760</v>
      </c>
      <c r="G8" s="267">
        <f>+'A5_Detalle Administración'!F17</f>
        <v>5500</v>
      </c>
      <c r="H8" s="266" t="s">
        <v>367</v>
      </c>
      <c r="I8" s="268">
        <f t="shared" si="2"/>
        <v>4950</v>
      </c>
      <c r="J8" s="268">
        <f t="shared" si="3"/>
        <v>550</v>
      </c>
    </row>
    <row r="9" spans="2:10" x14ac:dyDescent="0.3">
      <c r="B9" s="267">
        <f>+'A3_Bs-Equip-Infr Sub 1.2'!D7</f>
        <v>12260</v>
      </c>
      <c r="C9" s="266" t="s">
        <v>314</v>
      </c>
      <c r="D9" s="268">
        <f t="shared" si="0"/>
        <v>11034</v>
      </c>
      <c r="E9" s="268">
        <f t="shared" si="1"/>
        <v>1226</v>
      </c>
      <c r="G9" s="267"/>
      <c r="H9" s="266"/>
      <c r="I9" s="268"/>
      <c r="J9" s="268"/>
    </row>
    <row r="10" spans="2:10" x14ac:dyDescent="0.3">
      <c r="B10" s="267">
        <f>+'A3_Bs-Equip-Infr Sub 1.2'!D12</f>
        <v>5000</v>
      </c>
      <c r="C10" s="266" t="s">
        <v>368</v>
      </c>
      <c r="D10" s="268">
        <f t="shared" si="0"/>
        <v>4500</v>
      </c>
      <c r="E10" s="268">
        <f t="shared" si="1"/>
        <v>500</v>
      </c>
      <c r="G10" s="301">
        <f>SUM(G5:G8)</f>
        <v>110500.04899999998</v>
      </c>
      <c r="H10" s="271" t="s">
        <v>13</v>
      </c>
      <c r="I10" s="270">
        <f>SUM(I5:I8)</f>
        <v>99450.044099999999</v>
      </c>
      <c r="J10" s="270">
        <f>SUM(J5:J8)</f>
        <v>11050.0049</v>
      </c>
    </row>
    <row r="11" spans="2:10" x14ac:dyDescent="0.3">
      <c r="B11" s="267">
        <f>+'A5_Detalle Administración'!F17</f>
        <v>5500</v>
      </c>
      <c r="C11" s="266" t="s">
        <v>367</v>
      </c>
      <c r="D11" s="268">
        <f t="shared" si="0"/>
        <v>4950</v>
      </c>
      <c r="E11" s="268">
        <f t="shared" si="1"/>
        <v>550</v>
      </c>
    </row>
    <row r="12" spans="2:10" x14ac:dyDescent="0.3">
      <c r="B12" s="301">
        <f>SUM(B5:B11)</f>
        <v>110500.049</v>
      </c>
      <c r="C12" s="271" t="s">
        <v>13</v>
      </c>
      <c r="D12" s="270">
        <f>SUM(D5:D11)</f>
        <v>99450.044099999999</v>
      </c>
      <c r="E12" s="270">
        <f>SUM(E5:E11)</f>
        <v>11050.0049</v>
      </c>
    </row>
    <row r="14" spans="2:10" ht="16.5" customHeight="1" x14ac:dyDescent="0.3">
      <c r="B14" s="340" t="s">
        <v>226</v>
      </c>
      <c r="C14" s="270">
        <f>+'A1. Firmas Consultoras'!C164+'A3_Bs-Equip-Infr Sub 1.2'!C17+'A4_Detalle Soft&amp;Hard Sub 2 '!C36</f>
        <v>17239.197332231404</v>
      </c>
      <c r="D14" s="262"/>
      <c r="E14" s="262"/>
      <c r="G14" s="262"/>
      <c r="H14" s="262"/>
    </row>
    <row r="15" spans="2:10" x14ac:dyDescent="0.3">
      <c r="B15" s="340" t="s">
        <v>369</v>
      </c>
      <c r="C15" s="270">
        <f>+B12-C14</f>
        <v>93260.851667768598</v>
      </c>
      <c r="D15" s="263"/>
      <c r="E15" s="263"/>
    </row>
    <row r="16" spans="2:10" x14ac:dyDescent="0.3">
      <c r="C16" s="34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Q78"/>
  <sheetViews>
    <sheetView workbookViewId="0">
      <selection activeCell="D5" sqref="D5"/>
    </sheetView>
  </sheetViews>
  <sheetFormatPr defaultColWidth="11" defaultRowHeight="15.6" x14ac:dyDescent="0.3"/>
  <cols>
    <col min="1" max="1" width="3.5" customWidth="1"/>
    <col min="3" max="3" width="54.09765625" customWidth="1"/>
    <col min="4" max="4" width="11.8984375" bestFit="1" customWidth="1"/>
    <col min="5" max="5" width="11.09765625" bestFit="1" customWidth="1"/>
    <col min="6" max="6" width="11.8984375" bestFit="1" customWidth="1"/>
    <col min="7" max="7" width="7.5" customWidth="1"/>
    <col min="8" max="8" width="9.19921875" style="257" customWidth="1"/>
    <col min="9" max="9" width="15.3984375" style="257" hidden="1" customWidth="1"/>
    <col min="10" max="10" width="23.19921875" style="257" hidden="1" customWidth="1"/>
    <col min="11" max="11" width="8.5" hidden="1" customWidth="1"/>
    <col min="12" max="13" width="12.3984375" hidden="1" customWidth="1"/>
    <col min="14" max="14" width="13.3984375" hidden="1" customWidth="1"/>
    <col min="15" max="15" width="12.59765625" hidden="1" customWidth="1"/>
    <col min="16" max="16" width="11.3984375" hidden="1" customWidth="1"/>
    <col min="17" max="17" width="12.3984375" hidden="1" customWidth="1"/>
  </cols>
  <sheetData>
    <row r="1" spans="2:17" ht="21" x14ac:dyDescent="0.4">
      <c r="B1" s="30" t="s">
        <v>370</v>
      </c>
      <c r="C1" s="26"/>
      <c r="D1" s="26"/>
      <c r="E1" s="26"/>
      <c r="F1" s="26"/>
      <c r="G1" s="26"/>
    </row>
    <row r="2" spans="2:17" ht="18.600000000000001" thickBot="1" x14ac:dyDescent="0.4">
      <c r="B2" s="13" t="s">
        <v>134</v>
      </c>
      <c r="C2" s="26"/>
      <c r="D2" s="26"/>
      <c r="E2" s="26"/>
      <c r="F2" s="26"/>
      <c r="G2" s="26"/>
    </row>
    <row r="3" spans="2:17" ht="16.2" thickBot="1" x14ac:dyDescent="0.35">
      <c r="B3" s="628" t="s">
        <v>371</v>
      </c>
      <c r="C3" s="629"/>
      <c r="D3" s="632" t="s">
        <v>372</v>
      </c>
      <c r="E3" s="633"/>
      <c r="F3" s="629" t="s">
        <v>156</v>
      </c>
      <c r="G3" s="634" t="s">
        <v>171</v>
      </c>
    </row>
    <row r="4" spans="2:17" ht="16.2" thickBot="1" x14ac:dyDescent="0.35">
      <c r="B4" s="630"/>
      <c r="C4" s="631"/>
      <c r="D4" s="4" t="s">
        <v>373</v>
      </c>
      <c r="E4" s="5" t="s">
        <v>155</v>
      </c>
      <c r="F4" s="631"/>
      <c r="G4" s="635"/>
      <c r="I4" s="280" t="s">
        <v>374</v>
      </c>
      <c r="J4"/>
      <c r="O4" s="2" t="s">
        <v>375</v>
      </c>
    </row>
    <row r="5" spans="2:17" ht="16.2" thickBot="1" x14ac:dyDescent="0.35">
      <c r="B5" s="53">
        <v>1</v>
      </c>
      <c r="C5" s="54" t="s">
        <v>157</v>
      </c>
      <c r="D5" s="223">
        <f>+D6+D38+D43</f>
        <v>43219.798469939793</v>
      </c>
      <c r="E5" s="223">
        <f>+E6+E38+E43</f>
        <v>4802.1887188822002</v>
      </c>
      <c r="F5" s="223">
        <f>+F6+F38+F43</f>
        <v>48021.987188822</v>
      </c>
      <c r="G5" s="55">
        <f>+F5/$F$75</f>
        <v>0.43458797746500433</v>
      </c>
      <c r="I5" s="624" t="s">
        <v>134</v>
      </c>
      <c r="J5" s="624"/>
      <c r="K5" s="624"/>
      <c r="L5" s="624"/>
      <c r="M5" s="624"/>
      <c r="N5" s="624"/>
      <c r="O5" s="2" t="s">
        <v>134</v>
      </c>
    </row>
    <row r="6" spans="2:17" ht="29.4" thickBot="1" x14ac:dyDescent="0.35">
      <c r="B6" s="56" t="s">
        <v>144</v>
      </c>
      <c r="C6" s="57" t="s">
        <v>158</v>
      </c>
      <c r="D6" s="224">
        <f>+D7+D14+D24+D33+D37</f>
        <v>11096.731169939798</v>
      </c>
      <c r="E6" s="224">
        <f>+E7+E14+E24+E33+E37</f>
        <v>1232.9590188821999</v>
      </c>
      <c r="F6" s="224">
        <f>+F7+F14+F24+F33+F37</f>
        <v>12329.690188822</v>
      </c>
      <c r="G6" s="58">
        <f>+F6/$F$75</f>
        <v>0.11158087025556308</v>
      </c>
      <c r="I6" s="625" t="s">
        <v>376</v>
      </c>
      <c r="J6" s="626"/>
      <c r="K6" s="627"/>
      <c r="L6" s="302" t="s">
        <v>142</v>
      </c>
      <c r="M6" s="302" t="s">
        <v>155</v>
      </c>
      <c r="N6" s="303" t="s">
        <v>156</v>
      </c>
      <c r="O6" s="304" t="s">
        <v>142</v>
      </c>
      <c r="P6" s="302" t="s">
        <v>155</v>
      </c>
      <c r="Q6" s="303" t="s">
        <v>156</v>
      </c>
    </row>
    <row r="7" spans="2:17" x14ac:dyDescent="0.3">
      <c r="B7" s="59" t="s">
        <v>377</v>
      </c>
      <c r="C7" s="60" t="s">
        <v>16</v>
      </c>
      <c r="D7" s="225">
        <v>3412</v>
      </c>
      <c r="E7" s="225">
        <v>379.1</v>
      </c>
      <c r="F7" s="225">
        <f>+D7+E7</f>
        <v>3791.1</v>
      </c>
      <c r="G7" s="61"/>
      <c r="I7" s="495">
        <f>+'A4_Detalle Soft&amp;Hard Sub 2 '!H14</f>
        <v>3791</v>
      </c>
      <c r="J7" s="496" t="s">
        <v>378</v>
      </c>
      <c r="K7" s="497"/>
      <c r="L7" s="498">
        <f>+I7*0.9</f>
        <v>3411.9</v>
      </c>
      <c r="M7" s="498">
        <f>+I7*0.1</f>
        <v>379.1</v>
      </c>
      <c r="N7" s="499">
        <f>+L7+M7</f>
        <v>3791</v>
      </c>
      <c r="O7" s="500">
        <f>+L7*'Plan_Ejecutivo_Plurianual (PEP)'!$G$24</f>
        <v>768.85354014598545</v>
      </c>
      <c r="P7" s="498">
        <f>+M7*'Plan_Ejecutivo_Plurianual (PEP)'!$H$24</f>
        <v>85.428171127331723</v>
      </c>
      <c r="Q7" s="501">
        <f>+O7+P7</f>
        <v>854.28171127331711</v>
      </c>
    </row>
    <row r="8" spans="2:17" x14ac:dyDescent="0.3">
      <c r="B8" s="62"/>
      <c r="C8" s="63" t="s">
        <v>379</v>
      </c>
      <c r="D8" s="226">
        <f>+D7/6</f>
        <v>568.66666666666663</v>
      </c>
      <c r="E8" s="226">
        <f>+E7/7</f>
        <v>54.157142857142858</v>
      </c>
      <c r="F8" s="226">
        <f t="shared" ref="F8:F13" si="0">+D8+E8</f>
        <v>622.82380952380947</v>
      </c>
      <c r="G8" s="64"/>
      <c r="I8" s="502"/>
      <c r="J8" s="503"/>
      <c r="K8" s="504"/>
      <c r="L8" s="505"/>
      <c r="M8" s="505"/>
      <c r="N8" s="506"/>
      <c r="O8" s="507"/>
      <c r="P8" s="505"/>
      <c r="Q8" s="508"/>
    </row>
    <row r="9" spans="2:17" x14ac:dyDescent="0.3">
      <c r="B9" s="62"/>
      <c r="C9" s="63" t="s">
        <v>380</v>
      </c>
      <c r="D9" s="226">
        <f>+D8</f>
        <v>568.66666666666663</v>
      </c>
      <c r="E9" s="226">
        <f t="shared" ref="E9:E13" si="1">+E8</f>
        <v>54.157142857142858</v>
      </c>
      <c r="F9" s="226">
        <f t="shared" si="0"/>
        <v>622.82380952380947</v>
      </c>
      <c r="G9" s="64"/>
      <c r="I9" s="502"/>
      <c r="J9" s="503"/>
      <c r="K9" s="504"/>
      <c r="L9" s="505"/>
      <c r="M9" s="505"/>
      <c r="N9" s="506"/>
      <c r="O9" s="507"/>
      <c r="P9" s="505"/>
      <c r="Q9" s="508"/>
    </row>
    <row r="10" spans="2:17" x14ac:dyDescent="0.3">
      <c r="B10" s="62"/>
      <c r="C10" s="63" t="s">
        <v>381</v>
      </c>
      <c r="D10" s="226">
        <f>+D9</f>
        <v>568.66666666666663</v>
      </c>
      <c r="E10" s="226">
        <f t="shared" si="1"/>
        <v>54.157142857142858</v>
      </c>
      <c r="F10" s="226">
        <f t="shared" si="0"/>
        <v>622.82380952380947</v>
      </c>
      <c r="G10" s="64"/>
      <c r="I10" s="502"/>
      <c r="J10" s="503"/>
      <c r="K10" s="504"/>
      <c r="L10" s="505"/>
      <c r="M10" s="505"/>
      <c r="N10" s="506"/>
      <c r="O10" s="507"/>
      <c r="P10" s="505"/>
      <c r="Q10" s="508"/>
    </row>
    <row r="11" spans="2:17" x14ac:dyDescent="0.3">
      <c r="B11" s="62"/>
      <c r="C11" s="63" t="s">
        <v>382</v>
      </c>
      <c r="D11" s="226">
        <f t="shared" ref="D11:D13" si="2">+D10</f>
        <v>568.66666666666663</v>
      </c>
      <c r="E11" s="226">
        <f t="shared" si="1"/>
        <v>54.157142857142858</v>
      </c>
      <c r="F11" s="226">
        <f t="shared" si="0"/>
        <v>622.82380952380947</v>
      </c>
      <c r="G11" s="64"/>
      <c r="I11" s="502"/>
      <c r="J11" s="503"/>
      <c r="K11" s="504"/>
      <c r="L11" s="505"/>
      <c r="M11" s="505"/>
      <c r="N11" s="506"/>
      <c r="O11" s="507"/>
      <c r="P11" s="505"/>
      <c r="Q11" s="508"/>
    </row>
    <row r="12" spans="2:17" x14ac:dyDescent="0.3">
      <c r="B12" s="62"/>
      <c r="C12" s="63" t="s">
        <v>383</v>
      </c>
      <c r="D12" s="226">
        <f t="shared" si="2"/>
        <v>568.66666666666663</v>
      </c>
      <c r="E12" s="226">
        <f t="shared" si="1"/>
        <v>54.157142857142858</v>
      </c>
      <c r="F12" s="226">
        <f t="shared" si="0"/>
        <v>622.82380952380947</v>
      </c>
      <c r="G12" s="64"/>
      <c r="I12" s="502"/>
      <c r="J12" s="503"/>
      <c r="K12" s="504"/>
      <c r="L12" s="505"/>
      <c r="M12" s="505"/>
      <c r="N12" s="506"/>
      <c r="O12" s="507"/>
      <c r="P12" s="505"/>
      <c r="Q12" s="508"/>
    </row>
    <row r="13" spans="2:17" ht="16.2" thickBot="1" x14ac:dyDescent="0.35">
      <c r="B13" s="65"/>
      <c r="C13" s="66" t="s">
        <v>384</v>
      </c>
      <c r="D13" s="227">
        <f t="shared" si="2"/>
        <v>568.66666666666663</v>
      </c>
      <c r="E13" s="227">
        <f t="shared" si="1"/>
        <v>54.157142857142858</v>
      </c>
      <c r="F13" s="227">
        <f t="shared" si="0"/>
        <v>622.82380952380947</v>
      </c>
      <c r="G13" s="67"/>
      <c r="I13" s="502"/>
      <c r="J13" s="503"/>
      <c r="K13" s="504"/>
      <c r="L13" s="505"/>
      <c r="M13" s="505"/>
      <c r="N13" s="506"/>
      <c r="O13" s="507"/>
      <c r="P13" s="505"/>
      <c r="Q13" s="508"/>
    </row>
    <row r="14" spans="2:17" ht="16.2" thickBot="1" x14ac:dyDescent="0.35">
      <c r="B14" s="68" t="s">
        <v>385</v>
      </c>
      <c r="C14" s="60" t="s">
        <v>386</v>
      </c>
      <c r="D14" s="225">
        <f>+SUM(D15:D23)</f>
        <v>2047.5014999399996</v>
      </c>
      <c r="E14" s="225">
        <f>+SUM(E15:E23)</f>
        <v>227.50016666000005</v>
      </c>
      <c r="F14" s="225">
        <f>+SUM(F15:F23)</f>
        <v>2275.0016666000001</v>
      </c>
      <c r="G14" s="69"/>
      <c r="I14" s="509">
        <f>+'A1. Firmas Consultoras'!L13+'A1. Firmas Consultoras'!E13</f>
        <v>2274.9929999999999</v>
      </c>
      <c r="J14" s="510" t="s">
        <v>387</v>
      </c>
      <c r="K14" s="511">
        <v>2</v>
      </c>
      <c r="L14" s="505">
        <f t="shared" ref="L14:L71" si="3">+I14*0.9</f>
        <v>2047.4937</v>
      </c>
      <c r="M14" s="505">
        <f t="shared" ref="M14:M71" si="4">+I14*0.1</f>
        <v>227.49930000000001</v>
      </c>
      <c r="N14" s="506">
        <f t="shared" ref="N14:N71" si="5">+L14+M14</f>
        <v>2274.9929999999999</v>
      </c>
      <c r="O14" s="507">
        <f>+L14*'Plan_Ejecutivo_Plurianual (PEP)'!$G$24</f>
        <v>461.39182850364961</v>
      </c>
      <c r="P14" s="505">
        <f>+M14*'Plan_Ejecutivo_Plurianual (PEP)'!$H$24</f>
        <v>51.265758722627744</v>
      </c>
      <c r="Q14" s="512">
        <f t="shared" ref="Q14:Q71" si="6">+O14+P14</f>
        <v>512.65758722627731</v>
      </c>
    </row>
    <row r="15" spans="2:17" ht="16.2" thickBot="1" x14ac:dyDescent="0.35">
      <c r="B15" s="70"/>
      <c r="C15" s="60" t="s">
        <v>388</v>
      </c>
      <c r="D15" s="225">
        <f>+F15*0.9</f>
        <v>292.5</v>
      </c>
      <c r="E15" s="225">
        <f>+F15*0.1</f>
        <v>32.5</v>
      </c>
      <c r="F15" s="225">
        <v>325</v>
      </c>
      <c r="G15" s="71"/>
      <c r="I15" s="502"/>
      <c r="J15" s="503"/>
      <c r="K15" s="504"/>
      <c r="L15" s="505"/>
      <c r="M15" s="505"/>
      <c r="N15" s="506"/>
      <c r="O15" s="507"/>
      <c r="P15" s="505"/>
      <c r="Q15" s="508"/>
    </row>
    <row r="16" spans="2:17" ht="16.2" thickBot="1" x14ac:dyDescent="0.35">
      <c r="B16" s="70"/>
      <c r="C16" s="60" t="s">
        <v>389</v>
      </c>
      <c r="D16" s="225">
        <f t="shared" ref="D16:D23" si="7">+F16*0.9</f>
        <v>292.5</v>
      </c>
      <c r="E16" s="225">
        <f t="shared" ref="E16:E23" si="8">+F16*0.1</f>
        <v>32.5</v>
      </c>
      <c r="F16" s="225">
        <v>325</v>
      </c>
      <c r="G16" s="71"/>
      <c r="I16" s="502"/>
      <c r="J16" s="503"/>
      <c r="K16" s="504"/>
      <c r="L16" s="505"/>
      <c r="M16" s="505"/>
      <c r="N16" s="506"/>
      <c r="O16" s="507"/>
      <c r="P16" s="505"/>
      <c r="Q16" s="508"/>
    </row>
    <row r="17" spans="2:17" ht="16.2" thickBot="1" x14ac:dyDescent="0.35">
      <c r="B17" s="70"/>
      <c r="C17" s="60" t="s">
        <v>390</v>
      </c>
      <c r="D17" s="225">
        <f t="shared" si="7"/>
        <v>208.92869999999999</v>
      </c>
      <c r="E17" s="225">
        <f t="shared" si="8"/>
        <v>23.214300000000001</v>
      </c>
      <c r="F17" s="225">
        <v>232.143</v>
      </c>
      <c r="G17" s="71"/>
      <c r="I17" s="502"/>
      <c r="J17" s="503"/>
      <c r="K17" s="504"/>
      <c r="L17" s="505"/>
      <c r="M17" s="505"/>
      <c r="N17" s="506"/>
      <c r="O17" s="507"/>
      <c r="P17" s="505"/>
      <c r="Q17" s="508"/>
    </row>
    <row r="18" spans="2:17" ht="16.2" thickBot="1" x14ac:dyDescent="0.35">
      <c r="B18" s="70"/>
      <c r="C18" s="60" t="s">
        <v>391</v>
      </c>
      <c r="D18" s="225">
        <f t="shared" si="7"/>
        <v>208.92899997000001</v>
      </c>
      <c r="E18" s="225">
        <f t="shared" si="8"/>
        <v>23.214333330000002</v>
      </c>
      <c r="F18" s="225">
        <v>232.14333329999999</v>
      </c>
      <c r="G18" s="71"/>
      <c r="I18" s="502"/>
      <c r="J18" s="503"/>
      <c r="K18" s="504"/>
      <c r="L18" s="505"/>
      <c r="M18" s="505"/>
      <c r="N18" s="506"/>
      <c r="O18" s="507"/>
      <c r="P18" s="505"/>
      <c r="Q18" s="508"/>
    </row>
    <row r="19" spans="2:17" ht="16.2" thickBot="1" x14ac:dyDescent="0.35">
      <c r="B19" s="70"/>
      <c r="C19" s="60" t="s">
        <v>392</v>
      </c>
      <c r="D19" s="225">
        <f t="shared" si="7"/>
        <v>208.92869999999999</v>
      </c>
      <c r="E19" s="225">
        <f t="shared" si="8"/>
        <v>23.214300000000001</v>
      </c>
      <c r="F19" s="225">
        <v>232.143</v>
      </c>
      <c r="G19" s="71"/>
      <c r="I19" s="502"/>
      <c r="J19" s="503"/>
      <c r="K19" s="504"/>
      <c r="L19" s="505"/>
      <c r="M19" s="505"/>
      <c r="N19" s="506"/>
      <c r="O19" s="507"/>
      <c r="P19" s="505"/>
      <c r="Q19" s="508"/>
    </row>
    <row r="20" spans="2:17" ht="16.2" thickBot="1" x14ac:dyDescent="0.35">
      <c r="B20" s="70"/>
      <c r="C20" s="60" t="s">
        <v>393</v>
      </c>
      <c r="D20" s="225">
        <f t="shared" si="7"/>
        <v>208.92869999999999</v>
      </c>
      <c r="E20" s="225">
        <f t="shared" si="8"/>
        <v>23.214300000000001</v>
      </c>
      <c r="F20" s="225">
        <v>232.143</v>
      </c>
      <c r="G20" s="71"/>
      <c r="I20" s="502"/>
      <c r="J20" s="503"/>
      <c r="K20" s="504"/>
      <c r="L20" s="505"/>
      <c r="M20" s="505"/>
      <c r="N20" s="506"/>
      <c r="O20" s="507"/>
      <c r="P20" s="505"/>
      <c r="Q20" s="508"/>
    </row>
    <row r="21" spans="2:17" ht="16.2" thickBot="1" x14ac:dyDescent="0.35">
      <c r="B21" s="70"/>
      <c r="C21" s="60" t="s">
        <v>394</v>
      </c>
      <c r="D21" s="225">
        <f t="shared" si="7"/>
        <v>208.92869999999999</v>
      </c>
      <c r="E21" s="225">
        <f t="shared" si="8"/>
        <v>23.214300000000001</v>
      </c>
      <c r="F21" s="225">
        <v>232.143</v>
      </c>
      <c r="G21" s="71"/>
      <c r="I21" s="502"/>
      <c r="J21" s="503"/>
      <c r="K21" s="504"/>
      <c r="L21" s="505"/>
      <c r="M21" s="505"/>
      <c r="N21" s="506"/>
      <c r="O21" s="507"/>
      <c r="P21" s="505"/>
      <c r="Q21" s="508"/>
    </row>
    <row r="22" spans="2:17" ht="16.2" thickBot="1" x14ac:dyDescent="0.35">
      <c r="B22" s="70"/>
      <c r="C22" s="60" t="s">
        <v>395</v>
      </c>
      <c r="D22" s="225">
        <f t="shared" si="7"/>
        <v>208.92869999999999</v>
      </c>
      <c r="E22" s="225">
        <f t="shared" si="8"/>
        <v>23.214300000000001</v>
      </c>
      <c r="F22" s="225">
        <v>232.143</v>
      </c>
      <c r="G22" s="71"/>
      <c r="I22" s="502"/>
      <c r="J22" s="503"/>
      <c r="K22" s="504"/>
      <c r="L22" s="505"/>
      <c r="M22" s="505"/>
      <c r="N22" s="506"/>
      <c r="O22" s="507"/>
      <c r="P22" s="505"/>
      <c r="Q22" s="508"/>
    </row>
    <row r="23" spans="2:17" ht="16.2" thickBot="1" x14ac:dyDescent="0.35">
      <c r="B23" s="72"/>
      <c r="C23" s="60" t="s">
        <v>396</v>
      </c>
      <c r="D23" s="225">
        <f t="shared" si="7"/>
        <v>208.92899997000001</v>
      </c>
      <c r="E23" s="225">
        <f t="shared" si="8"/>
        <v>23.214333330000002</v>
      </c>
      <c r="F23" s="225">
        <v>232.14333329999999</v>
      </c>
      <c r="G23" s="524"/>
      <c r="I23" s="502"/>
      <c r="J23" s="503"/>
      <c r="K23" s="504"/>
      <c r="L23" s="505"/>
      <c r="M23" s="505"/>
      <c r="N23" s="506"/>
      <c r="O23" s="507"/>
      <c r="P23" s="505"/>
      <c r="Q23" s="508"/>
    </row>
    <row r="24" spans="2:17" x14ac:dyDescent="0.3">
      <c r="B24" s="73" t="s">
        <v>397</v>
      </c>
      <c r="C24" s="60" t="s">
        <v>25</v>
      </c>
      <c r="D24" s="225">
        <f>+SUM(D25:D32)</f>
        <v>3539.5996699997995</v>
      </c>
      <c r="E24" s="225">
        <f>+SUM(E25:E32)</f>
        <v>393.28885222219998</v>
      </c>
      <c r="F24" s="225">
        <f>+SUM(F25:F32)</f>
        <v>3932.8885222219997</v>
      </c>
      <c r="G24" s="61"/>
      <c r="I24" s="502"/>
      <c r="J24" s="503"/>
      <c r="K24" s="504"/>
      <c r="L24" s="505"/>
      <c r="M24" s="505"/>
      <c r="N24" s="506"/>
      <c r="O24" s="507"/>
      <c r="P24" s="505"/>
      <c r="Q24" s="508"/>
    </row>
    <row r="25" spans="2:17" x14ac:dyDescent="0.3">
      <c r="B25" s="70"/>
      <c r="C25" s="74" t="s">
        <v>398</v>
      </c>
      <c r="D25" s="228">
        <f>+F25*0.9</f>
        <v>64.999999999799996</v>
      </c>
      <c r="E25" s="228">
        <f>+F25*0.1</f>
        <v>7.2222222222000001</v>
      </c>
      <c r="F25" s="229">
        <v>72.222222221999999</v>
      </c>
      <c r="G25" s="75"/>
      <c r="I25" s="509">
        <f>+'A2. Consultorias Individuales'!E12</f>
        <v>72.221999999999994</v>
      </c>
      <c r="J25" s="510" t="s">
        <v>399</v>
      </c>
      <c r="K25" s="511">
        <v>1</v>
      </c>
      <c r="L25" s="505">
        <f t="shared" si="3"/>
        <v>64.999799999999993</v>
      </c>
      <c r="M25" s="505">
        <f t="shared" si="4"/>
        <v>7.2222</v>
      </c>
      <c r="N25" s="506">
        <f t="shared" si="5"/>
        <v>72.221999999999994</v>
      </c>
      <c r="O25" s="507">
        <f>+L25*'Plan_Ejecutivo_Plurianual (PEP)'!$G$24</f>
        <v>14.647359635036494</v>
      </c>
      <c r="P25" s="505">
        <f>+M25*'Plan_Ejecutivo_Plurianual (PEP)'!$H$24</f>
        <v>1.6274844038929441</v>
      </c>
      <c r="Q25" s="508">
        <f t="shared" si="6"/>
        <v>16.274844038929437</v>
      </c>
    </row>
    <row r="26" spans="2:17" ht="24" x14ac:dyDescent="0.3">
      <c r="B26" s="76"/>
      <c r="C26" s="77" t="s">
        <v>400</v>
      </c>
      <c r="D26" s="230">
        <f t="shared" ref="D26:D27" si="9">+F26*0.9</f>
        <v>900</v>
      </c>
      <c r="E26" s="230">
        <f t="shared" ref="E26:E27" si="10">+F26*0.1</f>
        <v>100</v>
      </c>
      <c r="F26" s="231">
        <v>1000</v>
      </c>
      <c r="G26" s="78"/>
      <c r="I26" s="502"/>
      <c r="J26" s="503"/>
      <c r="K26" s="504"/>
      <c r="L26" s="505">
        <f t="shared" si="3"/>
        <v>0</v>
      </c>
      <c r="M26" s="505">
        <f t="shared" si="4"/>
        <v>0</v>
      </c>
      <c r="N26" s="506">
        <f t="shared" si="5"/>
        <v>0</v>
      </c>
      <c r="O26" s="507"/>
      <c r="P26" s="505"/>
      <c r="Q26" s="508"/>
    </row>
    <row r="27" spans="2:17" x14ac:dyDescent="0.3">
      <c r="B27" s="76"/>
      <c r="C27" s="77" t="s">
        <v>401</v>
      </c>
      <c r="D27" s="230">
        <f t="shared" si="9"/>
        <v>900</v>
      </c>
      <c r="E27" s="230">
        <f t="shared" si="10"/>
        <v>100</v>
      </c>
      <c r="F27" s="231">
        <v>1000</v>
      </c>
      <c r="G27" s="78"/>
      <c r="I27" s="509">
        <f>+'A1. Firmas Consultoras'!L63</f>
        <v>1999.9949999999999</v>
      </c>
      <c r="J27" s="510" t="s">
        <v>387</v>
      </c>
      <c r="K27" s="511">
        <v>1</v>
      </c>
      <c r="L27" s="505">
        <f t="shared" si="3"/>
        <v>1799.9955</v>
      </c>
      <c r="M27" s="505">
        <f t="shared" si="4"/>
        <v>199.99950000000001</v>
      </c>
      <c r="N27" s="506">
        <f t="shared" si="5"/>
        <v>1999.9949999999999</v>
      </c>
      <c r="O27" s="507">
        <f>+L27*'Plan_Ejecutivo_Plurianual (PEP)'!$G$24</f>
        <v>405.6194239051095</v>
      </c>
      <c r="P27" s="505">
        <f>+M27*'Plan_Ejecutivo_Plurianual (PEP)'!$H$24</f>
        <v>45.068824878345509</v>
      </c>
      <c r="Q27" s="508">
        <f t="shared" si="6"/>
        <v>450.68824878345504</v>
      </c>
    </row>
    <row r="28" spans="2:17" x14ac:dyDescent="0.3">
      <c r="B28" s="70"/>
      <c r="C28" s="74" t="s">
        <v>402</v>
      </c>
      <c r="D28" s="228">
        <f>+F28*0.9</f>
        <v>389.99970000000002</v>
      </c>
      <c r="E28" s="228">
        <f>+F28*0.1</f>
        <v>43.333300000000008</v>
      </c>
      <c r="F28" s="229">
        <v>433.33300000000003</v>
      </c>
      <c r="G28" s="75"/>
      <c r="I28" s="509">
        <f>+'A1. Firmas Consultoras'!E63</f>
        <v>633.32999999999993</v>
      </c>
      <c r="J28" s="510" t="s">
        <v>387</v>
      </c>
      <c r="K28" s="511">
        <v>1</v>
      </c>
      <c r="L28" s="505">
        <f t="shared" si="3"/>
        <v>569.99699999999996</v>
      </c>
      <c r="M28" s="505">
        <f t="shared" si="4"/>
        <v>63.332999999999998</v>
      </c>
      <c r="N28" s="506">
        <f t="shared" si="5"/>
        <v>633.32999999999993</v>
      </c>
      <c r="O28" s="507">
        <f>+L28*'Plan_Ejecutivo_Plurianual (PEP)'!$G$24</f>
        <v>128.44579598540145</v>
      </c>
      <c r="P28" s="505">
        <f>+M28*'Plan_Ejecutivo_Plurianual (PEP)'!$H$24</f>
        <v>14.271755109489053</v>
      </c>
      <c r="Q28" s="508">
        <f t="shared" si="6"/>
        <v>142.7175510948905</v>
      </c>
    </row>
    <row r="29" spans="2:17" x14ac:dyDescent="0.3">
      <c r="B29" s="70"/>
      <c r="C29" s="74" t="s">
        <v>403</v>
      </c>
      <c r="D29" s="228">
        <f t="shared" ref="D29:D37" si="11">+F29*0.9</f>
        <v>180</v>
      </c>
      <c r="E29" s="228">
        <f t="shared" ref="E29:E37" si="12">+F29*0.1</f>
        <v>20</v>
      </c>
      <c r="F29" s="229">
        <v>200</v>
      </c>
      <c r="G29" s="75"/>
      <c r="I29" s="502"/>
      <c r="J29" s="503"/>
      <c r="K29" s="504"/>
      <c r="L29" s="505"/>
      <c r="M29" s="505"/>
      <c r="N29" s="506"/>
      <c r="O29" s="507"/>
      <c r="P29" s="505"/>
      <c r="Q29" s="508"/>
    </row>
    <row r="30" spans="2:17" x14ac:dyDescent="0.3">
      <c r="B30" s="70"/>
      <c r="C30" s="74" t="s">
        <v>404</v>
      </c>
      <c r="D30" s="228">
        <f t="shared" si="11"/>
        <v>585</v>
      </c>
      <c r="E30" s="228">
        <f t="shared" si="12"/>
        <v>65</v>
      </c>
      <c r="F30" s="229">
        <v>650</v>
      </c>
      <c r="G30" s="75"/>
      <c r="I30" s="509">
        <f>+'A1. Firmas Consultoras'!E48</f>
        <v>650.00040000000001</v>
      </c>
      <c r="J30" s="510" t="s">
        <v>387</v>
      </c>
      <c r="K30" s="511">
        <v>1</v>
      </c>
      <c r="L30" s="505">
        <f t="shared" si="3"/>
        <v>585.00036</v>
      </c>
      <c r="M30" s="505">
        <f t="shared" si="4"/>
        <v>65.000039999999998</v>
      </c>
      <c r="N30" s="506">
        <f t="shared" si="5"/>
        <v>650.00040000000001</v>
      </c>
      <c r="O30" s="507">
        <f>+L30*'Plan_Ejecutivo_Plurianual (PEP)'!$G$24</f>
        <v>131.82672345985401</v>
      </c>
      <c r="P30" s="505">
        <f>+M30*'Plan_Ejecutivo_Plurianual (PEP)'!$H$24</f>
        <v>14.647413717761559</v>
      </c>
      <c r="Q30" s="508">
        <f t="shared" si="6"/>
        <v>146.47413717761557</v>
      </c>
    </row>
    <row r="31" spans="2:17" x14ac:dyDescent="0.3">
      <c r="B31" s="70"/>
      <c r="C31" s="74" t="s">
        <v>405</v>
      </c>
      <c r="D31" s="228">
        <f t="shared" si="11"/>
        <v>389.99997000000002</v>
      </c>
      <c r="E31" s="228">
        <f t="shared" si="12"/>
        <v>43.333330000000004</v>
      </c>
      <c r="F31" s="229">
        <v>433.33330000000001</v>
      </c>
      <c r="G31" s="75"/>
      <c r="I31" s="509">
        <f>+'A1. Firmas Consultoras'!L48</f>
        <v>433.33199999999994</v>
      </c>
      <c r="J31" s="510" t="s">
        <v>387</v>
      </c>
      <c r="K31" s="511">
        <v>1</v>
      </c>
      <c r="L31" s="505">
        <f t="shared" si="3"/>
        <v>389.99879999999996</v>
      </c>
      <c r="M31" s="505">
        <f t="shared" si="4"/>
        <v>43.333199999999998</v>
      </c>
      <c r="N31" s="506">
        <f t="shared" si="5"/>
        <v>433.33199999999994</v>
      </c>
      <c r="O31" s="507">
        <f>+L31*'Plan_Ejecutivo_Plurianual (PEP)'!$G$24</f>
        <v>87.884157810218966</v>
      </c>
      <c r="P31" s="505">
        <f>+M31*'Plan_Ejecutivo_Plurianual (PEP)'!$H$24</f>
        <v>9.7649064233576652</v>
      </c>
      <c r="Q31" s="508">
        <f t="shared" si="6"/>
        <v>97.649064233576638</v>
      </c>
    </row>
    <row r="32" spans="2:17" ht="24.6" thickBot="1" x14ac:dyDescent="0.35">
      <c r="B32" s="79"/>
      <c r="C32" s="80" t="s">
        <v>406</v>
      </c>
      <c r="D32" s="232">
        <f t="shared" si="11"/>
        <v>129.6</v>
      </c>
      <c r="E32" s="232">
        <f t="shared" si="12"/>
        <v>14.4</v>
      </c>
      <c r="F32" s="233">
        <v>144</v>
      </c>
      <c r="G32" s="82"/>
      <c r="I32" s="509">
        <f>+'A2. Consultorias Individuales'!J12</f>
        <v>144.44399999999999</v>
      </c>
      <c r="J32" s="510" t="s">
        <v>399</v>
      </c>
      <c r="K32" s="511">
        <v>1</v>
      </c>
      <c r="L32" s="505">
        <f t="shared" si="3"/>
        <v>129.99959999999999</v>
      </c>
      <c r="M32" s="505">
        <f t="shared" si="4"/>
        <v>14.4444</v>
      </c>
      <c r="N32" s="506">
        <f t="shared" si="5"/>
        <v>144.44399999999999</v>
      </c>
      <c r="O32" s="507">
        <f>+L32*'Plan_Ejecutivo_Plurianual (PEP)'!$G$24</f>
        <v>29.294719270072989</v>
      </c>
      <c r="P32" s="505">
        <f>+M32*'Plan_Ejecutivo_Plurianual (PEP)'!$H$24</f>
        <v>3.2549688077858883</v>
      </c>
      <c r="Q32" s="508">
        <f t="shared" si="6"/>
        <v>32.549688077858875</v>
      </c>
    </row>
    <row r="33" spans="2:17" x14ac:dyDescent="0.3">
      <c r="B33" s="73" t="s">
        <v>407</v>
      </c>
      <c r="C33" s="83" t="s">
        <v>32</v>
      </c>
      <c r="D33" s="234">
        <f>+SUM(D34:D36)</f>
        <v>747.62999999999988</v>
      </c>
      <c r="E33" s="234">
        <f t="shared" ref="E33:F33" si="13">+SUM(E34:E36)</f>
        <v>83.07</v>
      </c>
      <c r="F33" s="234">
        <f t="shared" si="13"/>
        <v>830.69999999999993</v>
      </c>
      <c r="G33" s="61"/>
      <c r="I33" s="509">
        <f>+'A1. Firmas Consultoras'!E32</f>
        <v>830.55700000000002</v>
      </c>
      <c r="J33" s="510" t="s">
        <v>387</v>
      </c>
      <c r="K33" s="511">
        <v>1</v>
      </c>
      <c r="L33" s="505">
        <f t="shared" si="3"/>
        <v>747.50130000000001</v>
      </c>
      <c r="M33" s="505">
        <f t="shared" si="4"/>
        <v>83.055700000000002</v>
      </c>
      <c r="N33" s="506">
        <f t="shared" si="5"/>
        <v>830.55700000000002</v>
      </c>
      <c r="O33" s="507">
        <f>+L33*'Plan_Ejecutivo_Plurianual (PEP)'!$G$24</f>
        <v>168.44544704379561</v>
      </c>
      <c r="P33" s="505">
        <f>+M33*'Plan_Ejecutivo_Plurianual (PEP)'!$H$24</f>
        <v>18.716160782643961</v>
      </c>
      <c r="Q33" s="508">
        <f t="shared" si="6"/>
        <v>187.16160782643956</v>
      </c>
    </row>
    <row r="34" spans="2:17" x14ac:dyDescent="0.3">
      <c r="B34" s="70"/>
      <c r="C34" s="74" t="s">
        <v>408</v>
      </c>
      <c r="D34" s="228">
        <f>+F34*0.9</f>
        <v>249.20999999999998</v>
      </c>
      <c r="E34" s="228">
        <f>+F34*0.1</f>
        <v>27.689999999999998</v>
      </c>
      <c r="F34" s="228">
        <v>276.89999999999998</v>
      </c>
      <c r="G34" s="71"/>
      <c r="I34" s="502"/>
      <c r="J34" s="503"/>
      <c r="K34" s="504"/>
      <c r="L34" s="505"/>
      <c r="M34" s="505"/>
      <c r="N34" s="506"/>
      <c r="O34" s="507"/>
      <c r="P34" s="505"/>
      <c r="Q34" s="508"/>
    </row>
    <row r="35" spans="2:17" x14ac:dyDescent="0.3">
      <c r="B35" s="70"/>
      <c r="C35" s="74" t="s">
        <v>409</v>
      </c>
      <c r="D35" s="228">
        <f t="shared" ref="D35:D36" si="14">+F35*0.9</f>
        <v>249.20999999999998</v>
      </c>
      <c r="E35" s="228">
        <f>+F35*0.1</f>
        <v>27.689999999999998</v>
      </c>
      <c r="F35" s="228">
        <v>276.89999999999998</v>
      </c>
      <c r="G35" s="71"/>
      <c r="I35" s="502"/>
      <c r="J35" s="503"/>
      <c r="K35" s="504"/>
      <c r="L35" s="505"/>
      <c r="M35" s="505"/>
      <c r="N35" s="506"/>
      <c r="O35" s="507"/>
      <c r="P35" s="505"/>
      <c r="Q35" s="508"/>
    </row>
    <row r="36" spans="2:17" ht="16.2" thickBot="1" x14ac:dyDescent="0.35">
      <c r="B36" s="79"/>
      <c r="C36" s="80" t="s">
        <v>410</v>
      </c>
      <c r="D36" s="232">
        <f t="shared" si="14"/>
        <v>249.20999999999998</v>
      </c>
      <c r="E36" s="232">
        <f>+F36*0.1</f>
        <v>27.689999999999998</v>
      </c>
      <c r="F36" s="232">
        <v>276.89999999999998</v>
      </c>
      <c r="G36" s="81"/>
      <c r="I36" s="502"/>
      <c r="J36" s="503"/>
      <c r="K36" s="504"/>
      <c r="L36" s="505"/>
      <c r="M36" s="505"/>
      <c r="N36" s="506"/>
      <c r="O36" s="507"/>
      <c r="P36" s="505"/>
      <c r="Q36" s="508"/>
    </row>
    <row r="37" spans="2:17" ht="30.75" customHeight="1" thickBot="1" x14ac:dyDescent="0.35">
      <c r="B37" s="6" t="s">
        <v>411</v>
      </c>
      <c r="C37" s="84" t="s">
        <v>412</v>
      </c>
      <c r="D37" s="235">
        <f t="shared" si="11"/>
        <v>1350</v>
      </c>
      <c r="E37" s="235">
        <f t="shared" si="12"/>
        <v>150</v>
      </c>
      <c r="F37" s="236">
        <v>1500</v>
      </c>
      <c r="G37" s="85"/>
      <c r="I37" s="509">
        <v>1500</v>
      </c>
      <c r="J37" s="510" t="s">
        <v>378</v>
      </c>
      <c r="K37" s="504"/>
      <c r="L37" s="505">
        <f t="shared" si="3"/>
        <v>1350</v>
      </c>
      <c r="M37" s="505">
        <f t="shared" si="4"/>
        <v>150</v>
      </c>
      <c r="N37" s="506">
        <f t="shared" si="5"/>
        <v>1500</v>
      </c>
      <c r="O37" s="507">
        <f>+L37*'Plan_Ejecutivo_Plurianual (PEP)'!$G$24</f>
        <v>304.21532846715326</v>
      </c>
      <c r="P37" s="505">
        <f>+M37*'Plan_Ejecutivo_Plurianual (PEP)'!$H$24</f>
        <v>33.801703163017038</v>
      </c>
      <c r="Q37" s="508">
        <f t="shared" si="6"/>
        <v>338.01703163017032</v>
      </c>
    </row>
    <row r="38" spans="2:17" ht="43.8" thickBot="1" x14ac:dyDescent="0.35">
      <c r="B38" s="86" t="s">
        <v>145</v>
      </c>
      <c r="C38" s="87" t="s">
        <v>159</v>
      </c>
      <c r="D38" s="237">
        <f>SUM(D39:D42)</f>
        <v>29393.01</v>
      </c>
      <c r="E38" s="237">
        <f>SUM(E39:E42)</f>
        <v>3265.89</v>
      </c>
      <c r="F38" s="237">
        <f>SUM(F39:F42)</f>
        <v>32658.9</v>
      </c>
      <c r="G38" s="58">
        <f>+F38/$F$75</f>
        <v>0.29555555961115143</v>
      </c>
      <c r="I38" s="513"/>
      <c r="J38" s="510"/>
      <c r="K38" s="504"/>
      <c r="L38" s="505"/>
      <c r="M38" s="505"/>
      <c r="N38" s="506"/>
      <c r="O38" s="507"/>
      <c r="P38" s="505"/>
    </row>
    <row r="39" spans="2:17" ht="16.2" thickBot="1" x14ac:dyDescent="0.35">
      <c r="B39" s="88" t="s">
        <v>413</v>
      </c>
      <c r="C39" s="89" t="s">
        <v>37</v>
      </c>
      <c r="D39" s="238">
        <f>+F39*0.9</f>
        <v>5259.96</v>
      </c>
      <c r="E39" s="238">
        <f>+F39*0.1</f>
        <v>584.43999999999994</v>
      </c>
      <c r="F39" s="239">
        <v>5844.4</v>
      </c>
      <c r="G39" s="514"/>
      <c r="I39" s="509">
        <f>+F39</f>
        <v>5844.4</v>
      </c>
      <c r="J39" s="510" t="s">
        <v>387</v>
      </c>
      <c r="K39" s="504"/>
      <c r="L39" s="505">
        <f t="shared" ref="L39:L42" si="15">+I39*0.9</f>
        <v>5259.96</v>
      </c>
      <c r="M39" s="505">
        <f t="shared" ref="M39:M42" si="16">+I39*0.1</f>
        <v>584.43999999999994</v>
      </c>
      <c r="N39" s="506">
        <f t="shared" ref="N39:N42" si="17">+L39+M39</f>
        <v>5844.4</v>
      </c>
      <c r="O39" s="507">
        <f>+L39*'Plan_Ejecutivo_Plurianual (PEP)'!$G$25</f>
        <v>1722.6377053095721</v>
      </c>
      <c r="P39" s="507">
        <f>+M39*'Plan_Ejecutivo_Plurianual (PEP)'!$G$25</f>
        <v>191.40418947884132</v>
      </c>
      <c r="Q39" s="508">
        <f t="shared" si="6"/>
        <v>1914.0418947884134</v>
      </c>
    </row>
    <row r="40" spans="2:17" ht="16.2" thickBot="1" x14ac:dyDescent="0.35">
      <c r="B40" s="90" t="s">
        <v>414</v>
      </c>
      <c r="C40" s="89" t="s">
        <v>39</v>
      </c>
      <c r="D40" s="238">
        <f>+F40*0.9</f>
        <v>6390</v>
      </c>
      <c r="E40" s="238">
        <f>+F40*0.1</f>
        <v>710</v>
      </c>
      <c r="F40" s="239">
        <v>7100</v>
      </c>
      <c r="G40" s="515"/>
      <c r="I40" s="509">
        <f>+F40</f>
        <v>7100</v>
      </c>
      <c r="J40" s="510" t="s">
        <v>387</v>
      </c>
      <c r="K40" s="504"/>
      <c r="L40" s="505">
        <f t="shared" si="15"/>
        <v>6390</v>
      </c>
      <c r="M40" s="505">
        <f t="shared" si="16"/>
        <v>710</v>
      </c>
      <c r="N40" s="506">
        <f t="shared" si="17"/>
        <v>7100</v>
      </c>
      <c r="O40" s="507">
        <f>+L40*'Plan_Ejecutivo_Plurianual (PEP)'!$G$25</f>
        <v>2092.7259783207792</v>
      </c>
      <c r="P40" s="507">
        <f>+M40*'Plan_Ejecutivo_Plurianual (PEP)'!$G$25</f>
        <v>232.52510870230881</v>
      </c>
      <c r="Q40" s="508">
        <f t="shared" si="6"/>
        <v>2325.2510870230881</v>
      </c>
    </row>
    <row r="41" spans="2:17" x14ac:dyDescent="0.3">
      <c r="B41" s="90" t="s">
        <v>415</v>
      </c>
      <c r="C41" s="89" t="s">
        <v>416</v>
      </c>
      <c r="D41" s="238">
        <f>+F41*0.9</f>
        <v>15534</v>
      </c>
      <c r="E41" s="238">
        <f>+F41*0.1</f>
        <v>1726</v>
      </c>
      <c r="F41" s="239">
        <v>17260</v>
      </c>
      <c r="G41" s="515"/>
      <c r="H41" s="258"/>
      <c r="I41" s="509">
        <f>+F41</f>
        <v>17260</v>
      </c>
      <c r="J41" s="510" t="s">
        <v>417</v>
      </c>
      <c r="K41" s="504"/>
      <c r="L41" s="505">
        <f t="shared" si="15"/>
        <v>15534</v>
      </c>
      <c r="M41" s="505">
        <f t="shared" si="16"/>
        <v>1726</v>
      </c>
      <c r="N41" s="506">
        <f t="shared" si="17"/>
        <v>17260</v>
      </c>
      <c r="O41" s="507">
        <f>+L41*'Plan_Ejecutivo_Plurianual (PEP)'!$G$25</f>
        <v>5087.3873782840355</v>
      </c>
      <c r="P41" s="507">
        <f>+M41*'Plan_Ejecutivo_Plurianual (PEP)'!$G$25</f>
        <v>565.26526425378165</v>
      </c>
      <c r="Q41" s="508">
        <f t="shared" si="6"/>
        <v>5652.652642537817</v>
      </c>
    </row>
    <row r="42" spans="2:17" ht="16.2" thickBot="1" x14ac:dyDescent="0.35">
      <c r="B42" s="91" t="s">
        <v>418</v>
      </c>
      <c r="C42" s="92" t="s">
        <v>419</v>
      </c>
      <c r="D42" s="240">
        <f>+F42*0.9</f>
        <v>2209.0500000000002</v>
      </c>
      <c r="E42" s="240">
        <f>+F42*0.1</f>
        <v>245.45000000000002</v>
      </c>
      <c r="F42" s="241">
        <v>2454.5</v>
      </c>
      <c r="G42" s="516"/>
      <c r="I42" s="509">
        <f>+F42</f>
        <v>2454.5</v>
      </c>
      <c r="J42" s="510" t="s">
        <v>387</v>
      </c>
      <c r="K42" s="504"/>
      <c r="L42" s="505">
        <f t="shared" si="15"/>
        <v>2209.0500000000002</v>
      </c>
      <c r="M42" s="505">
        <f t="shared" si="16"/>
        <v>245.45000000000002</v>
      </c>
      <c r="N42" s="506">
        <f t="shared" si="17"/>
        <v>2454.5</v>
      </c>
      <c r="O42" s="507">
        <f>+L42*'Plan_Ejecutivo_Plurianual (PEP)'!$G$25</f>
        <v>723.46421320962713</v>
      </c>
      <c r="P42" s="507">
        <f>+M42*'Plan_Ejecutivo_Plurianual (PEP)'!$G$25</f>
        <v>80.384912578847462</v>
      </c>
      <c r="Q42" s="508">
        <f t="shared" si="6"/>
        <v>803.84912578847457</v>
      </c>
    </row>
    <row r="43" spans="2:17" ht="29.4" thickBot="1" x14ac:dyDescent="0.35">
      <c r="B43" s="86" t="s">
        <v>146</v>
      </c>
      <c r="C43" s="87" t="s">
        <v>160</v>
      </c>
      <c r="D43" s="237">
        <f>SUM(D44:D49)</f>
        <v>2730.0573000000004</v>
      </c>
      <c r="E43" s="237">
        <f>SUM(E44:E49)</f>
        <v>303.33970000000005</v>
      </c>
      <c r="F43" s="237">
        <f>SUM(F44:F49)</f>
        <v>3033.3969999999999</v>
      </c>
      <c r="G43" s="58">
        <f>+F43/$F$75</f>
        <v>2.7451547598289834E-2</v>
      </c>
      <c r="I43" s="502"/>
      <c r="J43" s="503"/>
      <c r="K43" s="504"/>
      <c r="L43" s="505"/>
      <c r="M43" s="505"/>
      <c r="N43" s="506"/>
      <c r="O43" s="507"/>
      <c r="P43" s="505"/>
      <c r="Q43" s="508"/>
    </row>
    <row r="44" spans="2:17" x14ac:dyDescent="0.3">
      <c r="B44" s="93"/>
      <c r="C44" s="94" t="s">
        <v>46</v>
      </c>
      <c r="D44" s="225">
        <f>+F44*0.9</f>
        <v>585</v>
      </c>
      <c r="E44" s="225">
        <f>+F44*0.1</f>
        <v>65</v>
      </c>
      <c r="F44" s="225">
        <v>650</v>
      </c>
      <c r="G44" s="517"/>
      <c r="I44" s="509">
        <f>+'A1. Firmas Consultoras'!E105</f>
        <v>649.99799999999993</v>
      </c>
      <c r="J44" s="510" t="s">
        <v>387</v>
      </c>
      <c r="K44" s="518">
        <v>1</v>
      </c>
      <c r="L44" s="505">
        <f t="shared" si="3"/>
        <v>584.9982</v>
      </c>
      <c r="M44" s="505">
        <f t="shared" si="4"/>
        <v>64.999799999999993</v>
      </c>
      <c r="N44" s="506">
        <f t="shared" si="5"/>
        <v>649.99800000000005</v>
      </c>
      <c r="O44" s="507">
        <f>+L44*'Plan_Ejecutivo_Plurianual (PEP)'!$G$26+0.4</f>
        <v>407.81634693473956</v>
      </c>
      <c r="P44" s="505">
        <f>+M44*'Plan_Ejecutivo_Plurianual (PEP)'!$H$26</f>
        <v>45.268482992748837</v>
      </c>
      <c r="Q44" s="508">
        <f t="shared" si="6"/>
        <v>453.08482992748839</v>
      </c>
    </row>
    <row r="45" spans="2:17" x14ac:dyDescent="0.3">
      <c r="B45" s="95"/>
      <c r="C45" s="96" t="s">
        <v>48</v>
      </c>
      <c r="D45" s="242">
        <f t="shared" ref="D45:D49" si="18">+F45*0.9</f>
        <v>487.50030000000004</v>
      </c>
      <c r="E45" s="242">
        <f t="shared" ref="E45:E49" si="19">+F45*0.1</f>
        <v>54.166700000000006</v>
      </c>
      <c r="F45" s="243">
        <v>541.66700000000003</v>
      </c>
      <c r="G45" s="519"/>
      <c r="I45" s="509">
        <f>+'A1. Firmas Consultoras'!L105</f>
        <v>541.66499999999996</v>
      </c>
      <c r="J45" s="510" t="s">
        <v>387</v>
      </c>
      <c r="K45" s="518">
        <v>1</v>
      </c>
      <c r="L45" s="505">
        <f t="shared" si="3"/>
        <v>487.49849999999998</v>
      </c>
      <c r="M45" s="505">
        <f t="shared" si="4"/>
        <v>54.166499999999999</v>
      </c>
      <c r="N45" s="506">
        <f t="shared" si="5"/>
        <v>541.66499999999996</v>
      </c>
      <c r="O45" s="507">
        <f>+L45*'Plan_Ejecutivo_Plurianual (PEP)'!$G$26</f>
        <v>339.51362244561631</v>
      </c>
      <c r="P45" s="505">
        <f>+M45*'Plan_Ejecutivo_Plurianual (PEP)'!$H$26</f>
        <v>37.723735827290703</v>
      </c>
      <c r="Q45" s="508">
        <f t="shared" si="6"/>
        <v>377.23735827290699</v>
      </c>
    </row>
    <row r="46" spans="2:17" x14ac:dyDescent="0.3">
      <c r="B46" s="95"/>
      <c r="C46" s="96" t="s">
        <v>50</v>
      </c>
      <c r="D46" s="242">
        <f t="shared" si="18"/>
        <v>389.99700000000001</v>
      </c>
      <c r="E46" s="242">
        <f t="shared" si="19"/>
        <v>43.332999999999998</v>
      </c>
      <c r="F46" s="243">
        <v>433.33</v>
      </c>
      <c r="G46" s="519"/>
      <c r="I46" s="509">
        <f>+'A1. Firmas Consultoras'!E117</f>
        <v>433.33359999999999</v>
      </c>
      <c r="J46" s="510" t="s">
        <v>387</v>
      </c>
      <c r="K46" s="518">
        <v>1</v>
      </c>
      <c r="L46" s="505">
        <f t="shared" si="3"/>
        <v>390.00024000000002</v>
      </c>
      <c r="M46" s="505">
        <f t="shared" si="4"/>
        <v>43.333359999999999</v>
      </c>
      <c r="N46" s="506">
        <f t="shared" si="5"/>
        <v>433.33360000000005</v>
      </c>
      <c r="O46" s="507">
        <f>+L46*'Plan_Ejecutivo_Plurianual (PEP)'!$G$26</f>
        <v>271.61190083058665</v>
      </c>
      <c r="P46" s="505">
        <f>+M46*'Plan_Ejecutivo_Plurianual (PEP)'!$H$26</f>
        <v>30.179100092287406</v>
      </c>
      <c r="Q46" s="508">
        <f t="shared" si="6"/>
        <v>301.79100092287405</v>
      </c>
    </row>
    <row r="47" spans="2:17" x14ac:dyDescent="0.3">
      <c r="B47" s="95"/>
      <c r="C47" s="96" t="s">
        <v>52</v>
      </c>
      <c r="D47" s="242">
        <f t="shared" si="18"/>
        <v>487.53000000000003</v>
      </c>
      <c r="E47" s="242">
        <f t="shared" si="19"/>
        <v>54.170000000000009</v>
      </c>
      <c r="F47" s="243">
        <v>541.70000000000005</v>
      </c>
      <c r="G47" s="519"/>
      <c r="I47" s="509">
        <f>+'A1. Firmas Consultoras'!L117</f>
        <v>541.66700000000003</v>
      </c>
      <c r="J47" s="510" t="s">
        <v>387</v>
      </c>
      <c r="K47" s="518">
        <v>1</v>
      </c>
      <c r="L47" s="505">
        <f t="shared" si="3"/>
        <v>487.50030000000004</v>
      </c>
      <c r="M47" s="505">
        <f t="shared" si="4"/>
        <v>54.166700000000006</v>
      </c>
      <c r="N47" s="506">
        <f t="shared" si="5"/>
        <v>541.66700000000003</v>
      </c>
      <c r="O47" s="507">
        <f>+L47*'Plan_Ejecutivo_Plurianual (PEP)'!$G$26</f>
        <v>339.51487603823335</v>
      </c>
      <c r="P47" s="505">
        <f>+M47*'Plan_Ejecutivo_Plurianual (PEP)'!$H$26</f>
        <v>37.723875115359263</v>
      </c>
      <c r="Q47" s="508">
        <f t="shared" si="6"/>
        <v>377.2387511535926</v>
      </c>
    </row>
    <row r="48" spans="2:17" x14ac:dyDescent="0.3">
      <c r="B48" s="95"/>
      <c r="C48" s="96" t="s">
        <v>54</v>
      </c>
      <c r="D48" s="242">
        <f t="shared" si="18"/>
        <v>487.53000000000003</v>
      </c>
      <c r="E48" s="242">
        <f t="shared" si="19"/>
        <v>54.170000000000009</v>
      </c>
      <c r="F48" s="243">
        <v>541.70000000000005</v>
      </c>
      <c r="G48" s="519"/>
      <c r="I48" s="509">
        <f>+'A1. Firmas Consultoras'!E129</f>
        <v>541.66700000000003</v>
      </c>
      <c r="J48" s="510" t="s">
        <v>387</v>
      </c>
      <c r="K48" s="518">
        <v>1</v>
      </c>
      <c r="L48" s="505">
        <f t="shared" si="3"/>
        <v>487.50030000000004</v>
      </c>
      <c r="M48" s="505">
        <f t="shared" si="4"/>
        <v>54.166700000000006</v>
      </c>
      <c r="N48" s="506">
        <f t="shared" si="5"/>
        <v>541.66700000000003</v>
      </c>
      <c r="O48" s="507">
        <f>+L48*'Plan_Ejecutivo_Plurianual (PEP)'!$G$26</f>
        <v>339.51487603823335</v>
      </c>
      <c r="P48" s="505">
        <f>+M48*'Plan_Ejecutivo_Plurianual (PEP)'!$H$26</f>
        <v>37.723875115359263</v>
      </c>
      <c r="Q48" s="508">
        <f t="shared" si="6"/>
        <v>377.2387511535926</v>
      </c>
    </row>
    <row r="49" spans="2:17" ht="16.2" thickBot="1" x14ac:dyDescent="0.35">
      <c r="B49" s="6"/>
      <c r="C49" s="98" t="s">
        <v>56</v>
      </c>
      <c r="D49" s="241">
        <f t="shared" si="18"/>
        <v>292.5</v>
      </c>
      <c r="E49" s="241">
        <f t="shared" si="19"/>
        <v>32.5</v>
      </c>
      <c r="F49" s="244">
        <v>325</v>
      </c>
      <c r="G49" s="520"/>
      <c r="I49" s="509">
        <f>+'A1. Firmas Consultoras'!L129</f>
        <v>325.00020000000001</v>
      </c>
      <c r="J49" s="510" t="s">
        <v>387</v>
      </c>
      <c r="K49" s="518">
        <v>1</v>
      </c>
      <c r="L49" s="505">
        <f t="shared" si="3"/>
        <v>292.50018</v>
      </c>
      <c r="M49" s="505">
        <f t="shared" si="4"/>
        <v>32.500019999999999</v>
      </c>
      <c r="N49" s="506">
        <f t="shared" si="5"/>
        <v>325.00020000000001</v>
      </c>
      <c r="O49" s="507">
        <f>+L49*'Plan_Ejecutivo_Plurianual (PEP)'!$G$26</f>
        <v>203.70892562294</v>
      </c>
      <c r="P49" s="505">
        <f>+M49*'Plan_Ejecutivo_Plurianual (PEP)'!$H$26</f>
        <v>22.634325069215553</v>
      </c>
      <c r="Q49" s="508">
        <f t="shared" si="6"/>
        <v>226.34325069215555</v>
      </c>
    </row>
    <row r="50" spans="2:17" ht="16.2" thickBot="1" x14ac:dyDescent="0.35">
      <c r="B50" s="53">
        <v>2</v>
      </c>
      <c r="C50" s="54" t="s">
        <v>161</v>
      </c>
      <c r="D50" s="223">
        <f>+D51+D52+D53</f>
        <v>42840</v>
      </c>
      <c r="E50" s="223">
        <f t="shared" ref="E50:F50" si="20">+E51+E52+E53</f>
        <v>4760</v>
      </c>
      <c r="F50" s="223">
        <f t="shared" si="20"/>
        <v>47600</v>
      </c>
      <c r="G50" s="55">
        <f>+F50/$F$75</f>
        <v>0.43076909012522796</v>
      </c>
      <c r="I50" s="502"/>
      <c r="J50" s="503"/>
      <c r="K50" s="504"/>
      <c r="L50" s="505"/>
      <c r="M50" s="505"/>
      <c r="N50" s="506"/>
      <c r="O50" s="507"/>
      <c r="P50" s="507"/>
      <c r="Q50" s="507"/>
    </row>
    <row r="51" spans="2:17" ht="16.2" thickBot="1" x14ac:dyDescent="0.35">
      <c r="B51" s="100" t="s">
        <v>147</v>
      </c>
      <c r="C51" s="92" t="s">
        <v>162</v>
      </c>
      <c r="D51" s="240">
        <f>+F51*0.9</f>
        <v>18900</v>
      </c>
      <c r="E51" s="240">
        <f>+F51*0.1</f>
        <v>2100</v>
      </c>
      <c r="F51" s="241">
        <v>21000</v>
      </c>
      <c r="G51" s="514"/>
      <c r="I51" s="509">
        <f>+F51</f>
        <v>21000</v>
      </c>
      <c r="J51" s="510" t="s">
        <v>420</v>
      </c>
      <c r="K51" s="504"/>
      <c r="L51" s="505">
        <f t="shared" si="3"/>
        <v>18900</v>
      </c>
      <c r="M51" s="505">
        <f t="shared" ref="M51:M53" si="21">+I51*0.1</f>
        <v>2100</v>
      </c>
      <c r="N51" s="506">
        <f t="shared" ref="N51:N53" si="22">+L51+M51</f>
        <v>21000</v>
      </c>
      <c r="O51" s="507">
        <f>+L51*'Plan_Ejecutivo_Plurianual (PEP)'!$G$28</f>
        <v>10829.250000000002</v>
      </c>
      <c r="P51" s="505">
        <f>+M51*'Plan_Ejecutivo_Plurianual (PEP)'!$H$28</f>
        <v>1203.25</v>
      </c>
      <c r="Q51" s="521">
        <f t="shared" si="6"/>
        <v>12032.500000000002</v>
      </c>
    </row>
    <row r="52" spans="2:17" ht="16.2" thickBot="1" x14ac:dyDescent="0.35">
      <c r="B52" s="101" t="s">
        <v>148</v>
      </c>
      <c r="C52" s="92" t="s">
        <v>163</v>
      </c>
      <c r="D52" s="240">
        <f t="shared" ref="D52:D53" si="23">+F52*0.9</f>
        <v>11160</v>
      </c>
      <c r="E52" s="240">
        <f t="shared" ref="E52:E53" si="24">+F52*0.1</f>
        <v>1240</v>
      </c>
      <c r="F52" s="241">
        <v>12400</v>
      </c>
      <c r="G52" s="519"/>
      <c r="I52" s="509">
        <f>+F52</f>
        <v>12400</v>
      </c>
      <c r="J52" s="510" t="s">
        <v>420</v>
      </c>
      <c r="K52" s="504"/>
      <c r="L52" s="505">
        <f t="shared" ref="L52:L53" si="25">+I52*0.9</f>
        <v>11160</v>
      </c>
      <c r="M52" s="505">
        <f t="shared" si="21"/>
        <v>1240</v>
      </c>
      <c r="N52" s="506">
        <f t="shared" si="22"/>
        <v>12400</v>
      </c>
      <c r="O52" s="507">
        <f>+L52*'Plan_Ejecutivo_Plurianual (PEP)'!$G$29</f>
        <v>5022</v>
      </c>
      <c r="P52" s="505">
        <f>+M52*'Plan_Ejecutivo_Plurianual (PEP)'!$H$29</f>
        <v>558</v>
      </c>
      <c r="Q52" s="521">
        <f t="shared" si="6"/>
        <v>5580</v>
      </c>
    </row>
    <row r="53" spans="2:17" ht="16.2" thickBot="1" x14ac:dyDescent="0.35">
      <c r="B53" s="102" t="s">
        <v>149</v>
      </c>
      <c r="C53" s="92" t="s">
        <v>164</v>
      </c>
      <c r="D53" s="240">
        <f t="shared" si="23"/>
        <v>12780</v>
      </c>
      <c r="E53" s="240">
        <f t="shared" si="24"/>
        <v>1420</v>
      </c>
      <c r="F53" s="241">
        <v>14200</v>
      </c>
      <c r="G53" s="520"/>
      <c r="I53" s="509">
        <f>+F53</f>
        <v>14200</v>
      </c>
      <c r="J53" s="510" t="s">
        <v>420</v>
      </c>
      <c r="K53" s="504"/>
      <c r="L53" s="505">
        <f t="shared" si="25"/>
        <v>12780</v>
      </c>
      <c r="M53" s="505">
        <f t="shared" si="21"/>
        <v>1420</v>
      </c>
      <c r="N53" s="506">
        <f t="shared" si="22"/>
        <v>14200</v>
      </c>
      <c r="O53" s="507">
        <f>+L53*'Plan_Ejecutivo_Plurianual (PEP)'!$G$30</f>
        <v>4680</v>
      </c>
      <c r="P53" s="505">
        <f>+M53*'Plan_Ejecutivo_Plurianual (PEP)'!$H$30</f>
        <v>520</v>
      </c>
      <c r="Q53" s="521">
        <f t="shared" si="6"/>
        <v>5200</v>
      </c>
    </row>
    <row r="54" spans="2:17" ht="47.4" thickBot="1" x14ac:dyDescent="0.35">
      <c r="B54" s="53">
        <v>3</v>
      </c>
      <c r="C54" s="103" t="s">
        <v>165</v>
      </c>
      <c r="D54" s="223">
        <f>+D55+D63+D68</f>
        <v>8440.2439999992002</v>
      </c>
      <c r="E54" s="223">
        <f>+E55+E63+E68</f>
        <v>937.80488888880006</v>
      </c>
      <c r="F54" s="223">
        <f>+D54+E54</f>
        <v>9378.0488888880009</v>
      </c>
      <c r="G54" s="55">
        <f>+F54/$F$75</f>
        <v>8.4869193004541793E-2</v>
      </c>
      <c r="I54" s="502"/>
      <c r="J54" s="503"/>
      <c r="K54" s="504"/>
      <c r="L54" s="505"/>
      <c r="M54" s="505"/>
      <c r="N54" s="506"/>
      <c r="O54" s="507"/>
      <c r="P54" s="507"/>
      <c r="Q54" s="507"/>
    </row>
    <row r="55" spans="2:17" ht="27.6" x14ac:dyDescent="0.3">
      <c r="B55" s="100" t="s">
        <v>150</v>
      </c>
      <c r="C55" s="104" t="s">
        <v>92</v>
      </c>
      <c r="D55" s="239">
        <f>SUM(D56:D62)</f>
        <v>4095</v>
      </c>
      <c r="E55" s="239">
        <f t="shared" ref="E55:F55" si="26">SUM(E56:E62)</f>
        <v>455</v>
      </c>
      <c r="F55" s="239">
        <f t="shared" si="26"/>
        <v>4550</v>
      </c>
      <c r="G55" s="105">
        <f>+F55/$F$75</f>
        <v>4.1176457144323261E-2</v>
      </c>
      <c r="I55" s="509">
        <f>+'A2. Consultorias Individuales'!E26</f>
        <v>4549.9943999999996</v>
      </c>
      <c r="J55" s="510" t="s">
        <v>399</v>
      </c>
      <c r="K55" s="511">
        <v>1</v>
      </c>
      <c r="L55" s="505">
        <f t="shared" si="3"/>
        <v>4094.9949599999995</v>
      </c>
      <c r="M55" s="505">
        <f t="shared" si="4"/>
        <v>454.99943999999999</v>
      </c>
      <c r="N55" s="506">
        <f t="shared" si="5"/>
        <v>4549.9943999999996</v>
      </c>
      <c r="O55" s="507">
        <f>+L55*'Plan_Ejecutivo_Plurianual (PEP)'!$G$32</f>
        <v>2047.4974799999998</v>
      </c>
      <c r="P55" s="505">
        <f>+M55*'Plan_Ejecutivo_Plurianual (PEP)'!$H$32</f>
        <v>227.49972</v>
      </c>
      <c r="Q55" s="521">
        <f t="shared" si="6"/>
        <v>2274.9971999999998</v>
      </c>
    </row>
    <row r="56" spans="2:17" x14ac:dyDescent="0.3">
      <c r="B56" s="101"/>
      <c r="C56" s="96" t="s">
        <v>421</v>
      </c>
      <c r="D56" s="245">
        <f t="shared" ref="D56:D62" si="27">+F56*0.9</f>
        <v>585</v>
      </c>
      <c r="E56" s="245">
        <f t="shared" ref="E56:E62" si="28">+F56*0.1</f>
        <v>65</v>
      </c>
      <c r="F56" s="243">
        <v>650</v>
      </c>
      <c r="G56" s="97"/>
      <c r="I56" s="502"/>
      <c r="J56" s="503"/>
      <c r="K56" s="504"/>
      <c r="L56" s="505"/>
      <c r="M56" s="505"/>
      <c r="N56" s="506"/>
      <c r="O56" s="507"/>
      <c r="P56" s="505"/>
      <c r="Q56" s="508"/>
    </row>
    <row r="57" spans="2:17" x14ac:dyDescent="0.3">
      <c r="B57" s="101"/>
      <c r="C57" s="96" t="s">
        <v>422</v>
      </c>
      <c r="D57" s="245">
        <f t="shared" si="27"/>
        <v>585</v>
      </c>
      <c r="E57" s="245">
        <f t="shared" si="28"/>
        <v>65</v>
      </c>
      <c r="F57" s="243">
        <v>650</v>
      </c>
      <c r="G57" s="97"/>
      <c r="I57" s="502"/>
      <c r="J57" s="503"/>
      <c r="K57" s="504"/>
      <c r="L57" s="505"/>
      <c r="M57" s="505"/>
      <c r="N57" s="506"/>
      <c r="O57" s="507"/>
      <c r="P57" s="505"/>
      <c r="Q57" s="508"/>
    </row>
    <row r="58" spans="2:17" x14ac:dyDescent="0.3">
      <c r="B58" s="101"/>
      <c r="C58" s="96" t="s">
        <v>423</v>
      </c>
      <c r="D58" s="245">
        <f t="shared" si="27"/>
        <v>585</v>
      </c>
      <c r="E58" s="245">
        <f t="shared" si="28"/>
        <v>65</v>
      </c>
      <c r="F58" s="243">
        <v>650</v>
      </c>
      <c r="G58" s="97"/>
      <c r="I58" s="502"/>
      <c r="J58" s="503"/>
      <c r="K58" s="504"/>
      <c r="L58" s="505"/>
      <c r="M58" s="505"/>
      <c r="N58" s="506"/>
      <c r="O58" s="507"/>
      <c r="P58" s="505"/>
      <c r="Q58" s="508"/>
    </row>
    <row r="59" spans="2:17" x14ac:dyDescent="0.3">
      <c r="B59" s="101"/>
      <c r="C59" s="96" t="s">
        <v>424</v>
      </c>
      <c r="D59" s="245">
        <f t="shared" si="27"/>
        <v>585</v>
      </c>
      <c r="E59" s="245">
        <f t="shared" si="28"/>
        <v>65</v>
      </c>
      <c r="F59" s="243">
        <v>650</v>
      </c>
      <c r="G59" s="97"/>
      <c r="I59" s="502"/>
      <c r="J59" s="503"/>
      <c r="K59" s="504"/>
      <c r="L59" s="505"/>
      <c r="M59" s="505"/>
      <c r="N59" s="506"/>
      <c r="O59" s="507"/>
      <c r="P59" s="505"/>
      <c r="Q59" s="508"/>
    </row>
    <row r="60" spans="2:17" x14ac:dyDescent="0.3">
      <c r="B60" s="101"/>
      <c r="C60" s="96" t="s">
        <v>425</v>
      </c>
      <c r="D60" s="245">
        <f t="shared" si="27"/>
        <v>585</v>
      </c>
      <c r="E60" s="245">
        <f t="shared" si="28"/>
        <v>65</v>
      </c>
      <c r="F60" s="243">
        <v>650</v>
      </c>
      <c r="G60" s="97"/>
      <c r="I60" s="502"/>
      <c r="J60" s="503"/>
      <c r="K60" s="504"/>
      <c r="L60" s="505"/>
      <c r="M60" s="505"/>
      <c r="N60" s="506"/>
      <c r="O60" s="507"/>
      <c r="P60" s="505"/>
      <c r="Q60" s="508"/>
    </row>
    <row r="61" spans="2:17" x14ac:dyDescent="0.3">
      <c r="B61" s="101"/>
      <c r="C61" s="96" t="s">
        <v>426</v>
      </c>
      <c r="D61" s="245">
        <f t="shared" si="27"/>
        <v>585</v>
      </c>
      <c r="E61" s="245">
        <f t="shared" si="28"/>
        <v>65</v>
      </c>
      <c r="F61" s="243">
        <v>650</v>
      </c>
      <c r="G61" s="97"/>
      <c r="I61" s="502"/>
      <c r="J61" s="503"/>
      <c r="K61" s="504"/>
      <c r="L61" s="505"/>
      <c r="M61" s="505"/>
      <c r="N61" s="506"/>
      <c r="O61" s="507"/>
      <c r="P61" s="505"/>
      <c r="Q61" s="508"/>
    </row>
    <row r="62" spans="2:17" ht="16.2" thickBot="1" x14ac:dyDescent="0.35">
      <c r="B62" s="102"/>
      <c r="C62" s="106" t="s">
        <v>427</v>
      </c>
      <c r="D62" s="246">
        <f t="shared" si="27"/>
        <v>585</v>
      </c>
      <c r="E62" s="246">
        <f t="shared" si="28"/>
        <v>65</v>
      </c>
      <c r="F62" s="244">
        <v>650</v>
      </c>
      <c r="G62" s="99"/>
      <c r="I62" s="502"/>
      <c r="J62" s="503"/>
      <c r="K62" s="504"/>
      <c r="L62" s="505"/>
      <c r="M62" s="505"/>
      <c r="N62" s="506"/>
      <c r="O62" s="507"/>
      <c r="P62" s="505"/>
      <c r="Q62" s="508"/>
    </row>
    <row r="63" spans="2:17" ht="27.6" x14ac:dyDescent="0.3">
      <c r="B63" s="100" t="s">
        <v>151</v>
      </c>
      <c r="C63" s="107" t="s">
        <v>166</v>
      </c>
      <c r="D63" s="247">
        <f>SUM(D64:D67)</f>
        <v>1950.0029999999999</v>
      </c>
      <c r="E63" s="247">
        <f t="shared" ref="E63:F63" si="29">SUM(E64:E67)</f>
        <v>216.667</v>
      </c>
      <c r="F63" s="247">
        <f t="shared" si="29"/>
        <v>2166.67</v>
      </c>
      <c r="G63" s="105">
        <f>+F63/$F$75</f>
        <v>1.96078669012947E-2</v>
      </c>
      <c r="H63" s="258"/>
      <c r="I63" s="502"/>
      <c r="J63" s="503"/>
      <c r="K63" s="504"/>
      <c r="L63" s="505"/>
      <c r="M63" s="505"/>
      <c r="N63" s="506"/>
      <c r="O63" s="507"/>
      <c r="P63" s="505"/>
      <c r="Q63" s="508"/>
    </row>
    <row r="64" spans="2:17" x14ac:dyDescent="0.3">
      <c r="B64" s="101"/>
      <c r="C64" s="108" t="s">
        <v>428</v>
      </c>
      <c r="D64" s="245">
        <f t="shared" ref="D64:D67" si="30">+F64*0.9</f>
        <v>97.497</v>
      </c>
      <c r="E64" s="245">
        <f t="shared" ref="E64:E73" si="31">+F64*0.1</f>
        <v>10.833</v>
      </c>
      <c r="F64" s="243">
        <v>108.33</v>
      </c>
      <c r="G64" s="519"/>
      <c r="H64" s="258"/>
      <c r="I64" s="509">
        <f>+'A2. Consultorias Individuales'!E43</f>
        <v>216.66639999999998</v>
      </c>
      <c r="J64" s="510" t="s">
        <v>399</v>
      </c>
      <c r="K64" s="511">
        <v>1</v>
      </c>
      <c r="L64" s="505">
        <f t="shared" si="3"/>
        <v>194.99975999999998</v>
      </c>
      <c r="M64" s="505">
        <f t="shared" si="4"/>
        <v>21.666640000000001</v>
      </c>
      <c r="N64" s="506">
        <f t="shared" si="5"/>
        <v>216.66639999999998</v>
      </c>
      <c r="O64" s="507">
        <f>+L64*'Plan_Ejecutivo_Plurianual (PEP)'!$G$33</f>
        <v>194.99975999999998</v>
      </c>
      <c r="P64" s="505">
        <f>+M64*'Plan_Ejecutivo_Plurianual (PEP)'!$H$33</f>
        <v>21.666640000000001</v>
      </c>
      <c r="Q64" s="508">
        <f t="shared" si="6"/>
        <v>216.66639999999998</v>
      </c>
    </row>
    <row r="65" spans="2:17" x14ac:dyDescent="0.3">
      <c r="B65" s="101"/>
      <c r="C65" s="108" t="s">
        <v>429</v>
      </c>
      <c r="D65" s="245">
        <f t="shared" si="30"/>
        <v>97.506</v>
      </c>
      <c r="E65" s="245">
        <f t="shared" si="31"/>
        <v>10.834000000000001</v>
      </c>
      <c r="F65" s="243">
        <v>108.34</v>
      </c>
      <c r="G65" s="519"/>
      <c r="I65" s="502"/>
      <c r="J65" s="503"/>
      <c r="K65" s="504"/>
      <c r="L65" s="505"/>
      <c r="M65" s="505"/>
      <c r="N65" s="506"/>
      <c r="O65" s="507"/>
      <c r="P65" s="505"/>
      <c r="Q65" s="508"/>
    </row>
    <row r="66" spans="2:17" x14ac:dyDescent="0.3">
      <c r="B66" s="109"/>
      <c r="C66" s="110" t="s">
        <v>430</v>
      </c>
      <c r="D66" s="248">
        <f t="shared" si="30"/>
        <v>877.5</v>
      </c>
      <c r="E66" s="248">
        <f t="shared" si="31"/>
        <v>97.5</v>
      </c>
      <c r="F66" s="249">
        <v>975</v>
      </c>
      <c r="G66" s="522"/>
      <c r="I66" s="509">
        <f>+'A1. Firmas Consultoras'!E155</f>
        <v>1949.9939999999999</v>
      </c>
      <c r="J66" s="510" t="s">
        <v>387</v>
      </c>
      <c r="K66" s="511">
        <v>1</v>
      </c>
      <c r="L66" s="505">
        <f t="shared" si="3"/>
        <v>1754.9946</v>
      </c>
      <c r="M66" s="505">
        <f t="shared" si="4"/>
        <v>194.99940000000001</v>
      </c>
      <c r="N66" s="506">
        <f t="shared" si="5"/>
        <v>1949.9939999999999</v>
      </c>
      <c r="O66" s="507">
        <f>+L66*'Plan_Ejecutivo_Plurianual (PEP)'!$G$33</f>
        <v>1754.9946</v>
      </c>
      <c r="P66" s="505">
        <f>+M66*'Plan_Ejecutivo_Plurianual (PEP)'!$H$33</f>
        <v>194.99940000000001</v>
      </c>
      <c r="Q66" s="521">
        <f t="shared" si="6"/>
        <v>1949.9939999999999</v>
      </c>
    </row>
    <row r="67" spans="2:17" ht="16.2" thickBot="1" x14ac:dyDescent="0.35">
      <c r="B67" s="111"/>
      <c r="C67" s="112" t="s">
        <v>431</v>
      </c>
      <c r="D67" s="250">
        <f t="shared" si="30"/>
        <v>877.5</v>
      </c>
      <c r="E67" s="250">
        <f t="shared" si="31"/>
        <v>97.5</v>
      </c>
      <c r="F67" s="251">
        <v>975</v>
      </c>
      <c r="G67" s="523"/>
      <c r="I67" s="502"/>
      <c r="J67" s="503"/>
      <c r="K67" s="504"/>
      <c r="L67" s="505"/>
      <c r="M67" s="505"/>
      <c r="N67" s="506"/>
      <c r="O67" s="507"/>
      <c r="P67" s="505"/>
      <c r="Q67" s="508"/>
    </row>
    <row r="68" spans="2:17" ht="16.2" thickBot="1" x14ac:dyDescent="0.35">
      <c r="B68" s="113" t="s">
        <v>152</v>
      </c>
      <c r="C68" s="114" t="s">
        <v>167</v>
      </c>
      <c r="D68" s="247">
        <f>SUM(D69:D73)</f>
        <v>2395.2409999992001</v>
      </c>
      <c r="E68" s="247">
        <f>SUM(E69:E73)</f>
        <v>266.13788888880003</v>
      </c>
      <c r="F68" s="247">
        <f>+D68+E68</f>
        <v>2661.3788888879999</v>
      </c>
      <c r="G68" s="115">
        <f>+F68/$F$75</f>
        <v>2.4084868958923821E-2</v>
      </c>
      <c r="I68" s="502"/>
      <c r="J68" s="503"/>
      <c r="K68" s="504"/>
      <c r="L68" s="505"/>
      <c r="M68" s="505"/>
      <c r="N68" s="506"/>
      <c r="O68" s="507"/>
      <c r="P68" s="505"/>
      <c r="Q68" s="508"/>
    </row>
    <row r="69" spans="2:17" x14ac:dyDescent="0.3">
      <c r="B69" s="100"/>
      <c r="C69" s="116" t="s">
        <v>432</v>
      </c>
      <c r="D69" s="245">
        <f t="shared" ref="D69:D73" si="32">+F69*0.9</f>
        <v>547.65</v>
      </c>
      <c r="E69" s="245">
        <f t="shared" si="31"/>
        <v>60.85</v>
      </c>
      <c r="F69" s="243">
        <v>608.5</v>
      </c>
      <c r="G69" s="116"/>
      <c r="I69" s="509">
        <f>+'A1. Firmas Consultoras'!L155</f>
        <v>1216.8</v>
      </c>
      <c r="J69" s="510" t="s">
        <v>387</v>
      </c>
      <c r="K69" s="511">
        <v>1</v>
      </c>
      <c r="L69" s="505">
        <f t="shared" si="3"/>
        <v>1095.1199999999999</v>
      </c>
      <c r="M69" s="505">
        <f t="shared" si="4"/>
        <v>121.68</v>
      </c>
      <c r="N69" s="506">
        <f t="shared" si="5"/>
        <v>1216.8</v>
      </c>
      <c r="O69" s="507">
        <f>+L69*'Plan_Ejecutivo_Plurianual (PEP)'!$G$34</f>
        <v>547.55999999999995</v>
      </c>
      <c r="P69" s="505">
        <f>+M69*'Plan_Ejecutivo_Plurianual (PEP)'!$H$34</f>
        <v>60.84</v>
      </c>
      <c r="Q69" s="521">
        <f t="shared" si="6"/>
        <v>608.4</v>
      </c>
    </row>
    <row r="70" spans="2:17" x14ac:dyDescent="0.3">
      <c r="B70" s="109"/>
      <c r="C70" s="110" t="s">
        <v>433</v>
      </c>
      <c r="D70" s="245">
        <f t="shared" si="32"/>
        <v>547.65</v>
      </c>
      <c r="E70" s="245">
        <f t="shared" si="31"/>
        <v>60.85</v>
      </c>
      <c r="F70" s="243">
        <v>608.5</v>
      </c>
      <c r="G70" s="110"/>
      <c r="I70" s="502"/>
      <c r="J70" s="503"/>
      <c r="K70" s="504"/>
      <c r="L70" s="505"/>
      <c r="M70" s="505"/>
      <c r="N70" s="506"/>
      <c r="O70" s="507"/>
      <c r="P70" s="505"/>
      <c r="Q70" s="508"/>
    </row>
    <row r="71" spans="2:17" x14ac:dyDescent="0.3">
      <c r="B71" s="109"/>
      <c r="C71" s="117" t="s">
        <v>104</v>
      </c>
      <c r="D71" s="248">
        <f t="shared" si="32"/>
        <v>520.00099999919996</v>
      </c>
      <c r="E71" s="248">
        <f t="shared" si="31"/>
        <v>57.7778888888</v>
      </c>
      <c r="F71" s="249">
        <v>577.77888888799998</v>
      </c>
      <c r="G71" s="110"/>
      <c r="I71" s="509">
        <f>+'A2. Consultorias Individuales'!J26</f>
        <v>577.77599999999995</v>
      </c>
      <c r="J71" s="510" t="s">
        <v>399</v>
      </c>
      <c r="K71" s="511">
        <v>1</v>
      </c>
      <c r="L71" s="505">
        <f t="shared" si="3"/>
        <v>519.99839999999995</v>
      </c>
      <c r="M71" s="505">
        <f t="shared" si="4"/>
        <v>57.7776</v>
      </c>
      <c r="N71" s="506">
        <f t="shared" si="5"/>
        <v>577.77599999999995</v>
      </c>
      <c r="O71" s="507">
        <f>+L71*'Plan_Ejecutivo_Plurianual (PEP)'!$G$34</f>
        <v>259.99919999999997</v>
      </c>
      <c r="P71" s="505">
        <f>+M71*'Plan_Ejecutivo_Plurianual (PEP)'!$H$34</f>
        <v>28.8888</v>
      </c>
      <c r="Q71" s="508">
        <f t="shared" si="6"/>
        <v>288.88799999999998</v>
      </c>
    </row>
    <row r="72" spans="2:17" ht="16.2" thickBot="1" x14ac:dyDescent="0.35">
      <c r="B72" s="101"/>
      <c r="C72" s="118" t="s">
        <v>434</v>
      </c>
      <c r="D72" s="250">
        <f t="shared" si="32"/>
        <v>389.97</v>
      </c>
      <c r="E72" s="250">
        <f t="shared" si="31"/>
        <v>43.330000000000005</v>
      </c>
      <c r="F72" s="251">
        <v>433.3</v>
      </c>
      <c r="G72" s="108"/>
      <c r="I72" s="509">
        <f>+'A1. Firmas Consultoras'!E143</f>
        <v>433.33199999999999</v>
      </c>
      <c r="J72" s="510" t="s">
        <v>387</v>
      </c>
      <c r="K72" s="511">
        <v>1</v>
      </c>
      <c r="L72" s="505">
        <f t="shared" ref="L72:L74" si="33">+I72*0.9</f>
        <v>389.99880000000002</v>
      </c>
      <c r="M72" s="505">
        <f t="shared" ref="M72:M74" si="34">+I72*0.1</f>
        <v>43.333200000000005</v>
      </c>
      <c r="N72" s="506">
        <f t="shared" ref="N72:N75" si="35">+L72+M72</f>
        <v>433.33199999999999</v>
      </c>
      <c r="O72" s="507">
        <f>+L72*'Plan_Ejecutivo_Plurianual (PEP)'!$G$34</f>
        <v>194.99940000000001</v>
      </c>
      <c r="P72" s="505">
        <f>+M72*'Plan_Ejecutivo_Plurianual (PEP)'!$H$34</f>
        <v>21.666600000000003</v>
      </c>
      <c r="Q72" s="508">
        <f t="shared" ref="Q72:Q75" si="36">+O72+P72</f>
        <v>216.666</v>
      </c>
    </row>
    <row r="73" spans="2:17" ht="16.2" thickBot="1" x14ac:dyDescent="0.35">
      <c r="B73" s="102"/>
      <c r="C73" s="119" t="s">
        <v>435</v>
      </c>
      <c r="D73" s="247">
        <f t="shared" si="32"/>
        <v>389.97</v>
      </c>
      <c r="E73" s="247">
        <f t="shared" si="31"/>
        <v>43.330000000000005</v>
      </c>
      <c r="F73" s="247">
        <v>433.3</v>
      </c>
      <c r="G73" s="106"/>
      <c r="I73" s="509">
        <f>+'A1. Firmas Consultoras'!L143</f>
        <v>433.33199999999999</v>
      </c>
      <c r="J73" s="510" t="s">
        <v>387</v>
      </c>
      <c r="K73" s="511">
        <v>1</v>
      </c>
      <c r="L73" s="505">
        <f t="shared" si="33"/>
        <v>389.99880000000002</v>
      </c>
      <c r="M73" s="505">
        <f t="shared" si="34"/>
        <v>43.333200000000005</v>
      </c>
      <c r="N73" s="506">
        <f t="shared" si="35"/>
        <v>433.33199999999999</v>
      </c>
      <c r="O73" s="507">
        <f>+L73*'Plan_Ejecutivo_Plurianual (PEP)'!$G$34</f>
        <v>194.99940000000001</v>
      </c>
      <c r="P73" s="505">
        <f>+M73*'Plan_Ejecutivo_Plurianual (PEP)'!$H$34</f>
        <v>21.666600000000003</v>
      </c>
      <c r="Q73" s="508">
        <f t="shared" si="36"/>
        <v>216.666</v>
      </c>
    </row>
    <row r="74" spans="2:17" ht="16.2" thickBot="1" x14ac:dyDescent="0.35">
      <c r="B74" s="120">
        <v>4</v>
      </c>
      <c r="C74" s="121" t="s">
        <v>168</v>
      </c>
      <c r="D74" s="252">
        <v>5500</v>
      </c>
      <c r="E74" s="252">
        <v>0</v>
      </c>
      <c r="F74" s="252">
        <f>+E74+D74</f>
        <v>5500</v>
      </c>
      <c r="G74" s="122">
        <f>+F74/$F$75</f>
        <v>4.977373940522592E-2</v>
      </c>
      <c r="I74" s="525">
        <v>5500</v>
      </c>
      <c r="J74" s="526" t="s">
        <v>436</v>
      </c>
      <c r="K74" s="527"/>
      <c r="L74" s="528">
        <f t="shared" si="33"/>
        <v>4950</v>
      </c>
      <c r="M74" s="528">
        <f t="shared" si="34"/>
        <v>550</v>
      </c>
      <c r="N74" s="529">
        <f t="shared" si="35"/>
        <v>5500</v>
      </c>
      <c r="O74" s="507">
        <f>+L74*'Plan_Ejecutivo_Plurianual (PEP)'!$G$35</f>
        <v>1485</v>
      </c>
      <c r="P74" s="505" t="e">
        <f>+M74*'Plan_Ejecutivo_Plurianual (PEP)'!$H$35</f>
        <v>#DIV/0!</v>
      </c>
      <c r="Q74" s="530" t="e">
        <f t="shared" si="36"/>
        <v>#DIV/0!</v>
      </c>
    </row>
    <row r="75" spans="2:17" ht="16.2" thickBot="1" x14ac:dyDescent="0.35">
      <c r="B75" s="622" t="s">
        <v>437</v>
      </c>
      <c r="C75" s="623"/>
      <c r="D75" s="253">
        <f>+D74+D54+D50+D5</f>
        <v>100000.04246993898</v>
      </c>
      <c r="E75" s="253">
        <f>+E74+E54+E50+E5</f>
        <v>10499.993607771001</v>
      </c>
      <c r="F75" s="253">
        <f>+F74+F54+F50+F5</f>
        <v>110500.03607771</v>
      </c>
      <c r="G75" s="7">
        <f>+G74+G54+G50+G5</f>
        <v>1</v>
      </c>
      <c r="I75" s="305">
        <f>SUM(I7:I74)</f>
        <v>110499.999</v>
      </c>
      <c r="J75" s="306" t="s">
        <v>13</v>
      </c>
      <c r="K75" s="306" t="s">
        <v>12</v>
      </c>
      <c r="L75" s="307">
        <f>SUM(L7:L74)</f>
        <v>99449.999100000015</v>
      </c>
      <c r="M75" s="307">
        <f>SUM(M7:M74)</f>
        <v>11049.999899999997</v>
      </c>
      <c r="N75" s="308">
        <f t="shared" si="35"/>
        <v>110499.99900000001</v>
      </c>
      <c r="O75" s="307">
        <f>SUM(O7:O74)</f>
        <v>41239.819987260635</v>
      </c>
      <c r="P75" s="307" t="e">
        <f>SUM(P7:P74)</f>
        <v>#DIV/0!</v>
      </c>
      <c r="Q75" s="308" t="e">
        <f t="shared" si="36"/>
        <v>#DIV/0!</v>
      </c>
    </row>
    <row r="76" spans="2:17" x14ac:dyDescent="0.3">
      <c r="I76" s="261"/>
    </row>
    <row r="78" spans="2:17" x14ac:dyDescent="0.3">
      <c r="F78" s="255"/>
    </row>
  </sheetData>
  <mergeCells count="7">
    <mergeCell ref="B75:C75"/>
    <mergeCell ref="I5:N5"/>
    <mergeCell ref="I6:K6"/>
    <mergeCell ref="B3:C4"/>
    <mergeCell ref="D3:E3"/>
    <mergeCell ref="F3:F4"/>
    <mergeCell ref="G3:G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A72"/>
  <sheetViews>
    <sheetView zoomScale="80" zoomScaleNormal="80" workbookViewId="0">
      <selection activeCell="G42" sqref="G42"/>
    </sheetView>
  </sheetViews>
  <sheetFormatPr defaultColWidth="11" defaultRowHeight="15.6" x14ac:dyDescent="0.3"/>
  <cols>
    <col min="1" max="1" width="3" customWidth="1"/>
    <col min="2" max="2" width="4.5" customWidth="1"/>
    <col min="3" max="3" width="73.5" customWidth="1"/>
    <col min="4" max="4" width="13.59765625" bestFit="1" customWidth="1"/>
    <col min="5" max="5" width="12.5" bestFit="1" customWidth="1"/>
    <col min="6" max="6" width="13.59765625" bestFit="1" customWidth="1"/>
    <col min="7" max="7" width="12.5" bestFit="1" customWidth="1"/>
    <col min="8" max="8" width="11.3984375" bestFit="1" customWidth="1"/>
    <col min="9" max="10" width="12.5" bestFit="1" customWidth="1"/>
    <col min="11" max="11" width="11.3984375" bestFit="1" customWidth="1"/>
    <col min="12" max="13" width="12.5" bestFit="1" customWidth="1"/>
    <col min="14" max="14" width="11.3984375" bestFit="1" customWidth="1"/>
    <col min="15" max="16" width="12.5" bestFit="1" customWidth="1"/>
    <col min="17" max="17" width="11.3984375" bestFit="1" customWidth="1"/>
    <col min="18" max="18" width="12.5" bestFit="1" customWidth="1"/>
    <col min="19" max="19" width="11.3984375" bestFit="1" customWidth="1"/>
    <col min="20" max="20" width="9.8984375" bestFit="1" customWidth="1"/>
    <col min="21" max="21" width="11.3984375" bestFit="1" customWidth="1"/>
    <col min="22" max="22" width="19" customWidth="1"/>
    <col min="23" max="23" width="12.5" bestFit="1" customWidth="1"/>
    <col min="24" max="25" width="11" customWidth="1"/>
  </cols>
  <sheetData>
    <row r="1" spans="2:27" ht="21" x14ac:dyDescent="0.4">
      <c r="B1" s="28" t="s">
        <v>133</v>
      </c>
      <c r="C1" s="9"/>
    </row>
    <row r="2" spans="2:27" ht="18.75" customHeight="1" thickBot="1" x14ac:dyDescent="0.45">
      <c r="B2" s="183" t="s">
        <v>134</v>
      </c>
      <c r="C2" s="9"/>
      <c r="F2" s="31"/>
    </row>
    <row r="3" spans="2:27" ht="16.2" thickBot="1" x14ac:dyDescent="0.35">
      <c r="B3" s="611" t="s">
        <v>135</v>
      </c>
      <c r="C3" s="612"/>
      <c r="D3" s="606" t="s">
        <v>136</v>
      </c>
      <c r="E3" s="606"/>
      <c r="F3" s="606"/>
      <c r="G3" s="605" t="s">
        <v>137</v>
      </c>
      <c r="H3" s="606"/>
      <c r="I3" s="607"/>
      <c r="J3" s="606" t="s">
        <v>138</v>
      </c>
      <c r="K3" s="606"/>
      <c r="L3" s="607"/>
      <c r="M3" s="602" t="s">
        <v>139</v>
      </c>
      <c r="N3" s="603"/>
      <c r="O3" s="604"/>
      <c r="P3" s="605" t="s">
        <v>140</v>
      </c>
      <c r="Q3" s="606"/>
      <c r="R3" s="607"/>
      <c r="S3" s="602" t="s">
        <v>141</v>
      </c>
      <c r="T3" s="603"/>
      <c r="U3" s="604"/>
    </row>
    <row r="4" spans="2:27" ht="16.2" thickBot="1" x14ac:dyDescent="0.35">
      <c r="B4" s="613"/>
      <c r="C4" s="614"/>
      <c r="D4" s="49" t="s">
        <v>142</v>
      </c>
      <c r="E4" s="50" t="s">
        <v>143</v>
      </c>
      <c r="F4" s="51" t="s">
        <v>13</v>
      </c>
      <c r="G4" s="52" t="s">
        <v>142</v>
      </c>
      <c r="H4" s="50" t="s">
        <v>143</v>
      </c>
      <c r="I4" s="51" t="s">
        <v>13</v>
      </c>
      <c r="J4" s="49" t="s">
        <v>142</v>
      </c>
      <c r="K4" s="50" t="s">
        <v>143</v>
      </c>
      <c r="L4" s="51" t="s">
        <v>13</v>
      </c>
      <c r="M4" s="45" t="s">
        <v>142</v>
      </c>
      <c r="N4" s="46" t="s">
        <v>143</v>
      </c>
      <c r="O4" s="48" t="s">
        <v>13</v>
      </c>
      <c r="P4" s="49" t="s">
        <v>142</v>
      </c>
      <c r="Q4" s="50" t="s">
        <v>143</v>
      </c>
      <c r="R4" s="51" t="s">
        <v>13</v>
      </c>
      <c r="S4" s="45" t="s">
        <v>142</v>
      </c>
      <c r="T4" s="46" t="s">
        <v>143</v>
      </c>
      <c r="U4" s="47" t="s">
        <v>13</v>
      </c>
    </row>
    <row r="5" spans="2:27" x14ac:dyDescent="0.3">
      <c r="B5" s="123">
        <v>1</v>
      </c>
      <c r="C5" s="127" t="str">
        <f>+'[1]Perfil Modificado'!C5</f>
        <v>Fortalecimiento de la gestión de riesgo de la AFIP</v>
      </c>
      <c r="D5" s="194">
        <f>SUM(D6:D8)</f>
        <v>43219.799999999996</v>
      </c>
      <c r="E5" s="194">
        <f>SUM(E6:E8)</f>
        <v>4802.2</v>
      </c>
      <c r="F5" s="195">
        <f>+E5+D5</f>
        <v>48021.999999999993</v>
      </c>
      <c r="G5" s="196">
        <f t="shared" ref="G5:U5" si="0">SUM(G6:G8)</f>
        <v>6331.5</v>
      </c>
      <c r="H5" s="197">
        <f t="shared" si="0"/>
        <v>703.50000000000011</v>
      </c>
      <c r="I5" s="198">
        <f t="shared" si="0"/>
        <v>7035</v>
      </c>
      <c r="J5" s="194">
        <f t="shared" si="0"/>
        <v>15393.599999999999</v>
      </c>
      <c r="K5" s="197">
        <f t="shared" si="0"/>
        <v>1710.4</v>
      </c>
      <c r="L5" s="199">
        <f t="shared" si="0"/>
        <v>17104</v>
      </c>
      <c r="M5" s="196">
        <f t="shared" si="0"/>
        <v>17232.3</v>
      </c>
      <c r="N5" s="197">
        <f t="shared" si="0"/>
        <v>1914.7</v>
      </c>
      <c r="O5" s="198">
        <f t="shared" si="0"/>
        <v>19147</v>
      </c>
      <c r="P5" s="196">
        <f t="shared" si="0"/>
        <v>3587.4</v>
      </c>
      <c r="Q5" s="197">
        <f t="shared" si="0"/>
        <v>398.6</v>
      </c>
      <c r="R5" s="198">
        <f t="shared" si="0"/>
        <v>3986</v>
      </c>
      <c r="S5" s="196">
        <f t="shared" si="0"/>
        <v>675</v>
      </c>
      <c r="T5" s="197">
        <f t="shared" si="0"/>
        <v>75</v>
      </c>
      <c r="U5" s="198">
        <f t="shared" si="0"/>
        <v>750</v>
      </c>
      <c r="V5" s="31"/>
      <c r="W5" s="31"/>
      <c r="X5" s="31"/>
      <c r="Y5" s="31"/>
    </row>
    <row r="6" spans="2:27" ht="30" customHeight="1" x14ac:dyDescent="0.3">
      <c r="B6" s="124" t="s">
        <v>144</v>
      </c>
      <c r="C6" s="350" t="str">
        <f>+'[1]Perfil Modificado'!C6</f>
        <v xml:space="preserve">Fortalecimiento del control y fiscalización en la administración de tributos internos </v>
      </c>
      <c r="D6" s="351">
        <f>+F6*0.9</f>
        <v>11097</v>
      </c>
      <c r="E6" s="352">
        <f>+F6*0.1</f>
        <v>1233</v>
      </c>
      <c r="F6" s="353">
        <f>+'Presupuesto_Productos (POD)'!C7</f>
        <v>12330</v>
      </c>
      <c r="G6" s="200">
        <f>+I6*0.9</f>
        <v>0</v>
      </c>
      <c r="H6" s="201">
        <f>+I6*0.1</f>
        <v>0</v>
      </c>
      <c r="I6" s="202">
        <v>0</v>
      </c>
      <c r="J6" s="203">
        <f>+L6*0.9</f>
        <v>5001.3</v>
      </c>
      <c r="K6" s="201">
        <f>+L6*0.1</f>
        <v>555.70000000000005</v>
      </c>
      <c r="L6" s="204">
        <v>5557</v>
      </c>
      <c r="M6" s="200">
        <f>+O6*0.9</f>
        <v>2508.3000000000002</v>
      </c>
      <c r="N6" s="201">
        <f>+O6*0.1</f>
        <v>278.7</v>
      </c>
      <c r="O6" s="202">
        <v>2787</v>
      </c>
      <c r="P6" s="200">
        <f>+R6*0.9</f>
        <v>2912.4</v>
      </c>
      <c r="Q6" s="201">
        <f>+R6*0.1</f>
        <v>323.60000000000002</v>
      </c>
      <c r="R6" s="202">
        <v>3236</v>
      </c>
      <c r="S6" s="200">
        <f>+U6*0.9</f>
        <v>675</v>
      </c>
      <c r="T6" s="201">
        <f>+U6*0.1</f>
        <v>75</v>
      </c>
      <c r="U6" s="202">
        <v>750</v>
      </c>
      <c r="V6" s="31"/>
      <c r="W6" s="31"/>
      <c r="X6" s="31"/>
      <c r="Y6" s="31"/>
    </row>
    <row r="7" spans="2:27" ht="45.75" customHeight="1" x14ac:dyDescent="0.3">
      <c r="B7" s="124" t="s">
        <v>145</v>
      </c>
      <c r="C7" s="128" t="str">
        <f>+'[1]Perfil Modificado'!C38</f>
        <v>Fortalecimiento de los controles aduaneros y nueva estrategia de control mediante el uso de medios no intrusivos y una gestión de riesgo integral</v>
      </c>
      <c r="D7" s="205">
        <f>+F7*0.9</f>
        <v>29392.2</v>
      </c>
      <c r="E7" s="206">
        <f>+F7*0.1</f>
        <v>3265.8</v>
      </c>
      <c r="F7" s="204">
        <f>+'Presupuesto_Productos (POD)'!C14</f>
        <v>32658</v>
      </c>
      <c r="G7" s="200">
        <f>+I7*0.9</f>
        <v>5258.7</v>
      </c>
      <c r="H7" s="201">
        <f>+I7*0.1</f>
        <v>584.30000000000007</v>
      </c>
      <c r="I7" s="202">
        <v>5843</v>
      </c>
      <c r="J7" s="203">
        <f>+L7*0.9</f>
        <v>8734.5</v>
      </c>
      <c r="K7" s="201">
        <f>+L7*0.1</f>
        <v>970.5</v>
      </c>
      <c r="L7" s="204">
        <v>9705</v>
      </c>
      <c r="M7" s="200">
        <f>+O7*0.9</f>
        <v>14724</v>
      </c>
      <c r="N7" s="201">
        <f>+O7*0.1</f>
        <v>1636</v>
      </c>
      <c r="O7" s="202">
        <v>16360</v>
      </c>
      <c r="P7" s="200">
        <f>+R7*0.9</f>
        <v>675</v>
      </c>
      <c r="Q7" s="201">
        <f>+R7*0.1</f>
        <v>75</v>
      </c>
      <c r="R7" s="202">
        <v>750</v>
      </c>
      <c r="S7" s="200">
        <f>+U7*0.9</f>
        <v>0</v>
      </c>
      <c r="T7" s="201">
        <f>+U7*0.1</f>
        <v>0</v>
      </c>
      <c r="U7" s="202">
        <v>0</v>
      </c>
      <c r="V7" s="31"/>
      <c r="W7" s="31"/>
      <c r="X7" s="31"/>
      <c r="Y7" s="31"/>
      <c r="Z7" s="31"/>
      <c r="AA7" s="31"/>
    </row>
    <row r="8" spans="2:27" ht="42" customHeight="1" x14ac:dyDescent="0.3">
      <c r="B8" s="124" t="s">
        <v>146</v>
      </c>
      <c r="C8" s="128" t="str">
        <f>+'[1]Perfil Modificado'!C43</f>
        <v>Fortalecimiento del control y fiscalización de los recursos de la seguridad social y mejora de la formalización del sector laboral</v>
      </c>
      <c r="D8" s="205">
        <f>+F8*0.9</f>
        <v>2730.6</v>
      </c>
      <c r="E8" s="206">
        <f>+F8*0.1</f>
        <v>303.40000000000003</v>
      </c>
      <c r="F8" s="204">
        <f>+'Presupuesto_Productos (POD)'!C21</f>
        <v>3034</v>
      </c>
      <c r="G8" s="200">
        <f>+I8*0.9</f>
        <v>1072.8</v>
      </c>
      <c r="H8" s="201">
        <f>+I8*0.1</f>
        <v>119.2</v>
      </c>
      <c r="I8" s="202">
        <v>1192</v>
      </c>
      <c r="J8" s="203">
        <f>+L8*0.9</f>
        <v>1657.8</v>
      </c>
      <c r="K8" s="201">
        <f>+L8*0.1</f>
        <v>184.20000000000002</v>
      </c>
      <c r="L8" s="204">
        <v>1842</v>
      </c>
      <c r="M8" s="200">
        <f>+O8*0.9</f>
        <v>0</v>
      </c>
      <c r="N8" s="201">
        <f>+O8*0.1</f>
        <v>0</v>
      </c>
      <c r="O8" s="202">
        <v>0</v>
      </c>
      <c r="P8" s="200">
        <f>+R8*0.9</f>
        <v>0</v>
      </c>
      <c r="Q8" s="201">
        <f>+R8*0.1</f>
        <v>0</v>
      </c>
      <c r="R8" s="202">
        <v>0</v>
      </c>
      <c r="S8" s="200">
        <f>+U8*0.9</f>
        <v>0</v>
      </c>
      <c r="T8" s="201">
        <f>+U8*0.1</f>
        <v>0</v>
      </c>
      <c r="U8" s="202">
        <v>0</v>
      </c>
      <c r="V8" s="31"/>
      <c r="W8" s="31"/>
      <c r="X8" s="31"/>
      <c r="Y8" s="31"/>
    </row>
    <row r="9" spans="2:27" x14ac:dyDescent="0.3">
      <c r="B9" s="125">
        <v>2</v>
      </c>
      <c r="C9" s="129" t="str">
        <f>+'[1]Perfil Modificado'!C50</f>
        <v>Fortalecimiento de los sistemas de información de la AFIP</v>
      </c>
      <c r="D9" s="207">
        <f>SUM(D10:D12)</f>
        <v>42840</v>
      </c>
      <c r="E9" s="207">
        <f>SUM(E10:E12)</f>
        <v>4760</v>
      </c>
      <c r="F9" s="195">
        <f>+E9+D9</f>
        <v>47600</v>
      </c>
      <c r="G9" s="208">
        <f t="shared" ref="G9:U9" si="1">SUM(G10:G12)</f>
        <v>11844</v>
      </c>
      <c r="H9" s="209">
        <f t="shared" si="1"/>
        <v>1316</v>
      </c>
      <c r="I9" s="210">
        <f t="shared" si="1"/>
        <v>13160</v>
      </c>
      <c r="J9" s="211">
        <f t="shared" si="1"/>
        <v>17374.5</v>
      </c>
      <c r="K9" s="209">
        <f t="shared" si="1"/>
        <v>1930.5</v>
      </c>
      <c r="L9" s="212">
        <f t="shared" si="1"/>
        <v>19305</v>
      </c>
      <c r="M9" s="208">
        <f t="shared" si="1"/>
        <v>7416</v>
      </c>
      <c r="N9" s="209">
        <f t="shared" si="1"/>
        <v>824</v>
      </c>
      <c r="O9" s="210">
        <f t="shared" si="1"/>
        <v>8240</v>
      </c>
      <c r="P9" s="208">
        <f t="shared" si="1"/>
        <v>6205.5</v>
      </c>
      <c r="Q9" s="209">
        <f t="shared" si="1"/>
        <v>689.5</v>
      </c>
      <c r="R9" s="210">
        <f t="shared" si="1"/>
        <v>6895</v>
      </c>
      <c r="S9" s="208">
        <f t="shared" si="1"/>
        <v>0</v>
      </c>
      <c r="T9" s="209">
        <f t="shared" si="1"/>
        <v>0</v>
      </c>
      <c r="U9" s="210">
        <f t="shared" si="1"/>
        <v>0</v>
      </c>
      <c r="V9" s="31"/>
      <c r="W9" s="31"/>
      <c r="X9" s="31"/>
      <c r="Y9" s="31"/>
    </row>
    <row r="10" spans="2:27" x14ac:dyDescent="0.3">
      <c r="B10" s="124" t="s">
        <v>147</v>
      </c>
      <c r="C10" s="350" t="str">
        <f>+'[1]Perfil Modificado'!C51</f>
        <v>Data Center (Software&amp;Hardware y Capacitación)</v>
      </c>
      <c r="D10" s="351">
        <f>+F10*0.9</f>
        <v>18900</v>
      </c>
      <c r="E10" s="352">
        <f>+F10*0.1</f>
        <v>2100</v>
      </c>
      <c r="F10" s="353">
        <f>+'Presupuesto_Productos (POD)'!C29+'Presupuesto_Productos (POD)'!C30+'Presupuesto_Productos (POD)'!C31+'Presupuesto_Productos (POD)'!C32+'Presupuesto_Productos (POD)'!C33+'Presupuesto_Productos (POD)'!C34+'Presupuesto_Productos (POD)'!C35</f>
        <v>21000</v>
      </c>
      <c r="G10" s="200">
        <f>+I10*0.9</f>
        <v>6606</v>
      </c>
      <c r="H10" s="201">
        <f>+I10*0.1</f>
        <v>734</v>
      </c>
      <c r="I10" s="202">
        <v>7340</v>
      </c>
      <c r="J10" s="203">
        <f>+L10*0.9</f>
        <v>8446.5</v>
      </c>
      <c r="K10" s="201">
        <f>+L10*0.1</f>
        <v>938.5</v>
      </c>
      <c r="L10" s="204">
        <v>9385</v>
      </c>
      <c r="M10" s="200">
        <f>+O10*0.9</f>
        <v>1854</v>
      </c>
      <c r="N10" s="201">
        <f>+O10*0.1</f>
        <v>206</v>
      </c>
      <c r="O10" s="202">
        <v>2060</v>
      </c>
      <c r="P10" s="200">
        <f>+R10*0.9</f>
        <v>1993.5</v>
      </c>
      <c r="Q10" s="201">
        <f>+R10*0.1</f>
        <v>221.5</v>
      </c>
      <c r="R10" s="202">
        <v>2215</v>
      </c>
      <c r="S10" s="200">
        <f>+U10*0.9</f>
        <v>0</v>
      </c>
      <c r="T10" s="201">
        <f>+U10*0.1</f>
        <v>0</v>
      </c>
      <c r="U10" s="202">
        <v>0</v>
      </c>
      <c r="V10" s="31"/>
      <c r="W10" s="31"/>
      <c r="X10" s="31"/>
      <c r="Y10" s="31"/>
    </row>
    <row r="11" spans="2:27" x14ac:dyDescent="0.3">
      <c r="B11" s="124" t="s">
        <v>148</v>
      </c>
      <c r="C11" s="350" t="str">
        <f>+'[1]Perfil Modificado'!C52</f>
        <v>Comunicaciones (adquisión de equipos y actualizacion de sistemas)</v>
      </c>
      <c r="D11" s="351">
        <f>+F11*0.9</f>
        <v>11160</v>
      </c>
      <c r="E11" s="352">
        <f>+F11*0.1</f>
        <v>1240</v>
      </c>
      <c r="F11" s="353">
        <f>+'Presupuesto_Productos (POD)'!C36+'Presupuesto_Productos (POD)'!C37+'Presupuesto_Productos (POD)'!C38+'Presupuesto_Productos (POD)'!C39+'Presupuesto_Productos (POD)'!C40+'Presupuesto_Productos (POD)'!C41+'Presupuesto_Productos (POD)'!C42</f>
        <v>12400</v>
      </c>
      <c r="G11" s="200">
        <f>+I11*0.9</f>
        <v>2808</v>
      </c>
      <c r="H11" s="201">
        <f>+I11*0.1</f>
        <v>312</v>
      </c>
      <c r="I11" s="202">
        <v>3120</v>
      </c>
      <c r="J11" s="203">
        <f>+L11*0.9</f>
        <v>4428</v>
      </c>
      <c r="K11" s="201">
        <f>+L11*0.1</f>
        <v>492</v>
      </c>
      <c r="L11" s="204">
        <v>4920</v>
      </c>
      <c r="M11" s="200">
        <f>+O11*0.9</f>
        <v>1962</v>
      </c>
      <c r="N11" s="201">
        <f>+O11*0.1</f>
        <v>218</v>
      </c>
      <c r="O11" s="202">
        <v>2180</v>
      </c>
      <c r="P11" s="200">
        <f>+R11*0.9</f>
        <v>1962</v>
      </c>
      <c r="Q11" s="201">
        <f>+R11*0.1</f>
        <v>218</v>
      </c>
      <c r="R11" s="202">
        <v>2180</v>
      </c>
      <c r="S11" s="200">
        <f>+U11*0.9</f>
        <v>0</v>
      </c>
      <c r="T11" s="201">
        <f>+U11*0.1</f>
        <v>0</v>
      </c>
      <c r="U11" s="202">
        <v>0</v>
      </c>
      <c r="V11" s="31"/>
      <c r="W11" s="31"/>
      <c r="X11" s="31"/>
      <c r="Y11" s="31"/>
    </row>
    <row r="12" spans="2:27" x14ac:dyDescent="0.3">
      <c r="B12" s="124" t="s">
        <v>149</v>
      </c>
      <c r="C12" s="350" t="str">
        <f>+'[1]Perfil Modificado'!C53</f>
        <v>Seguridad Informática (adquisión de equipos y actualización de sistemas)</v>
      </c>
      <c r="D12" s="351">
        <f>+F12*0.9</f>
        <v>12780</v>
      </c>
      <c r="E12" s="352">
        <f>+F12*0.1</f>
        <v>1420</v>
      </c>
      <c r="F12" s="353">
        <f>+'Presupuesto_Productos (POD)'!C43+'Presupuesto_Productos (POD)'!C44+'Presupuesto_Productos (POD)'!C45+'Presupuesto_Productos (POD)'!C46+'Presupuesto_Productos (POD)'!C47+'Presupuesto_Productos (POD)'!C48+'Presupuesto_Productos (POD)'!C49+'Presupuesto_Productos (POD)'!C50</f>
        <v>14200</v>
      </c>
      <c r="G12" s="200">
        <f>+I12*0.9</f>
        <v>2430</v>
      </c>
      <c r="H12" s="201">
        <f>+I12*0.1</f>
        <v>270</v>
      </c>
      <c r="I12" s="202">
        <v>2700</v>
      </c>
      <c r="J12" s="203">
        <f>+L12*0.9</f>
        <v>4500</v>
      </c>
      <c r="K12" s="201">
        <f>+L12*0.1</f>
        <v>500</v>
      </c>
      <c r="L12" s="204">
        <v>5000</v>
      </c>
      <c r="M12" s="200">
        <f>+O12*0.9</f>
        <v>3600</v>
      </c>
      <c r="N12" s="201">
        <f>+O12*0.1</f>
        <v>400</v>
      </c>
      <c r="O12" s="202">
        <v>4000</v>
      </c>
      <c r="P12" s="200">
        <f>+R12*0.9</f>
        <v>2250</v>
      </c>
      <c r="Q12" s="201">
        <f>+R12*0.1</f>
        <v>250</v>
      </c>
      <c r="R12" s="202">
        <v>2500</v>
      </c>
      <c r="S12" s="200">
        <f>+U12*0.9</f>
        <v>0</v>
      </c>
      <c r="T12" s="201">
        <f>+U12*0.1</f>
        <v>0</v>
      </c>
      <c r="U12" s="202">
        <v>0</v>
      </c>
      <c r="V12" s="31"/>
      <c r="W12" s="31"/>
      <c r="X12" s="31"/>
      <c r="Y12" s="31"/>
    </row>
    <row r="13" spans="2:27" ht="31.2" x14ac:dyDescent="0.3">
      <c r="B13" s="125">
        <v>3</v>
      </c>
      <c r="C13" s="129" t="str">
        <f>+'[1]Perfil Modificado'!C54</f>
        <v>Mejora de los servicios de atención al contribuyente y del modelo de gestión, de planificación y desarrollo de servicios de las áreas centrales de la AFIP</v>
      </c>
      <c r="D13" s="207">
        <f>SUM(D14:D16)</f>
        <v>8440.2000000000007</v>
      </c>
      <c r="E13" s="207">
        <f>SUM(E14:E16)</f>
        <v>937.80000000000007</v>
      </c>
      <c r="F13" s="195">
        <f>+E13+D13</f>
        <v>9378</v>
      </c>
      <c r="G13" s="208">
        <f t="shared" ref="G13:N13" si="2">SUM(G14:G16)</f>
        <v>1950.3</v>
      </c>
      <c r="H13" s="209">
        <f t="shared" si="2"/>
        <v>216.70000000000002</v>
      </c>
      <c r="I13" s="210">
        <f t="shared" si="2"/>
        <v>2167</v>
      </c>
      <c r="J13" s="211">
        <f t="shared" si="2"/>
        <v>6489.9</v>
      </c>
      <c r="K13" s="209">
        <f t="shared" si="2"/>
        <v>721.1</v>
      </c>
      <c r="L13" s="212">
        <f t="shared" si="2"/>
        <v>7211</v>
      </c>
      <c r="M13" s="208">
        <f t="shared" si="2"/>
        <v>0</v>
      </c>
      <c r="N13" s="209">
        <f t="shared" si="2"/>
        <v>0</v>
      </c>
      <c r="O13" s="210">
        <v>0</v>
      </c>
      <c r="P13" s="208">
        <f>SUM(P14:P16)</f>
        <v>0</v>
      </c>
      <c r="Q13" s="209">
        <f>SUM(Q14:Q16)</f>
        <v>0</v>
      </c>
      <c r="R13" s="210">
        <v>0</v>
      </c>
      <c r="S13" s="208">
        <f>SUM(S14:S16)</f>
        <v>0</v>
      </c>
      <c r="T13" s="209">
        <f>SUM(T14:T16)</f>
        <v>0</v>
      </c>
      <c r="U13" s="210">
        <v>0</v>
      </c>
      <c r="V13" s="31"/>
      <c r="W13" s="31"/>
      <c r="X13" s="31"/>
      <c r="Y13" s="31"/>
    </row>
    <row r="14" spans="2:27" ht="32.25" customHeight="1" x14ac:dyDescent="0.3">
      <c r="B14" s="124" t="s">
        <v>150</v>
      </c>
      <c r="C14" s="128" t="str">
        <f>+'[1]Perfil Modificado'!C55</f>
        <v>Mejora normativa, simplificación de procedimientos y cambio de enfoque en la atención (CRM)</v>
      </c>
      <c r="D14" s="205">
        <f>+F14*0.9</f>
        <v>4095</v>
      </c>
      <c r="E14" s="206">
        <f>+F14*0.1</f>
        <v>455</v>
      </c>
      <c r="F14" s="204">
        <f>+'Presupuesto_Productos (POD)'!C52</f>
        <v>4550</v>
      </c>
      <c r="G14" s="200">
        <f>+I14*0.9</f>
        <v>0</v>
      </c>
      <c r="H14" s="201">
        <f>+I14*0.1</f>
        <v>0</v>
      </c>
      <c r="I14" s="202">
        <v>0</v>
      </c>
      <c r="J14" s="203">
        <f>+L14*0.9</f>
        <v>4095</v>
      </c>
      <c r="K14" s="201">
        <f>+L14*0.1</f>
        <v>455</v>
      </c>
      <c r="L14" s="204">
        <v>4550</v>
      </c>
      <c r="M14" s="200">
        <f>+O14*0.9</f>
        <v>0</v>
      </c>
      <c r="N14" s="201">
        <f>+O14*0.1</f>
        <v>0</v>
      </c>
      <c r="O14" s="202">
        <v>0</v>
      </c>
      <c r="P14" s="200">
        <f>+R14*0.9</f>
        <v>0</v>
      </c>
      <c r="Q14" s="201">
        <f>+R14*0.1</f>
        <v>0</v>
      </c>
      <c r="R14" s="202">
        <v>0</v>
      </c>
      <c r="S14" s="200">
        <f>+U14*0.9</f>
        <v>0</v>
      </c>
      <c r="T14" s="201">
        <f>+U14*0.1</f>
        <v>0</v>
      </c>
      <c r="U14" s="202">
        <v>0</v>
      </c>
      <c r="V14" s="31"/>
      <c r="W14" s="31"/>
      <c r="X14" s="31"/>
      <c r="Y14" s="31"/>
    </row>
    <row r="15" spans="2:27" ht="31.2" x14ac:dyDescent="0.3">
      <c r="B15" s="124" t="s">
        <v>151</v>
      </c>
      <c r="C15" s="128" t="str">
        <f>+'[1]Perfil Modificado'!C63</f>
        <v>Incorporación de nuevos medios y tecnologías y reorientación del rol de las sucursales/agencias que constituyen el despliegue territorial de la AFIP</v>
      </c>
      <c r="D15" s="205">
        <f>+F15*0.9</f>
        <v>1950.3</v>
      </c>
      <c r="E15" s="206">
        <f>+F15*0.1</f>
        <v>216.70000000000002</v>
      </c>
      <c r="F15" s="204">
        <f>+'Presupuesto_Productos (POD)'!C53</f>
        <v>2167</v>
      </c>
      <c r="G15" s="200">
        <f>+I15*0.9</f>
        <v>1950.3</v>
      </c>
      <c r="H15" s="201">
        <f>+I15*0.1</f>
        <v>216.70000000000002</v>
      </c>
      <c r="I15" s="202">
        <v>2167</v>
      </c>
      <c r="J15" s="203">
        <f>+L15*0.9</f>
        <v>0</v>
      </c>
      <c r="K15" s="201">
        <f>+L15*0.1</f>
        <v>0</v>
      </c>
      <c r="L15" s="204">
        <v>0</v>
      </c>
      <c r="M15" s="200">
        <f>+O15*0.9</f>
        <v>0</v>
      </c>
      <c r="N15" s="201">
        <f>+O15*0.1</f>
        <v>0</v>
      </c>
      <c r="O15" s="202">
        <v>0</v>
      </c>
      <c r="P15" s="200">
        <f>+R15*0.9</f>
        <v>0</v>
      </c>
      <c r="Q15" s="201">
        <f>+R15*0.1</f>
        <v>0</v>
      </c>
      <c r="R15" s="202">
        <v>0</v>
      </c>
      <c r="S15" s="200">
        <f>+U15*0.9</f>
        <v>0</v>
      </c>
      <c r="T15" s="201">
        <f>+U15*0.1</f>
        <v>0</v>
      </c>
      <c r="U15" s="202">
        <v>0</v>
      </c>
      <c r="V15" s="31"/>
      <c r="W15" s="31"/>
      <c r="X15" s="31"/>
      <c r="Y15" s="31"/>
    </row>
    <row r="16" spans="2:27" x14ac:dyDescent="0.3">
      <c r="B16" s="124" t="s">
        <v>152</v>
      </c>
      <c r="C16" s="128" t="str">
        <f>+'[1]Perfil Modificado'!C68</f>
        <v>Nuevo modelo de gestión, planificación y organización</v>
      </c>
      <c r="D16" s="205">
        <f>+F16*0.9</f>
        <v>2394.9</v>
      </c>
      <c r="E16" s="206">
        <f>+F16*0.1</f>
        <v>266.10000000000002</v>
      </c>
      <c r="F16" s="213">
        <f>+'Presupuesto_Productos (POD)'!C54</f>
        <v>2661</v>
      </c>
      <c r="G16" s="200">
        <f>+I16*0.9</f>
        <v>0</v>
      </c>
      <c r="H16" s="201">
        <f>+I16*0.1</f>
        <v>0</v>
      </c>
      <c r="I16" s="202">
        <v>0</v>
      </c>
      <c r="J16" s="203">
        <f>+L16*0.9</f>
        <v>2394.9</v>
      </c>
      <c r="K16" s="201">
        <f>+L16*0.1</f>
        <v>266.10000000000002</v>
      </c>
      <c r="L16" s="204">
        <v>2661</v>
      </c>
      <c r="M16" s="200">
        <f>+O16*0.9</f>
        <v>0</v>
      </c>
      <c r="N16" s="201">
        <f>+O16*0.1</f>
        <v>0</v>
      </c>
      <c r="O16" s="202">
        <v>0</v>
      </c>
      <c r="P16" s="200">
        <f>+R16*0.9</f>
        <v>0</v>
      </c>
      <c r="Q16" s="201">
        <f>+R16*0.1</f>
        <v>0</v>
      </c>
      <c r="R16" s="202">
        <v>0</v>
      </c>
      <c r="S16" s="200">
        <f>+U16*0.9</f>
        <v>0</v>
      </c>
      <c r="T16" s="201">
        <f>+U16*0.1</f>
        <v>0</v>
      </c>
      <c r="U16" s="202">
        <v>0</v>
      </c>
      <c r="V16" s="31"/>
      <c r="W16" s="31"/>
      <c r="X16" s="31"/>
      <c r="Y16" s="31"/>
    </row>
    <row r="17" spans="2:25" ht="16.2" thickBot="1" x14ac:dyDescent="0.35">
      <c r="B17" s="126">
        <v>4</v>
      </c>
      <c r="C17" s="130" t="str">
        <f>+'[1]Perfil Modificado'!C74</f>
        <v>Administración y gestión del programa</v>
      </c>
      <c r="D17" s="205">
        <f>+F17</f>
        <v>5500</v>
      </c>
      <c r="E17" s="205">
        <v>0</v>
      </c>
      <c r="F17" s="281">
        <f>+'Presupuesto_Productos (POD)'!C55</f>
        <v>5500</v>
      </c>
      <c r="G17" s="200">
        <f>+I17</f>
        <v>1100</v>
      </c>
      <c r="H17" s="201">
        <v>0</v>
      </c>
      <c r="I17" s="202">
        <v>1100</v>
      </c>
      <c r="J17" s="203">
        <f>+L17</f>
        <v>1100</v>
      </c>
      <c r="K17" s="201">
        <v>0</v>
      </c>
      <c r="L17" s="204">
        <f>+F17/5</f>
        <v>1100</v>
      </c>
      <c r="M17" s="200">
        <f>+O17</f>
        <v>1100</v>
      </c>
      <c r="N17" s="201">
        <v>0</v>
      </c>
      <c r="O17" s="202">
        <v>1100</v>
      </c>
      <c r="P17" s="200">
        <f>+R17</f>
        <v>1100</v>
      </c>
      <c r="Q17" s="201">
        <f>0</f>
        <v>0</v>
      </c>
      <c r="R17" s="202">
        <v>1100</v>
      </c>
      <c r="S17" s="200">
        <f>+U17</f>
        <v>1100</v>
      </c>
      <c r="T17" s="201">
        <v>0</v>
      </c>
      <c r="U17" s="202">
        <v>1100</v>
      </c>
      <c r="V17" s="31"/>
      <c r="W17" s="31"/>
      <c r="X17" s="31"/>
      <c r="Y17" s="31"/>
    </row>
    <row r="18" spans="2:25" ht="16.5" customHeight="1" thickBot="1" x14ac:dyDescent="0.35">
      <c r="B18" s="609" t="s">
        <v>153</v>
      </c>
      <c r="C18" s="610"/>
      <c r="D18" s="214">
        <f t="shared" ref="D18:U18" si="3">+D17+D13+D9+D5</f>
        <v>100000</v>
      </c>
      <c r="E18" s="214">
        <f t="shared" si="3"/>
        <v>10500</v>
      </c>
      <c r="F18" s="214">
        <f t="shared" si="3"/>
        <v>110500</v>
      </c>
      <c r="G18" s="215">
        <f t="shared" si="3"/>
        <v>21225.8</v>
      </c>
      <c r="H18" s="216">
        <f t="shared" si="3"/>
        <v>2236.2000000000003</v>
      </c>
      <c r="I18" s="217">
        <f t="shared" si="3"/>
        <v>23462</v>
      </c>
      <c r="J18" s="218">
        <f t="shared" si="3"/>
        <v>40358</v>
      </c>
      <c r="K18" s="216">
        <f t="shared" si="3"/>
        <v>4362</v>
      </c>
      <c r="L18" s="219">
        <f t="shared" si="3"/>
        <v>44720</v>
      </c>
      <c r="M18" s="215">
        <f t="shared" si="3"/>
        <v>25748.3</v>
      </c>
      <c r="N18" s="216">
        <f t="shared" si="3"/>
        <v>2738.7</v>
      </c>
      <c r="O18" s="217">
        <f t="shared" si="3"/>
        <v>28487</v>
      </c>
      <c r="P18" s="215">
        <f t="shared" si="3"/>
        <v>10892.9</v>
      </c>
      <c r="Q18" s="216">
        <f t="shared" si="3"/>
        <v>1088.0999999999999</v>
      </c>
      <c r="R18" s="217">
        <f t="shared" si="3"/>
        <v>11981</v>
      </c>
      <c r="S18" s="215">
        <f t="shared" si="3"/>
        <v>1775</v>
      </c>
      <c r="T18" s="216">
        <f t="shared" si="3"/>
        <v>75</v>
      </c>
      <c r="U18" s="217">
        <f t="shared" si="3"/>
        <v>1850</v>
      </c>
      <c r="V18" s="31"/>
      <c r="W18" s="31"/>
      <c r="X18" s="31"/>
      <c r="Y18" s="31"/>
    </row>
    <row r="19" spans="2:25" ht="16.5" customHeight="1" x14ac:dyDescent="0.3">
      <c r="F19" s="255"/>
      <c r="W19" s="31"/>
      <c r="X19" s="31"/>
      <c r="Y19" s="31"/>
    </row>
    <row r="20" spans="2:25" ht="24" hidden="1" customHeight="1" x14ac:dyDescent="0.35">
      <c r="B20" s="608" t="s">
        <v>154</v>
      </c>
      <c r="C20" s="608"/>
      <c r="W20" s="31"/>
      <c r="X20" s="31"/>
      <c r="Y20" s="31"/>
    </row>
    <row r="21" spans="2:25" hidden="1" x14ac:dyDescent="0.3">
      <c r="B21" s="183" t="s">
        <v>134</v>
      </c>
      <c r="C21" s="38"/>
      <c r="D21" s="40"/>
      <c r="E21" s="132"/>
      <c r="F21" s="131"/>
      <c r="G21" s="40"/>
      <c r="V21" s="31"/>
      <c r="W21" s="31"/>
      <c r="X21" s="31"/>
    </row>
    <row r="22" spans="2:25" hidden="1" x14ac:dyDescent="0.3">
      <c r="B22" s="271" t="s">
        <v>135</v>
      </c>
      <c r="C22" s="276"/>
      <c r="D22" s="282" t="s">
        <v>142</v>
      </c>
      <c r="E22" s="283" t="s">
        <v>155</v>
      </c>
      <c r="F22" s="284"/>
      <c r="G22" s="282" t="s">
        <v>142</v>
      </c>
      <c r="H22" s="283" t="s">
        <v>155</v>
      </c>
      <c r="I22" s="284" t="s">
        <v>156</v>
      </c>
      <c r="V22" s="31"/>
      <c r="W22" s="31"/>
      <c r="X22" s="31"/>
    </row>
    <row r="23" spans="2:25" hidden="1" x14ac:dyDescent="0.3">
      <c r="B23" s="272">
        <v>1</v>
      </c>
      <c r="C23" s="274" t="s">
        <v>157</v>
      </c>
      <c r="D23" s="275">
        <f>SUM(D24:D26)</f>
        <v>14028.3</v>
      </c>
      <c r="E23" s="275">
        <f>SUM(E24:E26)</f>
        <v>1558.7</v>
      </c>
      <c r="F23" s="277"/>
      <c r="G23" s="279">
        <f t="shared" ref="G23:G36" si="4">+D23/D5</f>
        <v>0.32458040064970223</v>
      </c>
      <c r="H23" s="279">
        <f t="shared" ref="H23:H36" si="5">+E23/E5</f>
        <v>0.32458040064970223</v>
      </c>
      <c r="I23" s="279">
        <f t="shared" ref="I23:I36" si="6">+F23/F5</f>
        <v>0</v>
      </c>
      <c r="K23" s="255"/>
      <c r="V23" s="31"/>
      <c r="W23" s="31"/>
    </row>
    <row r="24" spans="2:25" hidden="1" x14ac:dyDescent="0.3">
      <c r="B24" s="273" t="s">
        <v>144</v>
      </c>
      <c r="C24" s="274" t="s">
        <v>158</v>
      </c>
      <c r="D24" s="275">
        <f t="shared" ref="D24:E26" si="7">G6+(J6/2)</f>
        <v>2500.65</v>
      </c>
      <c r="E24" s="275">
        <f t="shared" si="7"/>
        <v>277.85000000000002</v>
      </c>
      <c r="F24" s="275"/>
      <c r="G24" s="278">
        <f t="shared" si="4"/>
        <v>0.22534468775344688</v>
      </c>
      <c r="H24" s="278">
        <f t="shared" si="5"/>
        <v>0.2253446877534469</v>
      </c>
      <c r="I24" s="278">
        <f t="shared" si="6"/>
        <v>0</v>
      </c>
      <c r="K24" s="43"/>
      <c r="V24" s="39"/>
    </row>
    <row r="25" spans="2:25" ht="31.2" hidden="1" x14ac:dyDescent="0.3">
      <c r="B25" s="273" t="s">
        <v>145</v>
      </c>
      <c r="C25" s="274" t="s">
        <v>159</v>
      </c>
      <c r="D25" s="275">
        <f t="shared" si="7"/>
        <v>9625.9500000000007</v>
      </c>
      <c r="E25" s="275">
        <f t="shared" si="7"/>
        <v>1069.5500000000002</v>
      </c>
      <c r="F25" s="275"/>
      <c r="G25" s="278">
        <f t="shared" si="4"/>
        <v>0.32750015310184338</v>
      </c>
      <c r="H25" s="278">
        <f t="shared" si="5"/>
        <v>0.32750015310184338</v>
      </c>
      <c r="I25" s="278">
        <f t="shared" si="6"/>
        <v>0</v>
      </c>
      <c r="L25" s="254"/>
      <c r="V25" s="39"/>
    </row>
    <row r="26" spans="2:25" ht="31.2" hidden="1" x14ac:dyDescent="0.3">
      <c r="B26" s="273" t="s">
        <v>146</v>
      </c>
      <c r="C26" s="274" t="s">
        <v>160</v>
      </c>
      <c r="D26" s="275">
        <f t="shared" si="7"/>
        <v>1901.6999999999998</v>
      </c>
      <c r="E26" s="275">
        <f t="shared" si="7"/>
        <v>211.3</v>
      </c>
      <c r="F26" s="275"/>
      <c r="G26" s="278">
        <f t="shared" si="4"/>
        <v>0.69644034278180611</v>
      </c>
      <c r="H26" s="278">
        <f t="shared" si="5"/>
        <v>0.69644034278180611</v>
      </c>
      <c r="I26" s="278">
        <f t="shared" si="6"/>
        <v>0</v>
      </c>
      <c r="V26" s="39"/>
    </row>
    <row r="27" spans="2:25" hidden="1" x14ac:dyDescent="0.3">
      <c r="B27" s="272">
        <v>2</v>
      </c>
      <c r="C27" s="274" t="s">
        <v>161</v>
      </c>
      <c r="D27" s="275">
        <f>SUM(D28:D30)</f>
        <v>20531.25</v>
      </c>
      <c r="E27" s="275">
        <f>SUM(E28:E30)</f>
        <v>2281.25</v>
      </c>
      <c r="F27" s="277"/>
      <c r="G27" s="279">
        <f t="shared" si="4"/>
        <v>0.47925420168067229</v>
      </c>
      <c r="H27" s="279">
        <f t="shared" si="5"/>
        <v>0.47925420168067229</v>
      </c>
      <c r="I27" s="279">
        <f t="shared" si="6"/>
        <v>0</v>
      </c>
    </row>
    <row r="28" spans="2:25" hidden="1" x14ac:dyDescent="0.3">
      <c r="B28" s="273" t="s">
        <v>147</v>
      </c>
      <c r="C28" s="274" t="s">
        <v>162</v>
      </c>
      <c r="D28" s="275">
        <f t="shared" ref="D28:E30" si="8">G10+(J10/2)</f>
        <v>10829.25</v>
      </c>
      <c r="E28" s="275">
        <f t="shared" si="8"/>
        <v>1203.25</v>
      </c>
      <c r="F28" s="275"/>
      <c r="G28" s="278">
        <f>+D28/D10</f>
        <v>0.57297619047619053</v>
      </c>
      <c r="H28" s="278">
        <f t="shared" si="5"/>
        <v>0.57297619047619053</v>
      </c>
      <c r="I28" s="278">
        <f t="shared" si="6"/>
        <v>0</v>
      </c>
    </row>
    <row r="29" spans="2:25" hidden="1" x14ac:dyDescent="0.3">
      <c r="B29" s="273" t="s">
        <v>148</v>
      </c>
      <c r="C29" s="274" t="s">
        <v>163</v>
      </c>
      <c r="D29" s="275">
        <f t="shared" si="8"/>
        <v>5022</v>
      </c>
      <c r="E29" s="275">
        <f t="shared" si="8"/>
        <v>558</v>
      </c>
      <c r="F29" s="275"/>
      <c r="G29" s="278">
        <f t="shared" si="4"/>
        <v>0.45</v>
      </c>
      <c r="H29" s="278">
        <f t="shared" si="5"/>
        <v>0.45</v>
      </c>
      <c r="I29" s="278">
        <f t="shared" si="6"/>
        <v>0</v>
      </c>
    </row>
    <row r="30" spans="2:25" hidden="1" x14ac:dyDescent="0.3">
      <c r="B30" s="273" t="s">
        <v>149</v>
      </c>
      <c r="C30" s="274" t="s">
        <v>164</v>
      </c>
      <c r="D30" s="275">
        <f t="shared" si="8"/>
        <v>4680</v>
      </c>
      <c r="E30" s="275">
        <f t="shared" si="8"/>
        <v>520</v>
      </c>
      <c r="F30" s="275"/>
      <c r="G30" s="278">
        <f t="shared" si="4"/>
        <v>0.36619718309859156</v>
      </c>
      <c r="H30" s="278">
        <f t="shared" si="5"/>
        <v>0.36619718309859156</v>
      </c>
      <c r="I30" s="278">
        <f t="shared" si="6"/>
        <v>0</v>
      </c>
    </row>
    <row r="31" spans="2:25" ht="31.2" hidden="1" x14ac:dyDescent="0.3">
      <c r="B31" s="272">
        <v>3</v>
      </c>
      <c r="C31" s="274" t="s">
        <v>165</v>
      </c>
      <c r="D31" s="275">
        <f>SUM(D32:D34)</f>
        <v>5195.25</v>
      </c>
      <c r="E31" s="275">
        <f>SUM(E32:E34)</f>
        <v>577.25</v>
      </c>
      <c r="F31" s="277"/>
      <c r="G31" s="279">
        <f t="shared" si="4"/>
        <v>0.61553636169759007</v>
      </c>
      <c r="H31" s="279">
        <f t="shared" si="5"/>
        <v>0.61553636169759007</v>
      </c>
      <c r="I31" s="279">
        <f t="shared" si="6"/>
        <v>0</v>
      </c>
    </row>
    <row r="32" spans="2:25" ht="31.2" hidden="1" x14ac:dyDescent="0.3">
      <c r="B32" s="273" t="s">
        <v>150</v>
      </c>
      <c r="C32" s="274" t="s">
        <v>92</v>
      </c>
      <c r="D32" s="275">
        <f t="shared" ref="D32:E35" si="9">G14+(J14/2)</f>
        <v>2047.5</v>
      </c>
      <c r="E32" s="275">
        <f t="shared" si="9"/>
        <v>227.5</v>
      </c>
      <c r="F32" s="275"/>
      <c r="G32" s="278">
        <f t="shared" si="4"/>
        <v>0.5</v>
      </c>
      <c r="H32" s="278">
        <f t="shared" si="5"/>
        <v>0.5</v>
      </c>
      <c r="I32" s="278">
        <f t="shared" si="6"/>
        <v>0</v>
      </c>
    </row>
    <row r="33" spans="2:9" ht="31.2" hidden="1" x14ac:dyDescent="0.3">
      <c r="B33" s="273" t="s">
        <v>151</v>
      </c>
      <c r="C33" s="274" t="s">
        <v>166</v>
      </c>
      <c r="D33" s="275">
        <f t="shared" si="9"/>
        <v>1950.3</v>
      </c>
      <c r="E33" s="275">
        <f t="shared" si="9"/>
        <v>216.70000000000002</v>
      </c>
      <c r="F33" s="275"/>
      <c r="G33" s="278">
        <f t="shared" si="4"/>
        <v>1</v>
      </c>
      <c r="H33" s="278">
        <f t="shared" si="5"/>
        <v>1</v>
      </c>
      <c r="I33" s="278">
        <f t="shared" si="6"/>
        <v>0</v>
      </c>
    </row>
    <row r="34" spans="2:9" hidden="1" x14ac:dyDescent="0.3">
      <c r="B34" s="273" t="s">
        <v>152</v>
      </c>
      <c r="C34" s="274" t="s">
        <v>167</v>
      </c>
      <c r="D34" s="275">
        <f t="shared" si="9"/>
        <v>1197.45</v>
      </c>
      <c r="E34" s="275">
        <f t="shared" si="9"/>
        <v>133.05000000000001</v>
      </c>
      <c r="F34" s="275"/>
      <c r="G34" s="278">
        <f t="shared" si="4"/>
        <v>0.5</v>
      </c>
      <c r="H34" s="278">
        <f t="shared" si="5"/>
        <v>0.5</v>
      </c>
      <c r="I34" s="278">
        <f t="shared" si="6"/>
        <v>0</v>
      </c>
    </row>
    <row r="35" spans="2:9" ht="16.2" hidden="1" thickBot="1" x14ac:dyDescent="0.35">
      <c r="B35" s="285">
        <v>4</v>
      </c>
      <c r="C35" s="286" t="s">
        <v>168</v>
      </c>
      <c r="D35" s="287">
        <f t="shared" si="9"/>
        <v>1650</v>
      </c>
      <c r="E35" s="287">
        <f t="shared" si="9"/>
        <v>0</v>
      </c>
      <c r="F35" s="288"/>
      <c r="G35" s="289">
        <f t="shared" si="4"/>
        <v>0.3</v>
      </c>
      <c r="H35" s="289" t="e">
        <f t="shared" si="5"/>
        <v>#DIV/0!</v>
      </c>
      <c r="I35" s="289">
        <f t="shared" si="6"/>
        <v>0</v>
      </c>
    </row>
    <row r="36" spans="2:9" ht="16.2" hidden="1" thickBot="1" x14ac:dyDescent="0.35">
      <c r="B36" s="290"/>
      <c r="C36" s="291" t="s">
        <v>153</v>
      </c>
      <c r="D36" s="292">
        <f>+D35+D31+D27+D23</f>
        <v>41404.800000000003</v>
      </c>
      <c r="E36" s="292">
        <f>+E35+E31+E27+E23</f>
        <v>4417.2</v>
      </c>
      <c r="F36" s="292"/>
      <c r="G36" s="293">
        <f t="shared" si="4"/>
        <v>0.41404800000000003</v>
      </c>
      <c r="H36" s="293">
        <f t="shared" si="5"/>
        <v>0.42068571428571427</v>
      </c>
      <c r="I36" s="294">
        <f t="shared" si="6"/>
        <v>0</v>
      </c>
    </row>
    <row r="37" spans="2:9" x14ac:dyDescent="0.3">
      <c r="C37" s="38"/>
      <c r="F37" s="254"/>
    </row>
    <row r="38" spans="2:9" x14ac:dyDescent="0.3">
      <c r="C38" s="38"/>
      <c r="D38" s="38"/>
      <c r="E38" s="38"/>
      <c r="F38" s="359"/>
      <c r="G38" s="38"/>
    </row>
    <row r="39" spans="2:9" x14ac:dyDescent="0.3">
      <c r="C39" s="38"/>
      <c r="D39" s="38"/>
      <c r="E39" s="38"/>
      <c r="F39" s="359"/>
      <c r="G39" s="38"/>
    </row>
    <row r="40" spans="2:9" x14ac:dyDescent="0.3">
      <c r="C40" s="38"/>
      <c r="F40" s="255"/>
    </row>
    <row r="41" spans="2:9" x14ac:dyDescent="0.3">
      <c r="C41" s="38"/>
      <c r="F41" s="255"/>
    </row>
    <row r="42" spans="2:9" x14ac:dyDescent="0.3">
      <c r="C42" s="38"/>
    </row>
    <row r="43" spans="2:9" x14ac:dyDescent="0.3">
      <c r="C43" s="38"/>
    </row>
    <row r="44" spans="2:9" x14ac:dyDescent="0.3">
      <c r="C44" s="38"/>
    </row>
    <row r="45" spans="2:9" x14ac:dyDescent="0.3">
      <c r="C45" s="38"/>
    </row>
    <row r="46" spans="2:9" x14ac:dyDescent="0.3">
      <c r="C46" s="38"/>
    </row>
    <row r="47" spans="2:9" x14ac:dyDescent="0.3">
      <c r="C47" s="38"/>
    </row>
    <row r="48" spans="2:9" x14ac:dyDescent="0.3">
      <c r="C48" s="38"/>
    </row>
    <row r="49" spans="3:3" x14ac:dyDescent="0.3">
      <c r="C49" s="38"/>
    </row>
    <row r="50" spans="3:3" x14ac:dyDescent="0.3">
      <c r="C50" s="38"/>
    </row>
    <row r="51" spans="3:3" x14ac:dyDescent="0.3">
      <c r="C51" s="38"/>
    </row>
    <row r="52" spans="3:3" x14ac:dyDescent="0.3">
      <c r="C52" s="38"/>
    </row>
    <row r="53" spans="3:3" x14ac:dyDescent="0.3">
      <c r="C53" s="38"/>
    </row>
    <row r="54" spans="3:3" x14ac:dyDescent="0.3">
      <c r="C54" s="38"/>
    </row>
    <row r="55" spans="3:3" x14ac:dyDescent="0.3">
      <c r="C55" s="38"/>
    </row>
    <row r="56" spans="3:3" x14ac:dyDescent="0.3">
      <c r="C56" s="38"/>
    </row>
    <row r="57" spans="3:3" x14ac:dyDescent="0.3">
      <c r="C57" s="38"/>
    </row>
    <row r="58" spans="3:3" x14ac:dyDescent="0.3">
      <c r="C58" s="38"/>
    </row>
    <row r="59" spans="3:3" x14ac:dyDescent="0.3">
      <c r="C59" s="38"/>
    </row>
    <row r="60" spans="3:3" x14ac:dyDescent="0.3">
      <c r="C60" s="38"/>
    </row>
    <row r="61" spans="3:3" x14ac:dyDescent="0.3">
      <c r="C61" s="38"/>
    </row>
    <row r="62" spans="3:3" x14ac:dyDescent="0.3">
      <c r="C62" s="38"/>
    </row>
    <row r="63" spans="3:3" x14ac:dyDescent="0.3">
      <c r="C63" s="38"/>
    </row>
    <row r="64" spans="3:3" x14ac:dyDescent="0.3">
      <c r="C64" s="38"/>
    </row>
    <row r="65" spans="3:3" x14ac:dyDescent="0.3">
      <c r="C65" s="38"/>
    </row>
    <row r="66" spans="3:3" x14ac:dyDescent="0.3">
      <c r="C66" s="38"/>
    </row>
    <row r="67" spans="3:3" x14ac:dyDescent="0.3">
      <c r="C67" s="38"/>
    </row>
    <row r="68" spans="3:3" x14ac:dyDescent="0.3">
      <c r="C68" s="38"/>
    </row>
    <row r="69" spans="3:3" x14ac:dyDescent="0.3">
      <c r="C69" s="38"/>
    </row>
    <row r="70" spans="3:3" x14ac:dyDescent="0.3">
      <c r="C70" s="38"/>
    </row>
    <row r="71" spans="3:3" x14ac:dyDescent="0.3">
      <c r="C71" s="38"/>
    </row>
    <row r="72" spans="3:3" x14ac:dyDescent="0.3">
      <c r="C72" s="38"/>
    </row>
  </sheetData>
  <mergeCells count="9">
    <mergeCell ref="M3:O3"/>
    <mergeCell ref="P3:R3"/>
    <mergeCell ref="S3:U3"/>
    <mergeCell ref="B20:C20"/>
    <mergeCell ref="B18:C18"/>
    <mergeCell ref="D3:F3"/>
    <mergeCell ref="G3:I3"/>
    <mergeCell ref="B3:C4"/>
    <mergeCell ref="J3:L3"/>
  </mergeCells>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59"/>
  <sheetViews>
    <sheetView topLeftCell="A35" zoomScaleNormal="100" workbookViewId="0">
      <selection activeCell="D15" sqref="D15:D20"/>
    </sheetView>
  </sheetViews>
  <sheetFormatPr defaultColWidth="11" defaultRowHeight="15.6" x14ac:dyDescent="0.3"/>
  <cols>
    <col min="1" max="1" width="1.69921875" style="11" customWidth="1"/>
    <col min="2" max="2" width="47.5" style="11" customWidth="1"/>
    <col min="3" max="8" width="14.3984375" style="11" customWidth="1"/>
    <col min="9" max="9" width="12.5" style="43" hidden="1" customWidth="1"/>
    <col min="10" max="10" width="11" style="11"/>
    <col min="11" max="11" width="12.19921875" style="11" bestFit="1" customWidth="1"/>
    <col min="12" max="12" width="16" style="11" customWidth="1"/>
    <col min="13" max="13" width="11.69921875" style="11" bestFit="1" customWidth="1"/>
    <col min="14" max="16384" width="11" style="11"/>
  </cols>
  <sheetData>
    <row r="1" spans="2:11" ht="19.5" customHeight="1" x14ac:dyDescent="0.35">
      <c r="B1" s="13" t="s">
        <v>169</v>
      </c>
      <c r="C1" s="13"/>
      <c r="D1" s="13"/>
      <c r="E1" s="13"/>
      <c r="F1" s="13"/>
      <c r="G1" s="13"/>
      <c r="H1" s="13"/>
      <c r="I1" s="42"/>
    </row>
    <row r="2" spans="2:11" ht="18.75" customHeight="1" thickBot="1" x14ac:dyDescent="0.35">
      <c r="B2" s="2" t="s">
        <v>134</v>
      </c>
      <c r="D2" s="182"/>
      <c r="E2" s="182"/>
      <c r="F2" s="182"/>
      <c r="G2" s="182"/>
      <c r="H2" s="182"/>
    </row>
    <row r="3" spans="2:11" ht="16.2" thickBot="1" x14ac:dyDescent="0.35">
      <c r="B3" s="150" t="s">
        <v>170</v>
      </c>
      <c r="C3" s="151" t="s">
        <v>13</v>
      </c>
      <c r="D3" s="151" t="s">
        <v>137</v>
      </c>
      <c r="E3" s="151" t="s">
        <v>138</v>
      </c>
      <c r="F3" s="151" t="s">
        <v>139</v>
      </c>
      <c r="G3" s="151" t="s">
        <v>140</v>
      </c>
      <c r="H3" s="151" t="s">
        <v>141</v>
      </c>
      <c r="I3" s="152" t="s">
        <v>171</v>
      </c>
    </row>
    <row r="4" spans="2:11" ht="16.2" thickBot="1" x14ac:dyDescent="0.35">
      <c r="B4" s="153" t="s">
        <v>172</v>
      </c>
      <c r="C4" s="154">
        <v>110500</v>
      </c>
      <c r="D4" s="154">
        <f>+'Plan_Ejecutivo_Plurianual (PEP)'!I18</f>
        <v>23462</v>
      </c>
      <c r="E4" s="154">
        <f>+'Plan_Ejecutivo_Plurianual (PEP)'!L18</f>
        <v>44720</v>
      </c>
      <c r="F4" s="154">
        <f>+'Plan_Ejecutivo_Plurianual (PEP)'!O18</f>
        <v>28487</v>
      </c>
      <c r="G4" s="154">
        <f>+'Plan_Ejecutivo_Plurianual (PEP)'!R18</f>
        <v>11981</v>
      </c>
      <c r="H4" s="154">
        <f>+'Plan_Ejecutivo_Plurianual (PEP)'!U18</f>
        <v>1850</v>
      </c>
      <c r="I4" s="155">
        <f>+C4/C4</f>
        <v>1</v>
      </c>
    </row>
    <row r="5" spans="2:11" ht="16.2" hidden="1" thickBot="1" x14ac:dyDescent="0.35">
      <c r="B5" s="153" t="s">
        <v>173</v>
      </c>
      <c r="C5" s="156">
        <f>+C6+C28+C51</f>
        <v>105000</v>
      </c>
      <c r="D5" s="156">
        <f>+D4-'Plan_Ejecutivo_Plurianual (PEP)'!I17</f>
        <v>22362</v>
      </c>
      <c r="E5" s="156">
        <f>+E4-'Plan_Ejecutivo_Plurianual (PEP)'!L17</f>
        <v>43620</v>
      </c>
      <c r="F5" s="156">
        <f>+F4-'Plan_Ejecutivo_Plurianual (PEP)'!O17</f>
        <v>27387</v>
      </c>
      <c r="G5" s="156">
        <f>+G4-'Plan_Ejecutivo_Plurianual (PEP)'!R17</f>
        <v>10881</v>
      </c>
      <c r="H5" s="156">
        <f>+H4-'Plan_Ejecutivo_Plurianual (PEP)'!U17</f>
        <v>750</v>
      </c>
      <c r="I5" s="157">
        <f>+C5/C4</f>
        <v>0.95022624434389136</v>
      </c>
    </row>
    <row r="6" spans="2:11" ht="28.2" hidden="1" thickBot="1" x14ac:dyDescent="0.35">
      <c r="B6" s="158" t="s">
        <v>174</v>
      </c>
      <c r="C6" s="159">
        <f>+C7+C14+C21</f>
        <v>48022</v>
      </c>
      <c r="D6" s="159">
        <f>+'Plan_Ejecutivo_Plurianual (PEP)'!I5</f>
        <v>7035</v>
      </c>
      <c r="E6" s="159">
        <f>+'Plan_Ejecutivo_Plurianual (PEP)'!L5</f>
        <v>17104</v>
      </c>
      <c r="F6" s="159">
        <f>+'Plan_Ejecutivo_Plurianual (PEP)'!O5</f>
        <v>19147</v>
      </c>
      <c r="G6" s="159">
        <f>+'Plan_Ejecutivo_Plurianual (PEP)'!R5</f>
        <v>3986</v>
      </c>
      <c r="H6" s="159">
        <f>+'Plan_Ejecutivo_Plurianual (PEP)'!U5</f>
        <v>750</v>
      </c>
      <c r="I6" s="160">
        <f>+C6/C4</f>
        <v>0.43458823529411766</v>
      </c>
    </row>
    <row r="7" spans="2:11" ht="28.2" thickBot="1" x14ac:dyDescent="0.35">
      <c r="B7" s="161" t="s">
        <v>175</v>
      </c>
      <c r="C7" s="162">
        <f>SUM(C8:C12)</f>
        <v>12330</v>
      </c>
      <c r="D7" s="355">
        <f>+'Plan_Ejecutivo_Plurianual (PEP)'!I6</f>
        <v>0</v>
      </c>
      <c r="E7" s="355">
        <f>+'Plan_Ejecutivo_Plurianual (PEP)'!L6</f>
        <v>5557</v>
      </c>
      <c r="F7" s="355">
        <f>+'Plan_Ejecutivo_Plurianual (PEP)'!O6</f>
        <v>2787</v>
      </c>
      <c r="G7" s="355">
        <f>+'Plan_Ejecutivo_Plurianual (PEP)'!R6</f>
        <v>3236</v>
      </c>
      <c r="H7" s="355">
        <f>+'Plan_Ejecutivo_Plurianual (PEP)'!U6</f>
        <v>750</v>
      </c>
      <c r="I7" s="163">
        <f>+C7/C4</f>
        <v>0.11158371040723981</v>
      </c>
    </row>
    <row r="8" spans="2:11" ht="16.2" thickBot="1" x14ac:dyDescent="0.35">
      <c r="B8" s="164" t="s">
        <v>176</v>
      </c>
      <c r="C8" s="149">
        <f>4791000/1000</f>
        <v>4791</v>
      </c>
      <c r="D8" s="149">
        <f>+D$7/$C$7*$C8</f>
        <v>0</v>
      </c>
      <c r="E8" s="149">
        <f>+E$7/$C$7*$C8</f>
        <v>2159.2527980535278</v>
      </c>
      <c r="F8" s="149">
        <f t="shared" ref="F8:H8" si="0">+F$7/$C$7*$C8</f>
        <v>1082.9291970802919</v>
      </c>
      <c r="G8" s="149">
        <f t="shared" si="0"/>
        <v>1257.3946472019466</v>
      </c>
      <c r="H8" s="149">
        <f t="shared" si="0"/>
        <v>291.42335766423361</v>
      </c>
      <c r="I8" s="165"/>
    </row>
    <row r="9" spans="2:11" ht="16.2" thickBot="1" x14ac:dyDescent="0.35">
      <c r="B9" s="166" t="s">
        <v>177</v>
      </c>
      <c r="C9" s="149">
        <v>2275</v>
      </c>
      <c r="D9" s="149">
        <f t="shared" ref="D9:H13" si="1">+D$7/$C$7*$C9</f>
        <v>0</v>
      </c>
      <c r="E9" s="149">
        <f t="shared" si="1"/>
        <v>1025.3183292781832</v>
      </c>
      <c r="F9" s="149">
        <f t="shared" si="1"/>
        <v>514.22749391727496</v>
      </c>
      <c r="G9" s="149">
        <f t="shared" si="1"/>
        <v>597.07218167072187</v>
      </c>
      <c r="H9" s="149">
        <f t="shared" si="1"/>
        <v>138.38199513381997</v>
      </c>
      <c r="I9" s="165"/>
      <c r="J9" s="167"/>
    </row>
    <row r="10" spans="2:11" ht="28.2" thickBot="1" x14ac:dyDescent="0.35">
      <c r="B10" s="166" t="s">
        <v>178</v>
      </c>
      <c r="C10" s="149">
        <v>3933</v>
      </c>
      <c r="D10" s="149">
        <f t="shared" si="1"/>
        <v>0</v>
      </c>
      <c r="E10" s="149">
        <f t="shared" si="1"/>
        <v>1772.5613138686131</v>
      </c>
      <c r="F10" s="149">
        <f t="shared" si="1"/>
        <v>888.99197080291981</v>
      </c>
      <c r="G10" s="149">
        <f t="shared" si="1"/>
        <v>1032.2131386861315</v>
      </c>
      <c r="H10" s="149">
        <f t="shared" si="1"/>
        <v>239.23357664233578</v>
      </c>
      <c r="I10" s="165"/>
      <c r="J10" s="167"/>
      <c r="K10" s="167"/>
    </row>
    <row r="11" spans="2:11" ht="28.2" thickBot="1" x14ac:dyDescent="0.35">
      <c r="B11" s="166" t="s">
        <v>179</v>
      </c>
      <c r="C11" s="149">
        <v>831</v>
      </c>
      <c r="D11" s="149">
        <f t="shared" si="1"/>
        <v>0</v>
      </c>
      <c r="E11" s="149">
        <f t="shared" si="1"/>
        <v>374.52287104622872</v>
      </c>
      <c r="F11" s="149">
        <f t="shared" si="1"/>
        <v>187.83430656934308</v>
      </c>
      <c r="G11" s="149">
        <f t="shared" si="1"/>
        <v>218.09537712895377</v>
      </c>
      <c r="H11" s="149">
        <f t="shared" si="1"/>
        <v>50.547445255474457</v>
      </c>
      <c r="I11" s="165"/>
      <c r="J11" s="167"/>
      <c r="K11" s="167"/>
    </row>
    <row r="12" spans="2:11" ht="16.2" thickBot="1" x14ac:dyDescent="0.35">
      <c r="B12" s="166" t="s">
        <v>180</v>
      </c>
      <c r="C12" s="149">
        <v>500</v>
      </c>
      <c r="D12" s="149">
        <f t="shared" si="1"/>
        <v>0</v>
      </c>
      <c r="E12" s="149">
        <f t="shared" si="1"/>
        <v>225.34468775344686</v>
      </c>
      <c r="F12" s="149">
        <f t="shared" si="1"/>
        <v>113.01703163017032</v>
      </c>
      <c r="G12" s="149">
        <f t="shared" si="1"/>
        <v>131.22465531224657</v>
      </c>
      <c r="H12" s="149">
        <f t="shared" si="1"/>
        <v>30.413625304136254</v>
      </c>
      <c r="I12" s="165"/>
      <c r="K12" s="167"/>
    </row>
    <row r="13" spans="2:11" ht="16.2" thickBot="1" x14ac:dyDescent="0.35">
      <c r="B13" s="166" t="s">
        <v>181</v>
      </c>
      <c r="C13" s="149">
        <v>1000</v>
      </c>
      <c r="D13" s="149">
        <f t="shared" si="1"/>
        <v>0</v>
      </c>
      <c r="E13" s="357">
        <f t="shared" si="1"/>
        <v>450.68937550689373</v>
      </c>
      <c r="F13" s="357">
        <f t="shared" si="1"/>
        <v>226.03406326034064</v>
      </c>
      <c r="G13" s="357">
        <f t="shared" si="1"/>
        <v>262.44931062449314</v>
      </c>
      <c r="H13" s="357">
        <f t="shared" si="1"/>
        <v>60.827250608272507</v>
      </c>
      <c r="I13" s="358"/>
      <c r="K13" s="167"/>
    </row>
    <row r="14" spans="2:11" ht="30.75" hidden="1" customHeight="1" thickBot="1" x14ac:dyDescent="0.35">
      <c r="B14" s="168" t="s">
        <v>182</v>
      </c>
      <c r="C14" s="162">
        <f>SUM(C15:C20)</f>
        <v>32658</v>
      </c>
      <c r="D14" s="355">
        <f>+'Plan_Ejecutivo_Plurianual (PEP)'!I7</f>
        <v>5843</v>
      </c>
      <c r="E14" s="355">
        <f>+'Plan_Ejecutivo_Plurianual (PEP)'!L7</f>
        <v>9705</v>
      </c>
      <c r="F14" s="355">
        <f>+'Plan_Ejecutivo_Plurianual (PEP)'!O7</f>
        <v>16360</v>
      </c>
      <c r="G14" s="355">
        <f>+'Plan_Ejecutivo_Plurianual (PEP)'!R7</f>
        <v>750</v>
      </c>
      <c r="H14" s="355">
        <f>+'Plan_Ejecutivo_Plurianual (PEP)'!U7</f>
        <v>0</v>
      </c>
      <c r="I14" s="163">
        <f>+C14/C4</f>
        <v>0.29554751131221718</v>
      </c>
      <c r="J14" s="167"/>
    </row>
    <row r="15" spans="2:11" ht="16.2" thickBot="1" x14ac:dyDescent="0.35">
      <c r="B15" s="166" t="s">
        <v>183</v>
      </c>
      <c r="C15" s="149">
        <v>5844</v>
      </c>
      <c r="D15" s="149">
        <f t="shared" ref="D15:D20" si="2">+D$14/$C$14*$C15</f>
        <v>1045.5781738012124</v>
      </c>
      <c r="E15" s="149">
        <f t="shared" ref="E15:H15" si="3">+E$14/$C$14*$C15</f>
        <v>1736.6654418519199</v>
      </c>
      <c r="F15" s="149">
        <f t="shared" si="3"/>
        <v>2927.5473084695936</v>
      </c>
      <c r="G15" s="149">
        <f t="shared" si="3"/>
        <v>134.20907587727356</v>
      </c>
      <c r="H15" s="149">
        <f t="shared" si="3"/>
        <v>0</v>
      </c>
      <c r="I15" s="165"/>
      <c r="K15" s="167"/>
    </row>
    <row r="16" spans="2:11" ht="16.2" thickBot="1" x14ac:dyDescent="0.35">
      <c r="B16" s="166" t="s">
        <v>184</v>
      </c>
      <c r="C16" s="149">
        <v>7100</v>
      </c>
      <c r="D16" s="149">
        <f t="shared" si="2"/>
        <v>1270.2951803539713</v>
      </c>
      <c r="E16" s="149">
        <f t="shared" ref="E16:H20" si="4">+E$14/$C$14*$C16</f>
        <v>2109.9118133382326</v>
      </c>
      <c r="F16" s="149">
        <f t="shared" si="4"/>
        <v>3556.7395431440991</v>
      </c>
      <c r="G16" s="149">
        <f t="shared" si="4"/>
        <v>163.05346316369651</v>
      </c>
      <c r="H16" s="149">
        <f t="shared" si="4"/>
        <v>0</v>
      </c>
      <c r="I16" s="165"/>
      <c r="K16" s="169"/>
    </row>
    <row r="17" spans="2:11" ht="16.2" thickBot="1" x14ac:dyDescent="0.35">
      <c r="B17" s="166" t="s">
        <v>185</v>
      </c>
      <c r="C17" s="149">
        <v>1120</v>
      </c>
      <c r="D17" s="149">
        <f t="shared" si="2"/>
        <v>200.38459183048562</v>
      </c>
      <c r="E17" s="149">
        <f t="shared" si="4"/>
        <v>332.83115928715779</v>
      </c>
      <c r="F17" s="149">
        <f t="shared" si="4"/>
        <v>561.06313920019591</v>
      </c>
      <c r="G17" s="149">
        <f t="shared" si="4"/>
        <v>25.721109682160574</v>
      </c>
      <c r="H17" s="149">
        <f t="shared" si="4"/>
        <v>0</v>
      </c>
      <c r="I17" s="165"/>
      <c r="K17" s="170"/>
    </row>
    <row r="18" spans="2:11" ht="15.75" customHeight="1" thickBot="1" x14ac:dyDescent="0.35">
      <c r="B18" s="166" t="s">
        <v>186</v>
      </c>
      <c r="C18" s="149">
        <v>11139</v>
      </c>
      <c r="D18" s="149">
        <f t="shared" si="2"/>
        <v>1992.9321146426601</v>
      </c>
      <c r="E18" s="149">
        <f t="shared" si="4"/>
        <v>3310.1841815175453</v>
      </c>
      <c r="F18" s="149">
        <f t="shared" si="4"/>
        <v>5580.0734888848056</v>
      </c>
      <c r="G18" s="149">
        <f t="shared" si="4"/>
        <v>255.81021495498808</v>
      </c>
      <c r="H18" s="149">
        <f t="shared" si="4"/>
        <v>0</v>
      </c>
      <c r="I18" s="165"/>
    </row>
    <row r="19" spans="2:11" ht="16.2" thickBot="1" x14ac:dyDescent="0.35">
      <c r="B19" s="166" t="s">
        <v>187</v>
      </c>
      <c r="C19" s="149">
        <v>5000</v>
      </c>
      <c r="D19" s="149">
        <f t="shared" si="2"/>
        <v>894.57407067181077</v>
      </c>
      <c r="E19" s="149">
        <f t="shared" si="4"/>
        <v>1485.8533896748115</v>
      </c>
      <c r="F19" s="149">
        <f t="shared" si="4"/>
        <v>2504.746157143732</v>
      </c>
      <c r="G19" s="149">
        <f t="shared" si="4"/>
        <v>114.82638250964543</v>
      </c>
      <c r="H19" s="149">
        <f t="shared" si="4"/>
        <v>0</v>
      </c>
      <c r="I19" s="165"/>
    </row>
    <row r="20" spans="2:11" ht="16.2" thickBot="1" x14ac:dyDescent="0.35">
      <c r="B20" s="166" t="s">
        <v>188</v>
      </c>
      <c r="C20" s="149">
        <v>2455</v>
      </c>
      <c r="D20" s="149">
        <f t="shared" si="2"/>
        <v>439.23586869985911</v>
      </c>
      <c r="E20" s="149">
        <f t="shared" si="4"/>
        <v>729.55401433033251</v>
      </c>
      <c r="F20" s="149">
        <f t="shared" si="4"/>
        <v>1229.8303631575723</v>
      </c>
      <c r="G20" s="149">
        <f t="shared" si="4"/>
        <v>56.379753812235904</v>
      </c>
      <c r="H20" s="149">
        <f t="shared" si="4"/>
        <v>0</v>
      </c>
      <c r="I20" s="165"/>
    </row>
    <row r="21" spans="2:11" ht="42" hidden="1" thickBot="1" x14ac:dyDescent="0.35">
      <c r="B21" s="168" t="s">
        <v>189</v>
      </c>
      <c r="C21" s="162">
        <f>SUM(C22:C27)</f>
        <v>3034</v>
      </c>
      <c r="D21" s="355">
        <f>+'Plan_Ejecutivo_Plurianual (PEP)'!I8</f>
        <v>1192</v>
      </c>
      <c r="E21" s="355">
        <f>+'Plan_Ejecutivo_Plurianual (PEP)'!L8</f>
        <v>1842</v>
      </c>
      <c r="F21" s="355">
        <f>+'Plan_Ejecutivo_Plurianual (PEP)'!O8</f>
        <v>0</v>
      </c>
      <c r="G21" s="355">
        <f>+'Plan_Ejecutivo_Plurianual (PEP)'!R8</f>
        <v>0</v>
      </c>
      <c r="H21" s="355">
        <f>+'Plan_Ejecutivo_Plurianual (PEP)'!U8</f>
        <v>0</v>
      </c>
      <c r="I21" s="163">
        <f>+C21/C4</f>
        <v>2.7457013574660634E-2</v>
      </c>
      <c r="J21" s="167"/>
    </row>
    <row r="22" spans="2:11" ht="28.2" thickBot="1" x14ac:dyDescent="0.35">
      <c r="B22" s="171" t="s">
        <v>190</v>
      </c>
      <c r="C22" s="149">
        <v>650</v>
      </c>
      <c r="D22" s="149">
        <f t="shared" ref="D22:D27" si="5">+D$21/$C$21*$C22</f>
        <v>255.37244561634805</v>
      </c>
      <c r="E22" s="149">
        <f t="shared" ref="E22:H22" si="6">+E$21/$C$21*$C22</f>
        <v>394.6275543836519</v>
      </c>
      <c r="F22" s="149">
        <f t="shared" si="6"/>
        <v>0</v>
      </c>
      <c r="G22" s="149">
        <f t="shared" si="6"/>
        <v>0</v>
      </c>
      <c r="H22" s="149">
        <f t="shared" si="6"/>
        <v>0</v>
      </c>
      <c r="I22" s="165"/>
    </row>
    <row r="23" spans="2:11" ht="16.2" thickBot="1" x14ac:dyDescent="0.35">
      <c r="B23" s="172" t="s">
        <v>191</v>
      </c>
      <c r="C23" s="149">
        <v>542</v>
      </c>
      <c r="D23" s="149">
        <f t="shared" si="5"/>
        <v>212.9413315754779</v>
      </c>
      <c r="E23" s="149">
        <f t="shared" ref="E23:H27" si="7">+E$21/$C$21*$C23</f>
        <v>329.05866842452207</v>
      </c>
      <c r="F23" s="149">
        <f t="shared" si="7"/>
        <v>0</v>
      </c>
      <c r="G23" s="149">
        <f t="shared" si="7"/>
        <v>0</v>
      </c>
      <c r="H23" s="149">
        <f t="shared" si="7"/>
        <v>0</v>
      </c>
      <c r="I23" s="165"/>
    </row>
    <row r="24" spans="2:11" ht="16.2" thickBot="1" x14ac:dyDescent="0.35">
      <c r="B24" s="172" t="s">
        <v>192</v>
      </c>
      <c r="C24" s="149">
        <v>433</v>
      </c>
      <c r="D24" s="149">
        <f t="shared" si="5"/>
        <v>170.11733684904416</v>
      </c>
      <c r="E24" s="149">
        <f t="shared" si="7"/>
        <v>262.88266315095581</v>
      </c>
      <c r="F24" s="149">
        <f t="shared" si="7"/>
        <v>0</v>
      </c>
      <c r="G24" s="149">
        <f t="shared" si="7"/>
        <v>0</v>
      </c>
      <c r="H24" s="149">
        <f t="shared" si="7"/>
        <v>0</v>
      </c>
      <c r="I24" s="165"/>
    </row>
    <row r="25" spans="2:11" ht="16.2" thickBot="1" x14ac:dyDescent="0.35">
      <c r="B25" s="172" t="s">
        <v>193</v>
      </c>
      <c r="C25" s="149">
        <v>542</v>
      </c>
      <c r="D25" s="149">
        <f t="shared" si="5"/>
        <v>212.9413315754779</v>
      </c>
      <c r="E25" s="149">
        <f t="shared" si="7"/>
        <v>329.05866842452207</v>
      </c>
      <c r="F25" s="149">
        <f t="shared" si="7"/>
        <v>0</v>
      </c>
      <c r="G25" s="149">
        <f t="shared" si="7"/>
        <v>0</v>
      </c>
      <c r="H25" s="149">
        <f t="shared" si="7"/>
        <v>0</v>
      </c>
      <c r="I25" s="165"/>
    </row>
    <row r="26" spans="2:11" ht="16.2" thickBot="1" x14ac:dyDescent="0.35">
      <c r="B26" s="172" t="s">
        <v>194</v>
      </c>
      <c r="C26" s="149">
        <v>542</v>
      </c>
      <c r="D26" s="149">
        <f t="shared" si="5"/>
        <v>212.9413315754779</v>
      </c>
      <c r="E26" s="149">
        <f t="shared" si="7"/>
        <v>329.05866842452207</v>
      </c>
      <c r="F26" s="149">
        <f t="shared" si="7"/>
        <v>0</v>
      </c>
      <c r="G26" s="149">
        <f t="shared" si="7"/>
        <v>0</v>
      </c>
      <c r="H26" s="149">
        <f t="shared" si="7"/>
        <v>0</v>
      </c>
      <c r="I26" s="165"/>
    </row>
    <row r="27" spans="2:11" ht="16.2" thickBot="1" x14ac:dyDescent="0.35">
      <c r="B27" s="172" t="s">
        <v>195</v>
      </c>
      <c r="C27" s="149">
        <v>325</v>
      </c>
      <c r="D27" s="149">
        <f t="shared" si="5"/>
        <v>127.68622280817402</v>
      </c>
      <c r="E27" s="149">
        <f t="shared" si="7"/>
        <v>197.31377719182595</v>
      </c>
      <c r="F27" s="149">
        <f t="shared" si="7"/>
        <v>0</v>
      </c>
      <c r="G27" s="149">
        <f t="shared" si="7"/>
        <v>0</v>
      </c>
      <c r="H27" s="149">
        <f t="shared" si="7"/>
        <v>0</v>
      </c>
      <c r="I27" s="165"/>
    </row>
    <row r="28" spans="2:11" ht="28.2" hidden="1" thickBot="1" x14ac:dyDescent="0.35">
      <c r="B28" s="158" t="s">
        <v>196</v>
      </c>
      <c r="C28" s="159">
        <f>SUM(C29:C50)</f>
        <v>47600</v>
      </c>
      <c r="D28" s="159">
        <f>+'Plan_Ejecutivo_Plurianual (PEP)'!I9</f>
        <v>13160</v>
      </c>
      <c r="E28" s="159">
        <f>+'Plan_Ejecutivo_Plurianual (PEP)'!L9</f>
        <v>19305</v>
      </c>
      <c r="F28" s="159">
        <f>+'Plan_Ejecutivo_Plurianual (PEP)'!O9</f>
        <v>8240</v>
      </c>
      <c r="G28" s="159">
        <f>+'Plan_Ejecutivo_Plurianual (PEP)'!R9</f>
        <v>6895</v>
      </c>
      <c r="H28" s="159">
        <f>+'Plan_Ejecutivo_Plurianual (PEP)'!U9</f>
        <v>0</v>
      </c>
      <c r="I28" s="160">
        <f>+C28/C4</f>
        <v>0.43076923076923079</v>
      </c>
      <c r="J28" s="167"/>
    </row>
    <row r="29" spans="2:11" ht="16.2" thickBot="1" x14ac:dyDescent="0.35">
      <c r="B29" s="172" t="s">
        <v>197</v>
      </c>
      <c r="C29" s="149">
        <v>3000</v>
      </c>
      <c r="D29" s="149">
        <f t="shared" ref="D29:D50" si="8">+D$28/$C$28*$C29</f>
        <v>829.41176470588243</v>
      </c>
      <c r="E29" s="149">
        <f t="shared" ref="E29:H29" si="9">+E$28/$C$28*$C29</f>
        <v>1216.7016806722688</v>
      </c>
      <c r="F29" s="149">
        <f t="shared" si="9"/>
        <v>519.32773109243692</v>
      </c>
      <c r="G29" s="149">
        <f t="shared" si="9"/>
        <v>434.55882352941182</v>
      </c>
      <c r="H29" s="149">
        <f t="shared" si="9"/>
        <v>0</v>
      </c>
      <c r="I29" s="165"/>
      <c r="K29" s="256"/>
    </row>
    <row r="30" spans="2:11" ht="16.2" thickBot="1" x14ac:dyDescent="0.35">
      <c r="B30" s="172" t="s">
        <v>198</v>
      </c>
      <c r="C30" s="149">
        <v>8200</v>
      </c>
      <c r="D30" s="149">
        <f t="shared" si="8"/>
        <v>2267.0588235294117</v>
      </c>
      <c r="E30" s="149">
        <f t="shared" ref="E30:H50" si="10">+E$28/$C$28*$C30</f>
        <v>3325.6512605042017</v>
      </c>
      <c r="F30" s="149">
        <f t="shared" si="10"/>
        <v>1419.4957983193276</v>
      </c>
      <c r="G30" s="149">
        <f t="shared" si="10"/>
        <v>1187.794117647059</v>
      </c>
      <c r="H30" s="149">
        <f t="shared" si="10"/>
        <v>0</v>
      </c>
      <c r="I30" s="165"/>
    </row>
    <row r="31" spans="2:11" ht="16.2" thickBot="1" x14ac:dyDescent="0.35">
      <c r="B31" s="172" t="s">
        <v>199</v>
      </c>
      <c r="C31" s="149">
        <v>3000</v>
      </c>
      <c r="D31" s="149">
        <f t="shared" si="8"/>
        <v>829.41176470588243</v>
      </c>
      <c r="E31" s="149">
        <f t="shared" si="10"/>
        <v>1216.7016806722688</v>
      </c>
      <c r="F31" s="149">
        <f t="shared" si="10"/>
        <v>519.32773109243692</v>
      </c>
      <c r="G31" s="149">
        <f t="shared" si="10"/>
        <v>434.55882352941182</v>
      </c>
      <c r="H31" s="149">
        <f t="shared" si="10"/>
        <v>0</v>
      </c>
      <c r="I31" s="165"/>
    </row>
    <row r="32" spans="2:11" ht="16.2" thickBot="1" x14ac:dyDescent="0.35">
      <c r="B32" s="172" t="s">
        <v>200</v>
      </c>
      <c r="C32" s="149">
        <v>1000</v>
      </c>
      <c r="D32" s="149">
        <f t="shared" si="8"/>
        <v>276.47058823529414</v>
      </c>
      <c r="E32" s="149">
        <f t="shared" si="10"/>
        <v>405.56722689075633</v>
      </c>
      <c r="F32" s="149">
        <f t="shared" si="10"/>
        <v>173.10924369747897</v>
      </c>
      <c r="G32" s="149">
        <f t="shared" si="10"/>
        <v>144.85294117647061</v>
      </c>
      <c r="H32" s="149">
        <f t="shared" si="10"/>
        <v>0</v>
      </c>
      <c r="I32" s="165"/>
      <c r="J32" s="167"/>
    </row>
    <row r="33" spans="2:12" ht="16.2" thickBot="1" x14ac:dyDescent="0.35">
      <c r="B33" s="172" t="s">
        <v>201</v>
      </c>
      <c r="C33" s="149">
        <v>1100</v>
      </c>
      <c r="D33" s="149">
        <f t="shared" si="8"/>
        <v>304.11764705882354</v>
      </c>
      <c r="E33" s="149">
        <f t="shared" si="10"/>
        <v>446.12394957983196</v>
      </c>
      <c r="F33" s="149">
        <f t="shared" si="10"/>
        <v>190.42016806722688</v>
      </c>
      <c r="G33" s="149">
        <f t="shared" si="10"/>
        <v>159.33823529411765</v>
      </c>
      <c r="H33" s="149">
        <f t="shared" si="10"/>
        <v>0</v>
      </c>
      <c r="I33" s="165"/>
    </row>
    <row r="34" spans="2:12" ht="16.2" thickBot="1" x14ac:dyDescent="0.35">
      <c r="B34" s="172" t="s">
        <v>202</v>
      </c>
      <c r="C34" s="149">
        <v>3500</v>
      </c>
      <c r="D34" s="149">
        <f t="shared" si="8"/>
        <v>967.64705882352951</v>
      </c>
      <c r="E34" s="149">
        <f t="shared" si="10"/>
        <v>1419.4852941176471</v>
      </c>
      <c r="F34" s="149">
        <f t="shared" si="10"/>
        <v>605.88235294117646</v>
      </c>
      <c r="G34" s="149">
        <f t="shared" si="10"/>
        <v>506.98529411764713</v>
      </c>
      <c r="H34" s="149">
        <f t="shared" si="10"/>
        <v>0</v>
      </c>
      <c r="I34" s="165"/>
    </row>
    <row r="35" spans="2:12" ht="16.2" thickBot="1" x14ac:dyDescent="0.35">
      <c r="B35" s="172" t="s">
        <v>203</v>
      </c>
      <c r="C35" s="149">
        <v>1200</v>
      </c>
      <c r="D35" s="149">
        <f t="shared" si="8"/>
        <v>331.76470588235298</v>
      </c>
      <c r="E35" s="149">
        <f t="shared" si="10"/>
        <v>486.68067226890759</v>
      </c>
      <c r="F35" s="149">
        <f t="shared" si="10"/>
        <v>207.73109243697479</v>
      </c>
      <c r="G35" s="149">
        <f t="shared" si="10"/>
        <v>173.82352941176472</v>
      </c>
      <c r="H35" s="149">
        <f t="shared" si="10"/>
        <v>0</v>
      </c>
      <c r="I35" s="165"/>
    </row>
    <row r="36" spans="2:12" ht="16.2" thickBot="1" x14ac:dyDescent="0.35">
      <c r="B36" s="172" t="s">
        <v>204</v>
      </c>
      <c r="C36" s="149">
        <v>6000</v>
      </c>
      <c r="D36" s="149">
        <f t="shared" si="8"/>
        <v>1658.8235294117649</v>
      </c>
      <c r="E36" s="149">
        <f t="shared" si="10"/>
        <v>2433.4033613445376</v>
      </c>
      <c r="F36" s="149">
        <f t="shared" si="10"/>
        <v>1038.6554621848738</v>
      </c>
      <c r="G36" s="149">
        <f t="shared" si="10"/>
        <v>869.11764705882365</v>
      </c>
      <c r="H36" s="149">
        <f t="shared" si="10"/>
        <v>0</v>
      </c>
      <c r="I36" s="165"/>
      <c r="K36" s="256"/>
    </row>
    <row r="37" spans="2:12" ht="16.2" thickBot="1" x14ac:dyDescent="0.35">
      <c r="B37" s="172" t="s">
        <v>205</v>
      </c>
      <c r="C37" s="149">
        <v>700</v>
      </c>
      <c r="D37" s="149">
        <f t="shared" si="8"/>
        <v>193.52941176470588</v>
      </c>
      <c r="E37" s="149">
        <f t="shared" si="10"/>
        <v>283.89705882352939</v>
      </c>
      <c r="F37" s="149">
        <f t="shared" si="10"/>
        <v>121.17647058823529</v>
      </c>
      <c r="G37" s="149">
        <f t="shared" si="10"/>
        <v>101.39705882352942</v>
      </c>
      <c r="H37" s="149">
        <f t="shared" si="10"/>
        <v>0</v>
      </c>
      <c r="I37" s="165"/>
    </row>
    <row r="38" spans="2:12" ht="16.2" thickBot="1" x14ac:dyDescent="0.35">
      <c r="B38" s="172" t="s">
        <v>206</v>
      </c>
      <c r="C38" s="149">
        <v>750</v>
      </c>
      <c r="D38" s="149">
        <f t="shared" si="8"/>
        <v>207.35294117647061</v>
      </c>
      <c r="E38" s="149">
        <f t="shared" si="10"/>
        <v>304.17542016806721</v>
      </c>
      <c r="F38" s="149">
        <f t="shared" si="10"/>
        <v>129.83193277310923</v>
      </c>
      <c r="G38" s="149">
        <f t="shared" si="10"/>
        <v>108.63970588235296</v>
      </c>
      <c r="H38" s="149">
        <f t="shared" si="10"/>
        <v>0</v>
      </c>
      <c r="I38" s="165"/>
    </row>
    <row r="39" spans="2:12" ht="16.2" thickBot="1" x14ac:dyDescent="0.35">
      <c r="B39" s="172" t="s">
        <v>207</v>
      </c>
      <c r="C39" s="149">
        <v>400</v>
      </c>
      <c r="D39" s="149">
        <f t="shared" si="8"/>
        <v>110.58823529411765</v>
      </c>
      <c r="E39" s="149">
        <f t="shared" si="10"/>
        <v>162.22689075630251</v>
      </c>
      <c r="F39" s="149">
        <f t="shared" si="10"/>
        <v>69.243697478991592</v>
      </c>
      <c r="G39" s="149">
        <f t="shared" si="10"/>
        <v>57.941176470588239</v>
      </c>
      <c r="H39" s="149">
        <f t="shared" si="10"/>
        <v>0</v>
      </c>
      <c r="I39" s="165"/>
    </row>
    <row r="40" spans="2:12" ht="16.2" thickBot="1" x14ac:dyDescent="0.35">
      <c r="B40" s="172" t="s">
        <v>208</v>
      </c>
      <c r="C40" s="149">
        <v>350</v>
      </c>
      <c r="D40" s="149">
        <f t="shared" si="8"/>
        <v>96.764705882352942</v>
      </c>
      <c r="E40" s="149">
        <f t="shared" si="10"/>
        <v>141.9485294117647</v>
      </c>
      <c r="F40" s="149">
        <f t="shared" si="10"/>
        <v>60.588235294117645</v>
      </c>
      <c r="G40" s="149">
        <f t="shared" si="10"/>
        <v>50.69852941176471</v>
      </c>
      <c r="H40" s="149">
        <f t="shared" si="10"/>
        <v>0</v>
      </c>
      <c r="I40" s="165"/>
    </row>
    <row r="41" spans="2:12" ht="16.2" thickBot="1" x14ac:dyDescent="0.35">
      <c r="B41" s="172" t="s">
        <v>209</v>
      </c>
      <c r="C41" s="149">
        <v>3600</v>
      </c>
      <c r="D41" s="149">
        <f t="shared" si="8"/>
        <v>995.2941176470589</v>
      </c>
      <c r="E41" s="149">
        <f t="shared" si="10"/>
        <v>1460.0420168067226</v>
      </c>
      <c r="F41" s="149">
        <f t="shared" si="10"/>
        <v>623.19327731092437</v>
      </c>
      <c r="G41" s="149">
        <f t="shared" si="10"/>
        <v>521.47058823529414</v>
      </c>
      <c r="H41" s="149">
        <f t="shared" si="10"/>
        <v>0</v>
      </c>
      <c r="I41" s="165"/>
    </row>
    <row r="42" spans="2:12" ht="16.2" thickBot="1" x14ac:dyDescent="0.35">
      <c r="B42" s="172" t="s">
        <v>210</v>
      </c>
      <c r="C42" s="149">
        <v>600</v>
      </c>
      <c r="D42" s="149">
        <f t="shared" si="8"/>
        <v>165.88235294117649</v>
      </c>
      <c r="E42" s="149">
        <f t="shared" si="10"/>
        <v>243.34033613445379</v>
      </c>
      <c r="F42" s="149">
        <f t="shared" si="10"/>
        <v>103.8655462184874</v>
      </c>
      <c r="G42" s="149">
        <f t="shared" si="10"/>
        <v>86.911764705882362</v>
      </c>
      <c r="H42" s="149">
        <f t="shared" si="10"/>
        <v>0</v>
      </c>
      <c r="I42" s="165"/>
    </row>
    <row r="43" spans="2:12" ht="16.2" thickBot="1" x14ac:dyDescent="0.35">
      <c r="B43" s="172" t="s">
        <v>211</v>
      </c>
      <c r="C43" s="149">
        <v>2000</v>
      </c>
      <c r="D43" s="149">
        <f t="shared" si="8"/>
        <v>552.94117647058829</v>
      </c>
      <c r="E43" s="149">
        <f t="shared" si="10"/>
        <v>811.13445378151266</v>
      </c>
      <c r="F43" s="149">
        <f t="shared" si="10"/>
        <v>346.21848739495795</v>
      </c>
      <c r="G43" s="149">
        <f t="shared" si="10"/>
        <v>289.70588235294122</v>
      </c>
      <c r="H43" s="149">
        <f t="shared" si="10"/>
        <v>0</v>
      </c>
      <c r="I43" s="165"/>
      <c r="K43" s="256"/>
      <c r="L43" s="256"/>
    </row>
    <row r="44" spans="2:12" ht="16.2" thickBot="1" x14ac:dyDescent="0.35">
      <c r="B44" s="172" t="s">
        <v>212</v>
      </c>
      <c r="C44" s="149">
        <v>1500</v>
      </c>
      <c r="D44" s="149">
        <f t="shared" si="8"/>
        <v>414.70588235294122</v>
      </c>
      <c r="E44" s="149">
        <f t="shared" si="10"/>
        <v>608.35084033613441</v>
      </c>
      <c r="F44" s="149">
        <f t="shared" si="10"/>
        <v>259.66386554621846</v>
      </c>
      <c r="G44" s="149">
        <f t="shared" si="10"/>
        <v>217.27941176470591</v>
      </c>
      <c r="H44" s="149">
        <f t="shared" si="10"/>
        <v>0</v>
      </c>
      <c r="I44" s="165"/>
    </row>
    <row r="45" spans="2:12" ht="16.2" thickBot="1" x14ac:dyDescent="0.35">
      <c r="B45" s="172" t="s">
        <v>213</v>
      </c>
      <c r="C45" s="149">
        <v>3500</v>
      </c>
      <c r="D45" s="149">
        <f t="shared" si="8"/>
        <v>967.64705882352951</v>
      </c>
      <c r="E45" s="149">
        <f t="shared" si="10"/>
        <v>1419.4852941176471</v>
      </c>
      <c r="F45" s="149">
        <f t="shared" si="10"/>
        <v>605.88235294117646</v>
      </c>
      <c r="G45" s="149">
        <f t="shared" si="10"/>
        <v>506.98529411764713</v>
      </c>
      <c r="H45" s="149">
        <f t="shared" si="10"/>
        <v>0</v>
      </c>
      <c r="I45" s="165"/>
    </row>
    <row r="46" spans="2:12" ht="16.2" thickBot="1" x14ac:dyDescent="0.35">
      <c r="B46" s="172" t="s">
        <v>214</v>
      </c>
      <c r="C46" s="149">
        <v>1700</v>
      </c>
      <c r="D46" s="149">
        <f t="shared" si="8"/>
        <v>470.00000000000006</v>
      </c>
      <c r="E46" s="149">
        <f t="shared" si="10"/>
        <v>689.46428571428567</v>
      </c>
      <c r="F46" s="149">
        <f t="shared" si="10"/>
        <v>294.28571428571428</v>
      </c>
      <c r="G46" s="149">
        <f t="shared" si="10"/>
        <v>246.25000000000003</v>
      </c>
      <c r="H46" s="149">
        <f t="shared" si="10"/>
        <v>0</v>
      </c>
      <c r="I46" s="165"/>
    </row>
    <row r="47" spans="2:12" ht="16.2" thickBot="1" x14ac:dyDescent="0.35">
      <c r="B47" s="172" t="s">
        <v>215</v>
      </c>
      <c r="C47" s="149">
        <v>3000</v>
      </c>
      <c r="D47" s="149">
        <f t="shared" si="8"/>
        <v>829.41176470588243</v>
      </c>
      <c r="E47" s="149">
        <f t="shared" si="10"/>
        <v>1216.7016806722688</v>
      </c>
      <c r="F47" s="149">
        <f t="shared" si="10"/>
        <v>519.32773109243692</v>
      </c>
      <c r="G47" s="149">
        <f t="shared" si="10"/>
        <v>434.55882352941182</v>
      </c>
      <c r="H47" s="149">
        <f t="shared" si="10"/>
        <v>0</v>
      </c>
      <c r="I47" s="165"/>
    </row>
    <row r="48" spans="2:12" ht="16.2" thickBot="1" x14ac:dyDescent="0.35">
      <c r="B48" s="172" t="s">
        <v>216</v>
      </c>
      <c r="C48" s="149">
        <v>500</v>
      </c>
      <c r="D48" s="149">
        <f t="shared" si="8"/>
        <v>138.23529411764707</v>
      </c>
      <c r="E48" s="149">
        <f t="shared" si="10"/>
        <v>202.78361344537817</v>
      </c>
      <c r="F48" s="149">
        <f t="shared" si="10"/>
        <v>86.554621848739487</v>
      </c>
      <c r="G48" s="149">
        <f t="shared" si="10"/>
        <v>72.426470588235304</v>
      </c>
      <c r="H48" s="149">
        <f t="shared" si="10"/>
        <v>0</v>
      </c>
      <c r="I48" s="165"/>
      <c r="K48" s="173"/>
    </row>
    <row r="49" spans="2:11" ht="16.2" thickBot="1" x14ac:dyDescent="0.35">
      <c r="B49" s="174" t="s">
        <v>217</v>
      </c>
      <c r="C49" s="149">
        <v>800</v>
      </c>
      <c r="D49" s="149">
        <f t="shared" si="8"/>
        <v>221.1764705882353</v>
      </c>
      <c r="E49" s="149">
        <f t="shared" si="10"/>
        <v>324.45378151260502</v>
      </c>
      <c r="F49" s="149">
        <f t="shared" si="10"/>
        <v>138.48739495798318</v>
      </c>
      <c r="G49" s="149">
        <f t="shared" si="10"/>
        <v>115.88235294117648</v>
      </c>
      <c r="H49" s="149">
        <f t="shared" si="10"/>
        <v>0</v>
      </c>
      <c r="I49" s="165"/>
      <c r="K49" s="173"/>
    </row>
    <row r="50" spans="2:11" ht="16.2" thickBot="1" x14ac:dyDescent="0.35">
      <c r="B50" s="342" t="s">
        <v>218</v>
      </c>
      <c r="C50" s="149">
        <v>1200</v>
      </c>
      <c r="D50" s="149">
        <f t="shared" si="8"/>
        <v>331.76470588235298</v>
      </c>
      <c r="E50" s="149">
        <f t="shared" si="10"/>
        <v>486.68067226890759</v>
      </c>
      <c r="F50" s="149">
        <f t="shared" si="10"/>
        <v>207.73109243697479</v>
      </c>
      <c r="G50" s="149">
        <f t="shared" si="10"/>
        <v>173.82352941176472</v>
      </c>
      <c r="H50" s="149">
        <f t="shared" si="10"/>
        <v>0</v>
      </c>
      <c r="I50" s="165"/>
      <c r="K50" s="173"/>
    </row>
    <row r="51" spans="2:11" ht="42" hidden="1" thickBot="1" x14ac:dyDescent="0.35">
      <c r="B51" s="158" t="s">
        <v>219</v>
      </c>
      <c r="C51" s="159">
        <f>SUM(C52:C54)</f>
        <v>9378</v>
      </c>
      <c r="D51" s="159">
        <f>+'Plan_Ejecutivo_Plurianual (PEP)'!I13</f>
        <v>2167</v>
      </c>
      <c r="E51" s="159">
        <f>+'Plan_Ejecutivo_Plurianual (PEP)'!L13</f>
        <v>7211</v>
      </c>
      <c r="F51" s="159">
        <f>+'Plan_Ejecutivo_Plurianual (PEP)'!O13</f>
        <v>0</v>
      </c>
      <c r="G51" s="159">
        <f>+'Plan_Ejecutivo_Plurianual (PEP)'!R13</f>
        <v>0</v>
      </c>
      <c r="H51" s="159">
        <f>+'Plan_Ejecutivo_Plurianual (PEP)'!U13</f>
        <v>0</v>
      </c>
      <c r="I51" s="160">
        <f>+C51/C4</f>
        <v>8.4868778280542984E-2</v>
      </c>
      <c r="J51" s="167"/>
      <c r="K51" s="173"/>
    </row>
    <row r="52" spans="2:11" ht="16.2" thickBot="1" x14ac:dyDescent="0.35">
      <c r="B52" s="172" t="s">
        <v>220</v>
      </c>
      <c r="C52" s="149">
        <v>4550</v>
      </c>
      <c r="D52" s="149">
        <f>+D$51/$C$51*$C52</f>
        <v>1051.3808914480699</v>
      </c>
      <c r="E52" s="149">
        <f t="shared" ref="E52:H52" si="11">+E$51/$C$51*$C52</f>
        <v>3498.6191085519299</v>
      </c>
      <c r="F52" s="149">
        <f t="shared" si="11"/>
        <v>0</v>
      </c>
      <c r="G52" s="149">
        <f t="shared" si="11"/>
        <v>0</v>
      </c>
      <c r="H52" s="149">
        <f t="shared" si="11"/>
        <v>0</v>
      </c>
      <c r="I52" s="175"/>
      <c r="K52" s="173"/>
    </row>
    <row r="53" spans="2:11" ht="16.2" thickBot="1" x14ac:dyDescent="0.35">
      <c r="B53" s="172" t="s">
        <v>221</v>
      </c>
      <c r="C53" s="149">
        <v>2167</v>
      </c>
      <c r="D53" s="149">
        <f t="shared" ref="D53:H54" si="12">+D$51/$C$51*$C53</f>
        <v>500.73459159735552</v>
      </c>
      <c r="E53" s="149">
        <f t="shared" si="12"/>
        <v>1666.2654084026444</v>
      </c>
      <c r="F53" s="149">
        <f t="shared" si="12"/>
        <v>0</v>
      </c>
      <c r="G53" s="149">
        <f t="shared" si="12"/>
        <v>0</v>
      </c>
      <c r="H53" s="149">
        <f t="shared" si="12"/>
        <v>0</v>
      </c>
      <c r="I53" s="175"/>
      <c r="K53" s="173"/>
    </row>
    <row r="54" spans="2:11" ht="16.2" thickBot="1" x14ac:dyDescent="0.35">
      <c r="B54" s="172" t="s">
        <v>222</v>
      </c>
      <c r="C54" s="149">
        <v>2661</v>
      </c>
      <c r="D54" s="149">
        <f t="shared" si="12"/>
        <v>614.88451695457456</v>
      </c>
      <c r="E54" s="149">
        <f t="shared" si="12"/>
        <v>2046.1154830454254</v>
      </c>
      <c r="F54" s="149">
        <f t="shared" si="12"/>
        <v>0</v>
      </c>
      <c r="G54" s="149">
        <f t="shared" si="12"/>
        <v>0</v>
      </c>
      <c r="H54" s="149">
        <f t="shared" si="12"/>
        <v>0</v>
      </c>
      <c r="I54" s="175"/>
      <c r="K54" s="173"/>
    </row>
    <row r="55" spans="2:11" ht="16.2" thickBot="1" x14ac:dyDescent="0.35">
      <c r="B55" s="153" t="s">
        <v>223</v>
      </c>
      <c r="C55" s="154">
        <f>+C4-C5</f>
        <v>5500</v>
      </c>
      <c r="D55" s="156">
        <f>+'Plan_Ejecutivo_Plurianual (PEP)'!I17</f>
        <v>1100</v>
      </c>
      <c r="E55" s="156">
        <f>+E4-E5</f>
        <v>1100</v>
      </c>
      <c r="F55" s="156">
        <f t="shared" ref="F55:H55" si="13">+F4-F5</f>
        <v>1100</v>
      </c>
      <c r="G55" s="156">
        <f t="shared" si="13"/>
        <v>1100</v>
      </c>
      <c r="H55" s="156">
        <f t="shared" si="13"/>
        <v>1100</v>
      </c>
      <c r="I55" s="157">
        <f>+C55/C4</f>
        <v>4.9773755656108594E-2</v>
      </c>
    </row>
    <row r="56" spans="2:11" ht="16.2" thickBot="1" x14ac:dyDescent="0.35">
      <c r="B56" s="41"/>
      <c r="C56" s="148"/>
      <c r="D56" s="148"/>
      <c r="E56" s="148"/>
      <c r="F56" s="148"/>
      <c r="G56" s="148"/>
      <c r="H56" s="148"/>
      <c r="I56" s="44"/>
    </row>
    <row r="57" spans="2:11" ht="16.2" thickBot="1" x14ac:dyDescent="0.35">
      <c r="B57" s="153" t="s">
        <v>224</v>
      </c>
      <c r="C57" s="154">
        <f>+Resumen!C15</f>
        <v>93260.851667768598</v>
      </c>
      <c r="D57" s="356"/>
      <c r="E57" s="356"/>
      <c r="F57" s="356"/>
      <c r="G57" s="356"/>
      <c r="H57" s="356"/>
      <c r="I57" s="44"/>
    </row>
    <row r="58" spans="2:11" ht="16.2" thickBot="1" x14ac:dyDescent="0.35">
      <c r="B58" s="153" t="s">
        <v>225</v>
      </c>
      <c r="C58" s="154">
        <f>+C57+Resumen!C14</f>
        <v>110500.049</v>
      </c>
      <c r="D58" s="356"/>
      <c r="E58" s="356"/>
      <c r="F58" s="356"/>
      <c r="G58" s="356"/>
      <c r="H58" s="356"/>
      <c r="I58" s="44"/>
    </row>
    <row r="59" spans="2:11" ht="16.2" thickBot="1" x14ac:dyDescent="0.35">
      <c r="B59" s="176" t="s">
        <v>226</v>
      </c>
      <c r="C59" s="154">
        <f>+Resumen!C14</f>
        <v>17239.197332231404</v>
      </c>
      <c r="D59" s="356"/>
      <c r="E59" s="356"/>
      <c r="F59" s="356"/>
      <c r="G59" s="356"/>
      <c r="H59" s="356"/>
    </row>
  </sheetData>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0"/>
  <sheetViews>
    <sheetView zoomScale="90" zoomScaleNormal="90" workbookViewId="0">
      <selection activeCell="F27" sqref="F27"/>
    </sheetView>
  </sheetViews>
  <sheetFormatPr defaultColWidth="11" defaultRowHeight="15.6" x14ac:dyDescent="0.3"/>
  <cols>
    <col min="1" max="1" width="2.5" style="182" customWidth="1"/>
    <col min="2" max="2" width="26" style="182" customWidth="1"/>
    <col min="3" max="16384" width="11" style="182"/>
  </cols>
  <sheetData>
    <row r="1" spans="2:8" ht="18" x14ac:dyDescent="0.35">
      <c r="B1" s="181" t="s">
        <v>227</v>
      </c>
    </row>
    <row r="2" spans="2:8" ht="15" customHeight="1" thickBot="1" x14ac:dyDescent="0.35">
      <c r="B2" s="183" t="s">
        <v>134</v>
      </c>
    </row>
    <row r="3" spans="2:8" ht="16.2" thickBot="1" x14ac:dyDescent="0.35">
      <c r="B3" s="184" t="s">
        <v>228</v>
      </c>
      <c r="C3" s="185" t="s">
        <v>137</v>
      </c>
      <c r="D3" s="185" t="s">
        <v>138</v>
      </c>
      <c r="E3" s="185" t="s">
        <v>139</v>
      </c>
      <c r="F3" s="185" t="s">
        <v>140</v>
      </c>
      <c r="G3" s="185" t="s">
        <v>141</v>
      </c>
      <c r="H3" s="185" t="s">
        <v>13</v>
      </c>
    </row>
    <row r="4" spans="2:8" ht="16.2" thickBot="1" x14ac:dyDescent="0.35">
      <c r="B4" s="186" t="s">
        <v>142</v>
      </c>
      <c r="C4" s="187">
        <f>+'Plan_Ejecutivo_Plurianual (PEP)'!G18</f>
        <v>21225.8</v>
      </c>
      <c r="D4" s="187">
        <f>+'Plan_Ejecutivo_Plurianual (PEP)'!J18</f>
        <v>40358</v>
      </c>
      <c r="E4" s="188">
        <f>+'Plan_Ejecutivo_Plurianual (PEP)'!M18</f>
        <v>25748.3</v>
      </c>
      <c r="F4" s="189">
        <f>+'Plan_Ejecutivo_Plurianual (PEP)'!P18</f>
        <v>10892.9</v>
      </c>
      <c r="G4" s="189">
        <f>+'Plan_Ejecutivo_Plurianual (PEP)'!S18</f>
        <v>1775</v>
      </c>
      <c r="H4" s="190">
        <f>SUM(C4:G4)</f>
        <v>100000</v>
      </c>
    </row>
    <row r="5" spans="2:8" ht="16.2" thickBot="1" x14ac:dyDescent="0.35">
      <c r="B5" s="186" t="s">
        <v>143</v>
      </c>
      <c r="C5" s="187">
        <f>+'Plan_Ejecutivo_Plurianual (PEP)'!H18</f>
        <v>2236.2000000000003</v>
      </c>
      <c r="D5" s="187">
        <f>+'Plan_Ejecutivo_Plurianual (PEP)'!K18</f>
        <v>4362</v>
      </c>
      <c r="E5" s="188">
        <f>+'Plan_Ejecutivo_Plurianual (PEP)'!N18</f>
        <v>2738.7</v>
      </c>
      <c r="F5" s="189">
        <f>+'Plan_Ejecutivo_Plurianual (PEP)'!Q18</f>
        <v>1088.0999999999999</v>
      </c>
      <c r="G5" s="189">
        <f>+'Plan_Ejecutivo_Plurianual (PEP)'!T18</f>
        <v>75</v>
      </c>
      <c r="H5" s="190">
        <f>SUM(C5:G5)</f>
        <v>10500.000000000002</v>
      </c>
    </row>
    <row r="6" spans="2:8" ht="16.2" thickBot="1" x14ac:dyDescent="0.35">
      <c r="B6" s="191" t="s">
        <v>13</v>
      </c>
      <c r="C6" s="192">
        <f>SUM(C4:C5)</f>
        <v>23462</v>
      </c>
      <c r="D6" s="192">
        <f t="shared" ref="D6:G6" si="0">SUM(D4:D5)</f>
        <v>44720</v>
      </c>
      <c r="E6" s="192">
        <f t="shared" si="0"/>
        <v>28487</v>
      </c>
      <c r="F6" s="192">
        <f t="shared" si="0"/>
        <v>11981</v>
      </c>
      <c r="G6" s="192">
        <f t="shared" si="0"/>
        <v>1850</v>
      </c>
      <c r="H6" s="192">
        <f>SUM(C6:G6)</f>
        <v>110500</v>
      </c>
    </row>
    <row r="7" spans="2:8" ht="16.2" thickBot="1" x14ac:dyDescent="0.35">
      <c r="B7" s="193" t="s">
        <v>171</v>
      </c>
      <c r="C7" s="360">
        <f>+C6/H6</f>
        <v>0.21232579185520362</v>
      </c>
      <c r="D7" s="360">
        <f>+D6/H6</f>
        <v>0.40470588235294119</v>
      </c>
      <c r="E7" s="360">
        <f>+E6/H6</f>
        <v>0.25780090497737557</v>
      </c>
      <c r="F7" s="360">
        <f>+F6/H6</f>
        <v>0.10842533936651584</v>
      </c>
      <c r="G7" s="360">
        <f>+G6/H6</f>
        <v>1.67420814479638E-2</v>
      </c>
      <c r="H7" s="360">
        <f>+H6/$H$6</f>
        <v>1</v>
      </c>
    </row>
    <row r="10" spans="2:8" ht="15.75" customHeight="1" x14ac:dyDescent="0.3"/>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4"/>
  <sheetViews>
    <sheetView tabSelected="1" zoomScale="90" zoomScaleNormal="90" workbookViewId="0">
      <selection activeCell="N8" sqref="N8"/>
    </sheetView>
  </sheetViews>
  <sheetFormatPr defaultColWidth="9" defaultRowHeight="14.4" x14ac:dyDescent="0.3"/>
  <cols>
    <col min="1" max="1" width="52.5" style="15" customWidth="1"/>
    <col min="2" max="2" width="13.8984375" style="15" customWidth="1"/>
    <col min="3" max="3" width="12.19921875" style="15" customWidth="1"/>
    <col min="4" max="4" width="11.69921875" style="15" customWidth="1"/>
    <col min="5" max="5" width="7" style="15" customWidth="1"/>
    <col min="6" max="6" width="3" style="15" customWidth="1"/>
    <col min="7" max="7" width="12.09765625" style="15" customWidth="1"/>
    <col min="8" max="8" width="8.59765625" style="15" customWidth="1"/>
    <col min="9" max="10" width="9.69921875" style="15" customWidth="1"/>
    <col min="11" max="12" width="9.59765625" style="15" customWidth="1"/>
    <col min="13" max="13" width="9.8984375" style="15" customWidth="1"/>
    <col min="14" max="14" width="13.8984375" style="15" customWidth="1"/>
    <col min="15" max="15" width="9" style="15"/>
    <col min="16" max="19" width="9.09765625" style="15" bestFit="1" customWidth="1"/>
    <col min="20" max="16384" width="9" style="15"/>
  </cols>
  <sheetData>
    <row r="1" spans="1:7" ht="21.75" customHeight="1" x14ac:dyDescent="0.35">
      <c r="A1" s="28" t="s">
        <v>169</v>
      </c>
      <c r="B1" s="28"/>
      <c r="C1" s="28"/>
      <c r="D1" s="28"/>
      <c r="E1" s="28"/>
      <c r="F1" s="29"/>
      <c r="G1" s="447"/>
    </row>
    <row r="2" spans="1:7" ht="21.6" thickBot="1" x14ac:dyDescent="0.45">
      <c r="A2" s="27" t="s">
        <v>134</v>
      </c>
      <c r="B2" s="9"/>
      <c r="C2" s="9"/>
      <c r="D2" s="9"/>
      <c r="E2" s="9"/>
      <c r="F2" s="447"/>
      <c r="G2" s="447"/>
    </row>
    <row r="3" spans="1:7" ht="16.5" customHeight="1" thickBot="1" x14ac:dyDescent="0.35">
      <c r="A3" s="16" t="s">
        <v>170</v>
      </c>
      <c r="B3" s="17" t="s">
        <v>142</v>
      </c>
      <c r="C3" s="17" t="s">
        <v>143</v>
      </c>
      <c r="D3" s="17" t="s">
        <v>13</v>
      </c>
      <c r="E3" s="17" t="s">
        <v>171</v>
      </c>
      <c r="F3" s="447"/>
      <c r="G3" s="447"/>
    </row>
    <row r="4" spans="1:7" ht="15.6" customHeight="1" thickBot="1" x14ac:dyDescent="0.35">
      <c r="A4" s="18" t="s">
        <v>229</v>
      </c>
      <c r="B4" s="177">
        <f t="shared" ref="B4:C4" si="0">SUM(B5:B7)</f>
        <v>94500</v>
      </c>
      <c r="C4" s="177">
        <f t="shared" si="0"/>
        <v>10500</v>
      </c>
      <c r="D4" s="177">
        <f>SUM(D5:D7)</f>
        <v>105000</v>
      </c>
      <c r="E4" s="19">
        <f t="shared" ref="E4:E9" si="1">D4/$D$9*100</f>
        <v>95.02262443438913</v>
      </c>
      <c r="F4" s="447"/>
      <c r="G4" s="447"/>
    </row>
    <row r="5" spans="1:7" ht="29.4" thickBot="1" x14ac:dyDescent="0.35">
      <c r="A5" s="448" t="str">
        <f>+'Presupuesto_Productos (POD)'!B6</f>
        <v>Componente 1: Fortalecimiento de la gestión de riesgo de la AFIP</v>
      </c>
      <c r="B5" s="149">
        <f>+D5*0.9</f>
        <v>43219.8</v>
      </c>
      <c r="C5" s="149">
        <f>+D5*0.1</f>
        <v>4802.2</v>
      </c>
      <c r="D5" s="149">
        <f>+'Presupuesto_Productos (POD)'!C6</f>
        <v>48022</v>
      </c>
      <c r="E5" s="19">
        <f t="shared" si="1"/>
        <v>43.458823529411767</v>
      </c>
      <c r="F5" s="447"/>
      <c r="G5" s="447"/>
    </row>
    <row r="6" spans="1:7" ht="29.4" thickBot="1" x14ac:dyDescent="0.35">
      <c r="A6" s="448" t="str">
        <f>+'Presupuesto_Productos (POD)'!B28</f>
        <v>Componente 2: Fortalecimiento de los sistemas de información de la AFIP</v>
      </c>
      <c r="B6" s="149">
        <f t="shared" ref="B6:B7" si="2">+D6*0.9</f>
        <v>42840</v>
      </c>
      <c r="C6" s="149">
        <f t="shared" ref="C6:C7" si="3">+D6*0.1</f>
        <v>4760</v>
      </c>
      <c r="D6" s="149">
        <f>+'Presupuesto_Productos (POD)'!C28</f>
        <v>47600</v>
      </c>
      <c r="E6" s="19">
        <f t="shared" si="1"/>
        <v>43.07692307692308</v>
      </c>
      <c r="F6" s="447"/>
      <c r="G6" s="447"/>
    </row>
    <row r="7" spans="1:7" ht="43.8" thickBot="1" x14ac:dyDescent="0.35">
      <c r="A7" s="448" t="str">
        <f>+'Presupuesto_Productos (POD)'!B51</f>
        <v>Componente 3: Mejora de los servicios de atención al contribuyente y del modelo de gestión, de planificación y desarrollo de servicios de las áreas centrales de la AFIP</v>
      </c>
      <c r="B7" s="149">
        <f t="shared" si="2"/>
        <v>8440.2000000000007</v>
      </c>
      <c r="C7" s="149">
        <f t="shared" si="3"/>
        <v>937.80000000000007</v>
      </c>
      <c r="D7" s="149">
        <f>+'Presupuesto_Productos (POD)'!C51</f>
        <v>9378</v>
      </c>
      <c r="E7" s="19">
        <f t="shared" si="1"/>
        <v>8.4868778280542987</v>
      </c>
      <c r="F7" s="447"/>
      <c r="G7" s="447"/>
    </row>
    <row r="8" spans="1:7" ht="15.9" customHeight="1" thickBot="1" x14ac:dyDescent="0.35">
      <c r="A8" s="18" t="s">
        <v>223</v>
      </c>
      <c r="B8" s="177">
        <f>+'Plan_Ejecutivo_Plurianual (PEP)'!D17</f>
        <v>5500</v>
      </c>
      <c r="C8" s="177">
        <f>+'Plan_Ejecutivo_Plurianual (PEP)'!E17</f>
        <v>0</v>
      </c>
      <c r="D8" s="177">
        <f>+C8+B8</f>
        <v>5500</v>
      </c>
      <c r="E8" s="19">
        <f t="shared" si="1"/>
        <v>4.9773755656108598</v>
      </c>
      <c r="F8" s="447"/>
      <c r="G8" s="447"/>
    </row>
    <row r="9" spans="1:7" ht="15" thickBot="1" x14ac:dyDescent="0.35">
      <c r="A9" s="20" t="s">
        <v>13</v>
      </c>
      <c r="B9" s="178">
        <f>+B8+B4</f>
        <v>100000</v>
      </c>
      <c r="C9" s="178">
        <f t="shared" ref="C9:D9" si="4">+C8+C4</f>
        <v>10500</v>
      </c>
      <c r="D9" s="178">
        <f t="shared" si="4"/>
        <v>110500</v>
      </c>
      <c r="E9" s="21">
        <f t="shared" si="1"/>
        <v>100</v>
      </c>
      <c r="F9" s="447"/>
      <c r="G9" s="447"/>
    </row>
    <row r="10" spans="1:7" ht="15" thickBot="1" x14ac:dyDescent="0.35">
      <c r="A10" s="20" t="s">
        <v>171</v>
      </c>
      <c r="B10" s="179">
        <f>+B9/D9*100</f>
        <v>90.497737556561091</v>
      </c>
      <c r="C10" s="179">
        <f>+C9/D9*100</f>
        <v>9.502262443438914</v>
      </c>
      <c r="D10" s="179">
        <f>+D9/D9*100</f>
        <v>100</v>
      </c>
      <c r="E10" s="180"/>
      <c r="F10" s="447"/>
      <c r="G10" s="449"/>
    </row>
    <row r="11" spans="1:7" ht="15.75" customHeight="1" x14ac:dyDescent="0.3">
      <c r="B11" s="447"/>
    </row>
    <row r="12" spans="1:7" ht="12.75" customHeight="1" x14ac:dyDescent="0.3">
      <c r="B12" s="447"/>
    </row>
    <row r="14" spans="1:7" x14ac:dyDescent="0.3">
      <c r="B14" s="450"/>
    </row>
  </sheetData>
  <pageMargins left="0.7" right="0.7" top="0.75" bottom="0.75" header="0.3" footer="0.3"/>
  <pageSetup paperSize="9" orientation="landscape" horizontalDpi="429496729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169"/>
  <sheetViews>
    <sheetView workbookViewId="0"/>
  </sheetViews>
  <sheetFormatPr defaultColWidth="11" defaultRowHeight="15.6" x14ac:dyDescent="0.3"/>
  <cols>
    <col min="1" max="1" width="2.69921875" customWidth="1"/>
    <col min="2" max="2" width="18.5" customWidth="1"/>
    <col min="3" max="3" width="11.19921875" customWidth="1"/>
    <col min="4" max="4" width="12.09765625" customWidth="1"/>
    <col min="5" max="5" width="12.3984375" customWidth="1"/>
    <col min="6" max="6" width="12.19921875" style="12" customWidth="1"/>
    <col min="7" max="7" width="11.19921875" bestFit="1" customWidth="1"/>
    <col min="8" max="8" width="3.59765625" customWidth="1"/>
    <col min="9" max="9" width="23.8984375" customWidth="1"/>
    <col min="10" max="10" width="7.69921875" bestFit="1" customWidth="1"/>
    <col min="12" max="13" width="11.19921875" bestFit="1" customWidth="1"/>
  </cols>
  <sheetData>
    <row r="1" spans="1:14" x14ac:dyDescent="0.3">
      <c r="B1" s="2" t="s">
        <v>230</v>
      </c>
    </row>
    <row r="2" spans="1:14" x14ac:dyDescent="0.3">
      <c r="B2" s="2" t="str">
        <f>+'Presupuesto_Productos (POD)'!B6</f>
        <v>Componente 1: Fortalecimiento de la gestión de riesgo de la AFIP</v>
      </c>
    </row>
    <row r="3" spans="1:14" x14ac:dyDescent="0.3">
      <c r="B3" s="2" t="str">
        <f>+'Presupuesto_Productos (POD)'!B7</f>
        <v>Subcomponente 1.1: Fortalecimiento del control y fiscalización en la administración de tributos internos</v>
      </c>
    </row>
    <row r="4" spans="1:14" ht="8.25" customHeight="1" x14ac:dyDescent="0.3"/>
    <row r="5" spans="1:14" x14ac:dyDescent="0.3">
      <c r="B5" s="615" t="s">
        <v>231</v>
      </c>
      <c r="C5" s="615"/>
      <c r="D5" s="615"/>
      <c r="E5" s="615"/>
      <c r="F5" s="615"/>
      <c r="G5" s="615"/>
      <c r="H5" s="615"/>
      <c r="I5" s="615"/>
      <c r="J5" s="615"/>
      <c r="K5" s="615"/>
      <c r="L5" s="615"/>
      <c r="M5" s="615"/>
      <c r="N5" s="615"/>
    </row>
    <row r="6" spans="1:14" x14ac:dyDescent="0.3">
      <c r="B6" s="2" t="s">
        <v>232</v>
      </c>
      <c r="I6" s="2" t="s">
        <v>233</v>
      </c>
      <c r="J6" s="12"/>
      <c r="K6" s="12"/>
      <c r="L6" s="12"/>
      <c r="M6" s="12"/>
    </row>
    <row r="7" spans="1:14" x14ac:dyDescent="0.3">
      <c r="B7" s="134" t="s">
        <v>234</v>
      </c>
      <c r="C7" s="12"/>
      <c r="D7" s="12"/>
      <c r="E7" s="12"/>
      <c r="G7" s="12"/>
      <c r="H7" s="12"/>
      <c r="I7" s="134" t="s">
        <v>234</v>
      </c>
      <c r="J7" s="12"/>
      <c r="K7" s="12"/>
      <c r="L7" s="12"/>
      <c r="M7" s="12"/>
    </row>
    <row r="8" spans="1:14" x14ac:dyDescent="0.3">
      <c r="B8" s="2" t="s">
        <v>134</v>
      </c>
      <c r="C8" s="135"/>
      <c r="D8" s="135"/>
      <c r="E8" s="135"/>
      <c r="I8" s="2" t="s">
        <v>134</v>
      </c>
      <c r="J8" s="135"/>
      <c r="K8" s="135"/>
      <c r="L8" s="135"/>
      <c r="M8" s="12"/>
    </row>
    <row r="9" spans="1:14" ht="28.8" x14ac:dyDescent="0.3">
      <c r="B9" s="136" t="s">
        <v>235</v>
      </c>
      <c r="C9" s="137" t="s">
        <v>12</v>
      </c>
      <c r="D9" s="137" t="s">
        <v>236</v>
      </c>
      <c r="E9" s="137" t="s">
        <v>237</v>
      </c>
      <c r="F9" s="137" t="s">
        <v>226</v>
      </c>
      <c r="G9" s="137" t="s">
        <v>238</v>
      </c>
      <c r="I9" s="136" t="s">
        <v>235</v>
      </c>
      <c r="J9" s="137" t="s">
        <v>12</v>
      </c>
      <c r="K9" s="137" t="s">
        <v>236</v>
      </c>
      <c r="L9" s="137" t="s">
        <v>237</v>
      </c>
      <c r="M9" s="137" t="s">
        <v>226</v>
      </c>
      <c r="N9" s="137" t="s">
        <v>238</v>
      </c>
    </row>
    <row r="10" spans="1:14" x14ac:dyDescent="0.3">
      <c r="B10" s="138" t="s">
        <v>239</v>
      </c>
      <c r="C10" s="141">
        <v>0</v>
      </c>
      <c r="D10" s="220"/>
      <c r="E10" s="220">
        <v>0</v>
      </c>
      <c r="F10" s="220"/>
      <c r="G10" s="220"/>
      <c r="I10" s="138" t="s">
        <v>239</v>
      </c>
      <c r="J10" s="141">
        <v>1</v>
      </c>
      <c r="K10" s="220">
        <f>108333/1000</f>
        <v>108.333</v>
      </c>
      <c r="L10" s="220">
        <f>+J10*K10</f>
        <v>108.333</v>
      </c>
      <c r="M10" s="220"/>
      <c r="N10" s="220"/>
    </row>
    <row r="11" spans="1:14" x14ac:dyDescent="0.3">
      <c r="B11" s="138" t="s">
        <v>240</v>
      </c>
      <c r="C11" s="141">
        <v>5</v>
      </c>
      <c r="D11" s="220">
        <f>108333/1000</f>
        <v>108.333</v>
      </c>
      <c r="E11" s="220">
        <f>+D11*C11</f>
        <v>541.66499999999996</v>
      </c>
      <c r="F11" s="220">
        <f>+E11-G11</f>
        <v>94.007975206611547</v>
      </c>
      <c r="G11" s="220">
        <f>+E11/1.21</f>
        <v>447.65702479338842</v>
      </c>
      <c r="I11" s="138" t="s">
        <v>240</v>
      </c>
      <c r="J11" s="141">
        <v>10</v>
      </c>
      <c r="K11" s="220">
        <f>108333/1000</f>
        <v>108.333</v>
      </c>
      <c r="L11" s="220">
        <f t="shared" ref="L11:L12" si="0">+J11*K11</f>
        <v>1083.33</v>
      </c>
      <c r="M11" s="220">
        <f>+L11-N11</f>
        <v>188.01595041322309</v>
      </c>
      <c r="N11" s="220">
        <f>+L11/1.21</f>
        <v>895.31404958677683</v>
      </c>
    </row>
    <row r="12" spans="1:14" x14ac:dyDescent="0.3">
      <c r="B12" s="138" t="s">
        <v>241</v>
      </c>
      <c r="C12" s="141">
        <v>1</v>
      </c>
      <c r="D12" s="220">
        <f>108333/1000</f>
        <v>108.333</v>
      </c>
      <c r="E12" s="220">
        <f>+D12*C12</f>
        <v>108.333</v>
      </c>
      <c r="F12" s="220">
        <f>+E12-G12</f>
        <v>18.801595041322315</v>
      </c>
      <c r="G12" s="220">
        <f>+E12/1.21</f>
        <v>89.531404958677683</v>
      </c>
      <c r="I12" s="138" t="s">
        <v>241</v>
      </c>
      <c r="J12" s="141">
        <v>4</v>
      </c>
      <c r="K12" s="220">
        <f>108333/1000</f>
        <v>108.333</v>
      </c>
      <c r="L12" s="220">
        <f t="shared" si="0"/>
        <v>433.33199999999999</v>
      </c>
      <c r="M12" s="220">
        <f>+L12-N12</f>
        <v>75.206380165289261</v>
      </c>
      <c r="N12" s="220">
        <f>+L12/1.21</f>
        <v>358.12561983471073</v>
      </c>
    </row>
    <row r="13" spans="1:14" x14ac:dyDescent="0.3">
      <c r="B13" s="144" t="s">
        <v>156</v>
      </c>
      <c r="C13" s="145">
        <f>SUM(C10:C12)</f>
        <v>6</v>
      </c>
      <c r="D13" s="221"/>
      <c r="E13" s="221">
        <f>SUM(E10:E12)</f>
        <v>649.99799999999993</v>
      </c>
      <c r="F13" s="221">
        <f t="shared" ref="F13:G13" si="1">SUM(F10:F12)</f>
        <v>112.80957024793386</v>
      </c>
      <c r="G13" s="221">
        <f t="shared" si="1"/>
        <v>537.1884297520661</v>
      </c>
      <c r="H13" s="1"/>
      <c r="I13" s="144" t="s">
        <v>156</v>
      </c>
      <c r="J13" s="145">
        <f>SUM(J10:J12)</f>
        <v>15</v>
      </c>
      <c r="K13" s="221"/>
      <c r="L13" s="221">
        <f>SUM(L10:L12)</f>
        <v>1624.9949999999999</v>
      </c>
      <c r="M13" s="221">
        <f t="shared" ref="M13" si="2">SUM(M10:M12)</f>
        <v>263.22233057851236</v>
      </c>
      <c r="N13" s="221">
        <f t="shared" ref="N13" si="3">SUM(N10:N12)</f>
        <v>1253.4396694214875</v>
      </c>
    </row>
    <row r="14" spans="1:14" x14ac:dyDescent="0.3">
      <c r="B14" s="143" t="s">
        <v>242</v>
      </c>
      <c r="C14" s="135"/>
      <c r="D14" s="135"/>
      <c r="E14" s="135"/>
      <c r="G14" s="135"/>
      <c r="H14" s="135"/>
      <c r="I14" s="143" t="s">
        <v>242</v>
      </c>
    </row>
    <row r="15" spans="1:14" x14ac:dyDescent="0.3">
      <c r="A15" s="134"/>
      <c r="B15" s="143" t="s">
        <v>243</v>
      </c>
      <c r="C15" s="134"/>
      <c r="D15" s="134"/>
      <c r="E15" s="134"/>
      <c r="F15" s="142"/>
      <c r="G15" s="134"/>
      <c r="H15" s="134"/>
      <c r="I15" s="143" t="s">
        <v>243</v>
      </c>
      <c r="J15" s="134"/>
      <c r="K15" s="134"/>
    </row>
    <row r="16" spans="1:14" x14ac:dyDescent="0.3">
      <c r="A16" s="134"/>
      <c r="B16" s="140" t="s">
        <v>244</v>
      </c>
      <c r="C16" s="134"/>
      <c r="D16" s="134"/>
      <c r="E16" s="134"/>
      <c r="H16" s="134"/>
      <c r="I16" s="140" t="s">
        <v>245</v>
      </c>
      <c r="J16" s="134"/>
      <c r="K16" s="134"/>
    </row>
    <row r="17" spans="1:14" x14ac:dyDescent="0.3">
      <c r="B17" s="140" t="s">
        <v>246</v>
      </c>
      <c r="C17" s="135"/>
      <c r="D17" s="135"/>
      <c r="E17" s="135"/>
      <c r="G17" s="135"/>
      <c r="H17" s="135"/>
      <c r="I17" s="140" t="s">
        <v>247</v>
      </c>
      <c r="J17" s="134"/>
      <c r="K17" s="134"/>
    </row>
    <row r="18" spans="1:14" x14ac:dyDescent="0.3">
      <c r="A18" s="12"/>
      <c r="C18" s="12"/>
      <c r="D18" s="12"/>
      <c r="E18" s="12"/>
      <c r="G18" s="12"/>
      <c r="H18" s="12"/>
      <c r="I18" s="140" t="s">
        <v>248</v>
      </c>
      <c r="J18" s="134"/>
      <c r="K18" s="134"/>
      <c r="L18" s="260"/>
      <c r="N18" s="1"/>
    </row>
    <row r="19" spans="1:14" x14ac:dyDescent="0.3">
      <c r="A19" s="12"/>
      <c r="B19" s="12"/>
      <c r="C19" s="12"/>
      <c r="D19" s="12"/>
      <c r="E19" s="12"/>
      <c r="G19" s="12"/>
      <c r="H19" s="12"/>
      <c r="I19" s="140" t="s">
        <v>249</v>
      </c>
      <c r="J19" s="134"/>
      <c r="K19" s="134"/>
    </row>
    <row r="20" spans="1:14" x14ac:dyDescent="0.3">
      <c r="A20" s="12"/>
      <c r="G20" s="12"/>
      <c r="H20" s="12"/>
      <c r="I20" s="140" t="s">
        <v>250</v>
      </c>
      <c r="J20" s="134"/>
      <c r="K20" s="134"/>
    </row>
    <row r="21" spans="1:14" x14ac:dyDescent="0.3">
      <c r="A21" s="12"/>
      <c r="G21" s="12"/>
      <c r="H21" s="12"/>
      <c r="I21" s="140" t="s">
        <v>251</v>
      </c>
      <c r="J21" s="12"/>
      <c r="K21" s="12"/>
    </row>
    <row r="22" spans="1:14" x14ac:dyDescent="0.3">
      <c r="A22" s="12"/>
      <c r="G22" s="12"/>
      <c r="H22" s="12"/>
      <c r="I22" s="140" t="s">
        <v>252</v>
      </c>
      <c r="N22" s="1"/>
    </row>
    <row r="23" spans="1:14" x14ac:dyDescent="0.3">
      <c r="A23" s="12"/>
      <c r="B23" s="2"/>
      <c r="G23" s="12"/>
      <c r="H23" s="12"/>
      <c r="I23" s="140"/>
    </row>
    <row r="24" spans="1:14" x14ac:dyDescent="0.3">
      <c r="B24" s="615" t="s">
        <v>253</v>
      </c>
      <c r="C24" s="615"/>
      <c r="D24" s="615"/>
      <c r="E24" s="615"/>
      <c r="F24" s="615"/>
      <c r="G24" s="615"/>
      <c r="H24" s="615"/>
      <c r="I24" s="615"/>
      <c r="J24" s="615"/>
      <c r="K24" s="615"/>
      <c r="L24" s="615"/>
      <c r="M24" s="615"/>
      <c r="N24" s="615"/>
    </row>
    <row r="25" spans="1:14" x14ac:dyDescent="0.3">
      <c r="B25" s="2" t="s">
        <v>232</v>
      </c>
    </row>
    <row r="26" spans="1:14" x14ac:dyDescent="0.3">
      <c r="B26" s="134" t="s">
        <v>234</v>
      </c>
      <c r="C26" s="12"/>
      <c r="D26" s="12"/>
      <c r="E26" s="12"/>
      <c r="G26" s="12"/>
    </row>
    <row r="27" spans="1:14" x14ac:dyDescent="0.3">
      <c r="B27" s="2" t="s">
        <v>134</v>
      </c>
      <c r="C27" s="135"/>
      <c r="D27" s="135"/>
      <c r="E27" s="135"/>
    </row>
    <row r="28" spans="1:14" ht="28.8" x14ac:dyDescent="0.3">
      <c r="B28" s="136" t="s">
        <v>235</v>
      </c>
      <c r="C28" s="137" t="s">
        <v>12</v>
      </c>
      <c r="D28" s="137" t="s">
        <v>236</v>
      </c>
      <c r="E28" s="137" t="s">
        <v>237</v>
      </c>
      <c r="F28" s="137" t="s">
        <v>226</v>
      </c>
      <c r="G28" s="137" t="s">
        <v>238</v>
      </c>
    </row>
    <row r="29" spans="1:14" x14ac:dyDescent="0.3">
      <c r="B29" s="138" t="s">
        <v>239</v>
      </c>
      <c r="C29" s="141">
        <v>1</v>
      </c>
      <c r="D29" s="220">
        <f>180556/1000</f>
        <v>180.55600000000001</v>
      </c>
      <c r="E29" s="220">
        <f>+D29*C29</f>
        <v>180.55600000000001</v>
      </c>
      <c r="F29" s="220">
        <f>+E29-G29</f>
        <v>31.336165289256201</v>
      </c>
      <c r="G29" s="220">
        <f>+E29/1.21</f>
        <v>149.21983471074381</v>
      </c>
    </row>
    <row r="30" spans="1:14" x14ac:dyDescent="0.3">
      <c r="B30" s="138" t="s">
        <v>240</v>
      </c>
      <c r="C30" s="141">
        <v>2</v>
      </c>
      <c r="D30" s="220">
        <f>216667/1000</f>
        <v>216.667</v>
      </c>
      <c r="E30" s="220">
        <f>+D30*C30</f>
        <v>433.334</v>
      </c>
      <c r="F30" s="220">
        <f>+E30-G30</f>
        <v>75.206727272727278</v>
      </c>
      <c r="G30" s="220">
        <f>+E30/1.21</f>
        <v>358.12727272727273</v>
      </c>
    </row>
    <row r="31" spans="1:14" x14ac:dyDescent="0.3">
      <c r="B31" s="138" t="s">
        <v>241</v>
      </c>
      <c r="C31" s="141">
        <v>1</v>
      </c>
      <c r="D31" s="220">
        <f>216667/1000</f>
        <v>216.667</v>
      </c>
      <c r="E31" s="220">
        <f>+D31*C31</f>
        <v>216.667</v>
      </c>
      <c r="F31" s="220">
        <f>+E31-G31</f>
        <v>37.603363636363639</v>
      </c>
      <c r="G31" s="220">
        <f>+E31/1.21</f>
        <v>179.06363636363636</v>
      </c>
    </row>
    <row r="32" spans="1:14" x14ac:dyDescent="0.3">
      <c r="B32" s="144" t="s">
        <v>156</v>
      </c>
      <c r="C32" s="145">
        <f>SUM(C29:C31)</f>
        <v>4</v>
      </c>
      <c r="D32" s="221"/>
      <c r="E32" s="221">
        <f>SUM(E29:E31)</f>
        <v>830.55700000000002</v>
      </c>
      <c r="F32" s="221">
        <f t="shared" ref="F32" si="4">SUM(F29:F31)</f>
        <v>144.14625619834712</v>
      </c>
      <c r="G32" s="221">
        <f t="shared" ref="G32" si="5">SUM(G29:G31)</f>
        <v>686.41074380165287</v>
      </c>
    </row>
    <row r="33" spans="2:14" x14ac:dyDescent="0.3">
      <c r="B33" s="143" t="s">
        <v>242</v>
      </c>
    </row>
    <row r="34" spans="2:14" x14ac:dyDescent="0.3">
      <c r="B34" s="143" t="s">
        <v>243</v>
      </c>
    </row>
    <row r="35" spans="2:14" x14ac:dyDescent="0.3">
      <c r="B35" s="140" t="s">
        <v>254</v>
      </c>
      <c r="C35" s="134"/>
      <c r="D35" s="134"/>
      <c r="E35" s="134"/>
      <c r="F35" s="134"/>
    </row>
    <row r="36" spans="2:14" x14ac:dyDescent="0.3">
      <c r="B36" s="140" t="s">
        <v>255</v>
      </c>
      <c r="C36" s="134"/>
      <c r="D36" s="134"/>
      <c r="E36" s="134"/>
      <c r="F36" s="134"/>
    </row>
    <row r="37" spans="2:14" x14ac:dyDescent="0.3">
      <c r="B37" s="140" t="s">
        <v>256</v>
      </c>
      <c r="C37" s="134"/>
      <c r="D37" s="134"/>
      <c r="E37" s="134"/>
      <c r="F37" s="134"/>
    </row>
    <row r="38" spans="2:14" x14ac:dyDescent="0.3">
      <c r="F38"/>
      <c r="N38" s="1"/>
    </row>
    <row r="39" spans="2:14" x14ac:dyDescent="0.3">
      <c r="B39" s="615" t="s">
        <v>257</v>
      </c>
      <c r="C39" s="615"/>
      <c r="D39" s="615"/>
      <c r="E39" s="615"/>
      <c r="F39" s="615"/>
      <c r="G39" s="615"/>
      <c r="H39" s="615"/>
      <c r="I39" s="615"/>
      <c r="J39" s="615"/>
      <c r="K39" s="615"/>
      <c r="L39" s="615"/>
      <c r="M39" s="615"/>
      <c r="N39" s="615"/>
    </row>
    <row r="40" spans="2:14" x14ac:dyDescent="0.3">
      <c r="F40"/>
    </row>
    <row r="41" spans="2:14" x14ac:dyDescent="0.3">
      <c r="B41" s="2" t="s">
        <v>258</v>
      </c>
      <c r="F41"/>
      <c r="I41" s="2" t="s">
        <v>259</v>
      </c>
    </row>
    <row r="42" spans="2:14" x14ac:dyDescent="0.3">
      <c r="B42" s="134" t="s">
        <v>234</v>
      </c>
      <c r="C42" s="12"/>
      <c r="D42" s="12"/>
      <c r="E42" s="12"/>
      <c r="G42" s="12"/>
      <c r="I42" s="134" t="s">
        <v>234</v>
      </c>
      <c r="J42" s="12"/>
      <c r="K42" s="12"/>
      <c r="L42" s="12"/>
      <c r="M42" s="12"/>
      <c r="N42" s="12"/>
    </row>
    <row r="43" spans="2:14" x14ac:dyDescent="0.3">
      <c r="B43" s="2" t="s">
        <v>134</v>
      </c>
      <c r="C43" s="135"/>
      <c r="D43" s="135"/>
      <c r="E43" s="135"/>
      <c r="I43" s="2" t="s">
        <v>134</v>
      </c>
      <c r="J43" s="135"/>
      <c r="K43" s="135"/>
      <c r="L43" s="135"/>
      <c r="M43" s="12"/>
    </row>
    <row r="44" spans="2:14" ht="28.8" x14ac:dyDescent="0.3">
      <c r="B44" s="136" t="s">
        <v>235</v>
      </c>
      <c r="C44" s="137" t="s">
        <v>12</v>
      </c>
      <c r="D44" s="137" t="s">
        <v>236</v>
      </c>
      <c r="E44" s="137" t="s">
        <v>237</v>
      </c>
      <c r="F44" s="137" t="s">
        <v>226</v>
      </c>
      <c r="G44" s="137" t="s">
        <v>238</v>
      </c>
      <c r="I44" s="136" t="s">
        <v>235</v>
      </c>
      <c r="J44" s="137" t="s">
        <v>12</v>
      </c>
      <c r="K44" s="137" t="s">
        <v>236</v>
      </c>
      <c r="L44" s="137" t="s">
        <v>237</v>
      </c>
      <c r="M44" s="137" t="s">
        <v>226</v>
      </c>
      <c r="N44" s="137" t="s">
        <v>238</v>
      </c>
    </row>
    <row r="45" spans="2:14" x14ac:dyDescent="0.3">
      <c r="B45" s="138" t="s">
        <v>239</v>
      </c>
      <c r="C45" s="141">
        <v>1</v>
      </c>
      <c r="D45" s="220">
        <f>108333.4/1000</f>
        <v>108.3334</v>
      </c>
      <c r="E45" s="220">
        <f>+D45*C45</f>
        <v>108.3334</v>
      </c>
      <c r="F45" s="220">
        <f>+E45-G45</f>
        <v>18.80166446280991</v>
      </c>
      <c r="G45" s="220">
        <f>+E45/1.21</f>
        <v>89.531735537190087</v>
      </c>
      <c r="I45" s="138" t="s">
        <v>239</v>
      </c>
      <c r="J45" s="141">
        <v>1</v>
      </c>
      <c r="K45" s="220">
        <f>72222/1000</f>
        <v>72.221999999999994</v>
      </c>
      <c r="L45" s="220">
        <f>+K45*J45</f>
        <v>72.221999999999994</v>
      </c>
      <c r="M45" s="220">
        <f>+L45-N45</f>
        <v>12.534396694214877</v>
      </c>
      <c r="N45" s="220">
        <f>+L45/1.21</f>
        <v>59.687603305785117</v>
      </c>
    </row>
    <row r="46" spans="2:14" x14ac:dyDescent="0.3">
      <c r="B46" s="138" t="s">
        <v>240</v>
      </c>
      <c r="C46" s="141">
        <v>5</v>
      </c>
      <c r="D46" s="220">
        <f>108333.4/1000</f>
        <v>108.3334</v>
      </c>
      <c r="E46" s="220">
        <f>+D46*C46</f>
        <v>541.66700000000003</v>
      </c>
      <c r="F46" s="220">
        <f>+E46-G46</f>
        <v>94.008322314049565</v>
      </c>
      <c r="G46" s="220">
        <f>+E46/1.21</f>
        <v>447.65867768595047</v>
      </c>
      <c r="I46" s="138" t="s">
        <v>240</v>
      </c>
      <c r="J46" s="141">
        <v>4</v>
      </c>
      <c r="K46" s="220">
        <f>72222/1000</f>
        <v>72.221999999999994</v>
      </c>
      <c r="L46" s="220">
        <f>+K46*J46</f>
        <v>288.88799999999998</v>
      </c>
      <c r="M46" s="220">
        <f>+L46-N46</f>
        <v>50.137586776859507</v>
      </c>
      <c r="N46" s="220">
        <f>+L46/1.21</f>
        <v>238.75041322314047</v>
      </c>
    </row>
    <row r="47" spans="2:14" x14ac:dyDescent="0.3">
      <c r="B47" s="138"/>
      <c r="C47" s="141"/>
      <c r="D47" s="220"/>
      <c r="E47" s="220"/>
      <c r="F47" s="220"/>
      <c r="G47" s="220"/>
      <c r="I47" s="138" t="s">
        <v>241</v>
      </c>
      <c r="J47" s="141">
        <v>1</v>
      </c>
      <c r="K47" s="220">
        <f>72222/1000</f>
        <v>72.221999999999994</v>
      </c>
      <c r="L47" s="220">
        <f>+K47*J47</f>
        <v>72.221999999999994</v>
      </c>
      <c r="M47" s="220">
        <f>+L47-N47</f>
        <v>12.534396694214877</v>
      </c>
      <c r="N47" s="220">
        <f>+L47/1.21</f>
        <v>59.687603305785117</v>
      </c>
    </row>
    <row r="48" spans="2:14" x14ac:dyDescent="0.3">
      <c r="B48" s="144" t="s">
        <v>156</v>
      </c>
      <c r="C48" s="145">
        <f>SUM(C45:C47)</f>
        <v>6</v>
      </c>
      <c r="D48" s="221"/>
      <c r="E48" s="221">
        <f>SUM(E45:E47)</f>
        <v>650.00040000000001</v>
      </c>
      <c r="F48" s="221">
        <f t="shared" ref="F48" si="6">SUM(F45:F47)</f>
        <v>112.80998677685947</v>
      </c>
      <c r="G48" s="221">
        <f t="shared" ref="G48" si="7">SUM(G45:G47)</f>
        <v>537.19041322314058</v>
      </c>
      <c r="I48" s="144" t="s">
        <v>156</v>
      </c>
      <c r="J48" s="145">
        <f>SUM(J45:J47)</f>
        <v>6</v>
      </c>
      <c r="K48" s="221"/>
      <c r="L48" s="221">
        <f>SUM(L45:L47)</f>
        <v>433.33199999999994</v>
      </c>
      <c r="M48" s="221">
        <f t="shared" ref="M48" si="8">SUM(M45:M47)</f>
        <v>75.206380165289261</v>
      </c>
      <c r="N48" s="221">
        <f t="shared" ref="N48" si="9">SUM(N45:N47)</f>
        <v>358.12561983471068</v>
      </c>
    </row>
    <row r="49" spans="2:15" x14ac:dyDescent="0.3">
      <c r="B49" s="143" t="s">
        <v>242</v>
      </c>
      <c r="F49"/>
      <c r="I49" s="143" t="s">
        <v>242</v>
      </c>
    </row>
    <row r="50" spans="2:15" x14ac:dyDescent="0.3">
      <c r="B50" s="143" t="s">
        <v>243</v>
      </c>
      <c r="C50" s="11"/>
      <c r="D50" s="11"/>
      <c r="E50" s="11"/>
      <c r="F50" s="11"/>
      <c r="G50" s="354"/>
      <c r="I50" s="143" t="s">
        <v>243</v>
      </c>
      <c r="J50" s="11"/>
      <c r="K50" s="11"/>
      <c r="L50" s="11"/>
      <c r="M50" s="11"/>
      <c r="O50" s="354"/>
    </row>
    <row r="51" spans="2:15" x14ac:dyDescent="0.3">
      <c r="B51" s="134" t="s">
        <v>260</v>
      </c>
      <c r="C51" s="133"/>
      <c r="D51" s="134"/>
      <c r="E51" s="135"/>
      <c r="F51" s="135"/>
      <c r="I51" t="s">
        <v>261</v>
      </c>
      <c r="J51" s="133"/>
      <c r="K51" s="134"/>
      <c r="L51" s="135"/>
      <c r="M51" s="135"/>
    </row>
    <row r="52" spans="2:15" x14ac:dyDescent="0.3">
      <c r="B52" s="134" t="s">
        <v>262</v>
      </c>
      <c r="F52"/>
    </row>
    <row r="53" spans="2:15" x14ac:dyDescent="0.3">
      <c r="B53" s="134" t="s">
        <v>263</v>
      </c>
      <c r="F53"/>
    </row>
    <row r="54" spans="2:15" x14ac:dyDescent="0.3">
      <c r="B54" s="134" t="s">
        <v>264</v>
      </c>
      <c r="F54"/>
    </row>
    <row r="55" spans="2:15" x14ac:dyDescent="0.3">
      <c r="F55"/>
    </row>
    <row r="56" spans="2:15" x14ac:dyDescent="0.3">
      <c r="B56" s="2" t="s">
        <v>265</v>
      </c>
      <c r="F56"/>
      <c r="I56" s="2" t="s">
        <v>266</v>
      </c>
    </row>
    <row r="57" spans="2:15" x14ac:dyDescent="0.3">
      <c r="B57" s="134" t="s">
        <v>234</v>
      </c>
      <c r="C57" s="12"/>
      <c r="D57" s="12"/>
      <c r="E57" s="12"/>
      <c r="G57" s="12"/>
      <c r="I57" s="134" t="s">
        <v>234</v>
      </c>
      <c r="J57" s="12"/>
      <c r="K57" s="12"/>
      <c r="L57" s="12"/>
      <c r="M57" s="12"/>
      <c r="N57" s="12"/>
    </row>
    <row r="58" spans="2:15" x14ac:dyDescent="0.3">
      <c r="B58" s="2" t="s">
        <v>134</v>
      </c>
      <c r="C58" s="135"/>
      <c r="D58" s="135"/>
      <c r="E58" s="135"/>
      <c r="I58" s="2" t="s">
        <v>134</v>
      </c>
      <c r="J58" s="135"/>
      <c r="K58" s="135"/>
      <c r="L58" s="135"/>
      <c r="M58" s="12"/>
    </row>
    <row r="59" spans="2:15" ht="28.8" x14ac:dyDescent="0.3">
      <c r="B59" s="136" t="s">
        <v>235</v>
      </c>
      <c r="C59" s="137" t="s">
        <v>12</v>
      </c>
      <c r="D59" s="137" t="s">
        <v>236</v>
      </c>
      <c r="E59" s="137" t="s">
        <v>237</v>
      </c>
      <c r="F59" s="137" t="s">
        <v>226</v>
      </c>
      <c r="G59" s="137" t="s">
        <v>238</v>
      </c>
      <c r="I59" s="136" t="s">
        <v>235</v>
      </c>
      <c r="J59" s="137" t="s">
        <v>12</v>
      </c>
      <c r="K59" s="137" t="s">
        <v>236</v>
      </c>
      <c r="L59" s="137" t="s">
        <v>237</v>
      </c>
      <c r="M59" s="137" t="s">
        <v>226</v>
      </c>
      <c r="N59" s="137" t="s">
        <v>238</v>
      </c>
    </row>
    <row r="60" spans="2:15" x14ac:dyDescent="0.3">
      <c r="B60" s="138" t="s">
        <v>239</v>
      </c>
      <c r="C60" s="141">
        <v>1</v>
      </c>
      <c r="D60" s="220">
        <v>108.33</v>
      </c>
      <c r="E60" s="220">
        <f>+D60*C60</f>
        <v>108.33</v>
      </c>
      <c r="F60" s="220">
        <f>+E60-G60</f>
        <v>18.801074380165289</v>
      </c>
      <c r="G60" s="220">
        <f>+E60/1.21</f>
        <v>89.528925619834709</v>
      </c>
      <c r="I60" s="138" t="s">
        <v>239</v>
      </c>
      <c r="J60" s="141">
        <v>8</v>
      </c>
      <c r="K60" s="220">
        <v>108.333</v>
      </c>
      <c r="L60" s="220">
        <f>+K60*J60</f>
        <v>866.66399999999999</v>
      </c>
      <c r="M60" s="220">
        <f>+L60-N60</f>
        <v>150.41276033057852</v>
      </c>
      <c r="N60" s="220">
        <f>+L60/1.21</f>
        <v>716.25123966942147</v>
      </c>
    </row>
    <row r="61" spans="2:15" x14ac:dyDescent="0.3">
      <c r="B61" s="138" t="s">
        <v>240</v>
      </c>
      <c r="C61" s="141">
        <v>5</v>
      </c>
      <c r="D61" s="220">
        <v>75</v>
      </c>
      <c r="E61" s="220">
        <f>+D61*C61</f>
        <v>375</v>
      </c>
      <c r="F61" s="220">
        <f>+E61-G61</f>
        <v>65.08264462809916</v>
      </c>
      <c r="G61" s="220">
        <f>+E61/1.21</f>
        <v>309.91735537190084</v>
      </c>
      <c r="I61" s="138" t="s">
        <v>240</v>
      </c>
      <c r="J61" s="141">
        <v>8</v>
      </c>
      <c r="K61" s="220">
        <v>108.333</v>
      </c>
      <c r="L61" s="220">
        <f>+K61*J61</f>
        <v>866.66399999999999</v>
      </c>
      <c r="M61" s="220">
        <f>+L61-N61</f>
        <v>150.41276033057852</v>
      </c>
      <c r="N61" s="220">
        <f>+L61/1.21</f>
        <v>716.25123966942147</v>
      </c>
    </row>
    <row r="62" spans="2:15" x14ac:dyDescent="0.3">
      <c r="B62" s="138" t="s">
        <v>241</v>
      </c>
      <c r="C62" s="141">
        <v>2</v>
      </c>
      <c r="D62" s="220">
        <v>75</v>
      </c>
      <c r="E62" s="220">
        <f>+D62*C62</f>
        <v>150</v>
      </c>
      <c r="F62" s="220">
        <f>+E62-G62</f>
        <v>26.033057851239661</v>
      </c>
      <c r="G62" s="220">
        <f>+E62/1.21</f>
        <v>123.96694214876034</v>
      </c>
      <c r="I62" s="138" t="s">
        <v>241</v>
      </c>
      <c r="J62" s="141">
        <v>1</v>
      </c>
      <c r="K62" s="220">
        <v>266.66699999999997</v>
      </c>
      <c r="L62" s="220">
        <f>+K62*J62</f>
        <v>266.66699999999997</v>
      </c>
      <c r="M62" s="220">
        <f>+L62-N62</f>
        <v>46.281049586776845</v>
      </c>
      <c r="N62" s="220">
        <f>+L62/1.21</f>
        <v>220.38595041322313</v>
      </c>
    </row>
    <row r="63" spans="2:15" x14ac:dyDescent="0.3">
      <c r="B63" s="144" t="s">
        <v>156</v>
      </c>
      <c r="C63" s="145">
        <f>SUM(C60:C62)</f>
        <v>8</v>
      </c>
      <c r="D63" s="221"/>
      <c r="E63" s="221">
        <f>SUM(E60:E62)</f>
        <v>633.32999999999993</v>
      </c>
      <c r="F63" s="221">
        <f t="shared" ref="F63" si="10">SUM(F60:F62)</f>
        <v>109.91677685950411</v>
      </c>
      <c r="G63" s="221">
        <f t="shared" ref="G63" si="11">SUM(G60:G62)</f>
        <v>523.41322314049592</v>
      </c>
      <c r="I63" s="144" t="s">
        <v>156</v>
      </c>
      <c r="J63" s="145">
        <f>SUM(J60:J62)</f>
        <v>17</v>
      </c>
      <c r="K63" s="221"/>
      <c r="L63" s="221">
        <f>SUM(L60:L62)</f>
        <v>1999.9949999999999</v>
      </c>
      <c r="M63" s="221">
        <f t="shared" ref="M63" si="12">SUM(M60:M62)</f>
        <v>347.10657024793386</v>
      </c>
      <c r="N63" s="221">
        <f t="shared" ref="N63" si="13">SUM(N60:N62)</f>
        <v>1652.888429752066</v>
      </c>
    </row>
    <row r="64" spans="2:15" x14ac:dyDescent="0.3">
      <c r="B64" s="143" t="s">
        <v>242</v>
      </c>
      <c r="F64"/>
      <c r="I64" s="143" t="s">
        <v>242</v>
      </c>
    </row>
    <row r="65" spans="2:15" x14ac:dyDescent="0.3">
      <c r="B65" s="143" t="s">
        <v>243</v>
      </c>
      <c r="C65" s="11"/>
      <c r="D65" s="11"/>
      <c r="E65" s="259"/>
      <c r="F65" s="11"/>
      <c r="G65" s="354"/>
      <c r="I65" s="143" t="s">
        <v>243</v>
      </c>
      <c r="J65" s="11"/>
      <c r="K65" s="11"/>
      <c r="L65" s="11"/>
      <c r="M65" s="11"/>
      <c r="O65" s="354"/>
    </row>
    <row r="66" spans="2:15" x14ac:dyDescent="0.3">
      <c r="B66" t="s">
        <v>267</v>
      </c>
      <c r="F66"/>
      <c r="I66" t="s">
        <v>268</v>
      </c>
    </row>
    <row r="67" spans="2:15" x14ac:dyDescent="0.3">
      <c r="B67" t="s">
        <v>269</v>
      </c>
      <c r="F67"/>
      <c r="I67" t="s">
        <v>270</v>
      </c>
    </row>
    <row r="68" spans="2:15" x14ac:dyDescent="0.3">
      <c r="F68"/>
      <c r="N68" s="1"/>
      <c r="O68" s="135"/>
    </row>
    <row r="69" spans="2:15" x14ac:dyDescent="0.3">
      <c r="B69" s="2" t="str">
        <f>+'Presupuesto_Productos (POD)'!B14</f>
        <v>Subcomponente 1.2: Fortalecimiento de los controles aduaneros y nueva estrategia de control mediante el uso de medios no intrusivos y una gestión de riesgo integral.</v>
      </c>
      <c r="F69"/>
      <c r="N69" s="1"/>
      <c r="O69" s="135"/>
    </row>
    <row r="70" spans="2:15" x14ac:dyDescent="0.3">
      <c r="B70" s="615" t="s">
        <v>271</v>
      </c>
      <c r="C70" s="615"/>
      <c r="D70" s="615"/>
      <c r="E70" s="615"/>
      <c r="F70" s="615"/>
      <c r="G70" s="615"/>
      <c r="H70" s="615"/>
      <c r="I70" s="615"/>
      <c r="J70" s="615"/>
      <c r="K70" s="615"/>
      <c r="L70" s="615"/>
      <c r="M70" s="615"/>
      <c r="N70" s="615"/>
      <c r="O70" s="135"/>
    </row>
    <row r="71" spans="2:15" x14ac:dyDescent="0.3">
      <c r="B71" s="2" t="s">
        <v>272</v>
      </c>
      <c r="F71"/>
      <c r="I71" s="2" t="s">
        <v>273</v>
      </c>
      <c r="N71" s="1"/>
      <c r="O71" s="135"/>
    </row>
    <row r="72" spans="2:15" x14ac:dyDescent="0.3">
      <c r="B72" s="134" t="s">
        <v>234</v>
      </c>
      <c r="C72" s="12"/>
      <c r="D72" s="12"/>
      <c r="E72" s="12"/>
      <c r="G72" s="12"/>
      <c r="I72" s="134" t="s">
        <v>234</v>
      </c>
      <c r="J72" s="12"/>
      <c r="K72" s="12"/>
      <c r="L72" s="12"/>
      <c r="M72" s="12"/>
      <c r="N72" s="12"/>
      <c r="O72" s="135"/>
    </row>
    <row r="73" spans="2:15" x14ac:dyDescent="0.3">
      <c r="B73" s="2" t="s">
        <v>134</v>
      </c>
      <c r="C73" s="135"/>
      <c r="D73" s="135"/>
      <c r="E73" s="135"/>
      <c r="I73" s="2" t="s">
        <v>134</v>
      </c>
      <c r="J73" s="135"/>
      <c r="K73" s="135"/>
      <c r="L73" s="135"/>
      <c r="M73" s="12"/>
      <c r="O73" s="135"/>
    </row>
    <row r="74" spans="2:15" ht="28.8" x14ac:dyDescent="0.3">
      <c r="B74" s="136" t="s">
        <v>235</v>
      </c>
      <c r="C74" s="137" t="s">
        <v>12</v>
      </c>
      <c r="D74" s="137" t="s">
        <v>236</v>
      </c>
      <c r="E74" s="137" t="s">
        <v>237</v>
      </c>
      <c r="F74" s="137" t="s">
        <v>226</v>
      </c>
      <c r="G74" s="137" t="s">
        <v>238</v>
      </c>
      <c r="I74" s="136" t="s">
        <v>235</v>
      </c>
      <c r="J74" s="137" t="s">
        <v>12</v>
      </c>
      <c r="K74" s="137" t="s">
        <v>236</v>
      </c>
      <c r="L74" s="137" t="s">
        <v>237</v>
      </c>
      <c r="M74" s="137" t="s">
        <v>226</v>
      </c>
      <c r="N74" s="137" t="s">
        <v>238</v>
      </c>
      <c r="O74" s="135"/>
    </row>
    <row r="75" spans="2:15" x14ac:dyDescent="0.3">
      <c r="B75" s="138" t="s">
        <v>239</v>
      </c>
      <c r="C75" s="141">
        <v>8</v>
      </c>
      <c r="D75" s="220">
        <v>225.1</v>
      </c>
      <c r="E75" s="220">
        <f>+D75*C75</f>
        <v>1800.8</v>
      </c>
      <c r="F75" s="220">
        <f>+E75-G75</f>
        <v>312.53553719008255</v>
      </c>
      <c r="G75" s="220">
        <f>+E75/1.21</f>
        <v>1488.2644628099174</v>
      </c>
      <c r="I75" s="138" t="s">
        <v>239</v>
      </c>
      <c r="J75" s="141">
        <v>15</v>
      </c>
      <c r="K75" s="220">
        <v>221.73599999999999</v>
      </c>
      <c r="L75" s="220">
        <f>+K75*J75</f>
        <v>3326.04</v>
      </c>
      <c r="M75" s="220">
        <f>+L75-N75</f>
        <v>577.24661157024775</v>
      </c>
      <c r="N75" s="220">
        <f>+L75/1.21</f>
        <v>2748.7933884297522</v>
      </c>
      <c r="O75" s="135"/>
    </row>
    <row r="76" spans="2:15" x14ac:dyDescent="0.3">
      <c r="B76" s="138" t="s">
        <v>240</v>
      </c>
      <c r="C76" s="141">
        <v>18</v>
      </c>
      <c r="D76" s="220">
        <v>224.64500000000001</v>
      </c>
      <c r="E76" s="220">
        <f>+D76*C76</f>
        <v>4043.61</v>
      </c>
      <c r="F76" s="220">
        <f>+E76-G76</f>
        <v>701.78355371900807</v>
      </c>
      <c r="G76" s="220">
        <f>+E76/1.21</f>
        <v>3341.8264462809921</v>
      </c>
      <c r="I76" s="138" t="s">
        <v>240</v>
      </c>
      <c r="J76" s="141">
        <v>17</v>
      </c>
      <c r="K76" s="220">
        <v>222</v>
      </c>
      <c r="L76" s="220">
        <f>+K76*J76</f>
        <v>3774</v>
      </c>
      <c r="M76" s="220">
        <f>+L76-N76</f>
        <v>654.99173553718992</v>
      </c>
      <c r="N76" s="220">
        <f>+L76/1.21</f>
        <v>3119.0082644628101</v>
      </c>
      <c r="O76" s="135"/>
    </row>
    <row r="77" spans="2:15" x14ac:dyDescent="0.3">
      <c r="B77" s="138"/>
      <c r="C77" s="141"/>
      <c r="D77" s="220"/>
      <c r="E77" s="220"/>
      <c r="F77" s="220"/>
      <c r="G77" s="220"/>
      <c r="I77" s="138"/>
      <c r="J77" s="141"/>
      <c r="K77" s="220"/>
      <c r="L77" s="220"/>
      <c r="M77" s="220"/>
      <c r="N77" s="220"/>
      <c r="O77" s="135"/>
    </row>
    <row r="78" spans="2:15" x14ac:dyDescent="0.3">
      <c r="B78" s="144" t="s">
        <v>156</v>
      </c>
      <c r="C78" s="145">
        <f>SUM(C75:C77)</f>
        <v>26</v>
      </c>
      <c r="D78" s="221"/>
      <c r="E78" s="221">
        <f>SUM(E75:E77)</f>
        <v>5844.41</v>
      </c>
      <c r="F78" s="221">
        <f t="shared" ref="F78:G78" si="14">SUM(F75:F77)</f>
        <v>1014.3190909090906</v>
      </c>
      <c r="G78" s="221">
        <f t="shared" si="14"/>
        <v>4830.0909090909099</v>
      </c>
      <c r="I78" s="144" t="s">
        <v>156</v>
      </c>
      <c r="J78" s="145">
        <f>SUM(J75:J77)</f>
        <v>32</v>
      </c>
      <c r="K78" s="221"/>
      <c r="L78" s="221">
        <f>SUM(L75:L77)</f>
        <v>7100.04</v>
      </c>
      <c r="M78" s="221">
        <f t="shared" ref="M78:N78" si="15">SUM(M75:M77)</f>
        <v>1232.2383471074377</v>
      </c>
      <c r="N78" s="221">
        <f t="shared" si="15"/>
        <v>5867.8016528925618</v>
      </c>
      <c r="O78" s="135"/>
    </row>
    <row r="79" spans="2:15" x14ac:dyDescent="0.3">
      <c r="B79" s="143" t="s">
        <v>242</v>
      </c>
      <c r="F79"/>
      <c r="I79" s="143" t="s">
        <v>242</v>
      </c>
      <c r="O79" s="135"/>
    </row>
    <row r="80" spans="2:15" x14ac:dyDescent="0.3">
      <c r="B80" s="143" t="s">
        <v>243</v>
      </c>
      <c r="C80" s="11"/>
      <c r="D80" s="11"/>
      <c r="E80" s="11"/>
      <c r="F80" s="11"/>
      <c r="G80" s="354"/>
      <c r="I80" s="143" t="s">
        <v>243</v>
      </c>
      <c r="J80" s="11"/>
      <c r="K80" s="11"/>
      <c r="L80" s="11"/>
      <c r="M80" s="11"/>
      <c r="N80" s="354"/>
      <c r="O80" s="354"/>
    </row>
    <row r="81" spans="2:15" x14ac:dyDescent="0.3">
      <c r="B81" t="s">
        <v>274</v>
      </c>
      <c r="F81"/>
      <c r="I81" t="s">
        <v>275</v>
      </c>
      <c r="O81" s="135"/>
    </row>
    <row r="82" spans="2:15" x14ac:dyDescent="0.3">
      <c r="F82"/>
      <c r="N82" s="1"/>
      <c r="O82" s="135"/>
    </row>
    <row r="83" spans="2:15" x14ac:dyDescent="0.3">
      <c r="B83" s="2" t="s">
        <v>276</v>
      </c>
      <c r="F83"/>
      <c r="N83" s="1"/>
      <c r="O83" s="135"/>
    </row>
    <row r="84" spans="2:15" x14ac:dyDescent="0.3">
      <c r="B84" s="134" t="s">
        <v>234</v>
      </c>
      <c r="C84" s="12"/>
      <c r="D84" s="12"/>
      <c r="E84" s="12"/>
      <c r="G84" s="12"/>
      <c r="N84" s="1"/>
      <c r="O84" s="135"/>
    </row>
    <row r="85" spans="2:15" x14ac:dyDescent="0.3">
      <c r="B85" s="2" t="s">
        <v>134</v>
      </c>
      <c r="C85" s="135"/>
      <c r="D85" s="135"/>
      <c r="E85" s="135"/>
      <c r="N85" s="1"/>
      <c r="O85" s="135"/>
    </row>
    <row r="86" spans="2:15" ht="28.8" x14ac:dyDescent="0.3">
      <c r="B86" s="136" t="s">
        <v>235</v>
      </c>
      <c r="C86" s="137" t="s">
        <v>12</v>
      </c>
      <c r="D86" s="137" t="s">
        <v>236</v>
      </c>
      <c r="E86" s="137" t="s">
        <v>237</v>
      </c>
      <c r="F86" s="137" t="s">
        <v>226</v>
      </c>
      <c r="G86" s="137" t="s">
        <v>238</v>
      </c>
      <c r="N86" s="1"/>
      <c r="O86" s="135"/>
    </row>
    <row r="87" spans="2:15" x14ac:dyDescent="0.3">
      <c r="B87" s="138" t="s">
        <v>239</v>
      </c>
      <c r="C87" s="141">
        <v>5</v>
      </c>
      <c r="D87" s="220">
        <v>221.5</v>
      </c>
      <c r="E87" s="220">
        <f>+D87*C87</f>
        <v>1107.5</v>
      </c>
      <c r="F87" s="220">
        <f>+E87-G87</f>
        <v>192.21074380165282</v>
      </c>
      <c r="G87" s="220">
        <f>+E87/1.21</f>
        <v>915.28925619834718</v>
      </c>
      <c r="N87" s="1"/>
      <c r="O87" s="135"/>
    </row>
    <row r="88" spans="2:15" x14ac:dyDescent="0.3">
      <c r="B88" s="138" t="s">
        <v>240</v>
      </c>
      <c r="C88" s="141">
        <v>6</v>
      </c>
      <c r="D88" s="220">
        <v>224.5</v>
      </c>
      <c r="E88" s="220">
        <f>+D88*C88</f>
        <v>1347</v>
      </c>
      <c r="F88" s="220">
        <f>+E88-G88</f>
        <v>233.77685950413229</v>
      </c>
      <c r="G88" s="220">
        <f>+E88/1.21</f>
        <v>1113.2231404958677</v>
      </c>
      <c r="N88" s="1"/>
      <c r="O88" s="135"/>
    </row>
    <row r="89" spans="2:15" x14ac:dyDescent="0.3">
      <c r="B89" s="138"/>
      <c r="C89" s="141"/>
      <c r="D89" s="220"/>
      <c r="E89" s="220"/>
      <c r="F89" s="220"/>
      <c r="G89" s="220"/>
      <c r="N89" s="1"/>
      <c r="O89" s="135"/>
    </row>
    <row r="90" spans="2:15" x14ac:dyDescent="0.3">
      <c r="B90" s="144" t="s">
        <v>156</v>
      </c>
      <c r="C90" s="145">
        <f>SUM(C87:C89)</f>
        <v>11</v>
      </c>
      <c r="D90" s="221"/>
      <c r="E90" s="221">
        <f>SUM(E87:E89)</f>
        <v>2454.5</v>
      </c>
      <c r="F90" s="221">
        <f t="shared" ref="F90:G90" si="16">SUM(F87:F89)</f>
        <v>425.98760330578511</v>
      </c>
      <c r="G90" s="221">
        <f t="shared" si="16"/>
        <v>2028.5123966942149</v>
      </c>
      <c r="N90" s="1"/>
      <c r="O90" s="135"/>
    </row>
    <row r="91" spans="2:15" x14ac:dyDescent="0.3">
      <c r="B91" s="143" t="s">
        <v>242</v>
      </c>
      <c r="F91"/>
      <c r="N91" s="1"/>
      <c r="O91" s="135"/>
    </row>
    <row r="92" spans="2:15" x14ac:dyDescent="0.3">
      <c r="B92" s="143" t="s">
        <v>243</v>
      </c>
      <c r="F92"/>
      <c r="G92" s="354"/>
      <c r="N92" s="1"/>
      <c r="O92" s="135"/>
    </row>
    <row r="93" spans="2:15" x14ac:dyDescent="0.3">
      <c r="B93" s="346" t="s">
        <v>277</v>
      </c>
      <c r="F93"/>
      <c r="N93" s="1"/>
      <c r="O93" s="135"/>
    </row>
    <row r="94" spans="2:15" x14ac:dyDescent="0.3">
      <c r="F94"/>
      <c r="N94" s="1"/>
      <c r="O94" s="135"/>
    </row>
    <row r="95" spans="2:15" x14ac:dyDescent="0.3">
      <c r="B95" s="2" t="str">
        <f>+'Presupuesto_Productos (POD)'!B21</f>
        <v>Subcomponente 1.3: Fortalecimiento del control y fiscalización de los recursos de la seguridad social y mejora de la formalización del sector laboral</v>
      </c>
      <c r="O95" s="135"/>
    </row>
    <row r="96" spans="2:15" x14ac:dyDescent="0.3">
      <c r="B96" s="615" t="s">
        <v>278</v>
      </c>
      <c r="C96" s="615"/>
      <c r="D96" s="615"/>
      <c r="E96" s="615"/>
      <c r="F96" s="615"/>
      <c r="G96" s="615"/>
      <c r="H96" s="615"/>
      <c r="I96" s="615"/>
      <c r="J96" s="615"/>
      <c r="K96" s="615"/>
      <c r="L96" s="615"/>
      <c r="M96" s="615"/>
      <c r="N96" s="615"/>
      <c r="O96" s="135"/>
    </row>
    <row r="97" spans="2:15" x14ac:dyDescent="0.3">
      <c r="O97" s="135"/>
    </row>
    <row r="98" spans="2:15" x14ac:dyDescent="0.3">
      <c r="B98" s="2" t="s">
        <v>279</v>
      </c>
      <c r="F98"/>
      <c r="I98" s="2" t="s">
        <v>233</v>
      </c>
      <c r="O98" s="135"/>
    </row>
    <row r="99" spans="2:15" x14ac:dyDescent="0.3">
      <c r="B99" s="134" t="s">
        <v>234</v>
      </c>
      <c r="C99" s="12"/>
      <c r="D99" s="12"/>
      <c r="E99" s="12"/>
      <c r="G99" s="12"/>
      <c r="I99" s="134" t="s">
        <v>234</v>
      </c>
      <c r="J99" s="12"/>
      <c r="K99" s="12"/>
      <c r="L99" s="12"/>
      <c r="M99" s="12"/>
      <c r="N99" s="12"/>
      <c r="O99" s="135"/>
    </row>
    <row r="100" spans="2:15" x14ac:dyDescent="0.3">
      <c r="B100" s="2" t="s">
        <v>134</v>
      </c>
      <c r="C100" s="135"/>
      <c r="D100" s="135"/>
      <c r="E100" s="135"/>
      <c r="I100" s="2" t="s">
        <v>134</v>
      </c>
      <c r="J100" s="135"/>
      <c r="K100" s="135"/>
      <c r="L100" s="135"/>
      <c r="M100" s="12"/>
      <c r="O100" s="135"/>
    </row>
    <row r="101" spans="2:15" ht="28.8" x14ac:dyDescent="0.3">
      <c r="B101" s="136" t="s">
        <v>235</v>
      </c>
      <c r="C101" s="137" t="s">
        <v>12</v>
      </c>
      <c r="D101" s="137" t="s">
        <v>236</v>
      </c>
      <c r="E101" s="137" t="s">
        <v>237</v>
      </c>
      <c r="F101" s="137" t="s">
        <v>226</v>
      </c>
      <c r="G101" s="137" t="s">
        <v>238</v>
      </c>
      <c r="I101" s="136" t="s">
        <v>235</v>
      </c>
      <c r="J101" s="137" t="s">
        <v>12</v>
      </c>
      <c r="K101" s="137" t="s">
        <v>236</v>
      </c>
      <c r="L101" s="137" t="s">
        <v>237</v>
      </c>
      <c r="M101" s="137" t="s">
        <v>226</v>
      </c>
      <c r="N101" s="137" t="s">
        <v>238</v>
      </c>
      <c r="O101" s="135"/>
    </row>
    <row r="102" spans="2:15" x14ac:dyDescent="0.3">
      <c r="B102" s="138"/>
      <c r="C102" s="141"/>
      <c r="D102" s="220"/>
      <c r="E102" s="220"/>
      <c r="F102" s="220"/>
      <c r="G102" s="220"/>
      <c r="I102" s="138" t="s">
        <v>239</v>
      </c>
      <c r="J102" s="141">
        <v>2</v>
      </c>
      <c r="K102" s="220">
        <f>108333/1000</f>
        <v>108.333</v>
      </c>
      <c r="L102" s="220">
        <f>+K102*J102</f>
        <v>216.666</v>
      </c>
      <c r="M102" s="220">
        <f>+L102-N102</f>
        <v>37.60319008264463</v>
      </c>
      <c r="N102" s="220">
        <f>+L102/1.21</f>
        <v>179.06280991735537</v>
      </c>
      <c r="O102" s="135"/>
    </row>
    <row r="103" spans="2:15" x14ac:dyDescent="0.3">
      <c r="B103" s="138" t="s">
        <v>240</v>
      </c>
      <c r="C103" s="141">
        <v>5</v>
      </c>
      <c r="D103" s="220">
        <f>108333/1000</f>
        <v>108.333</v>
      </c>
      <c r="E103" s="220">
        <f>+D103*C103</f>
        <v>541.66499999999996</v>
      </c>
      <c r="F103" s="220">
        <f>+E103-G103</f>
        <v>94.007975206611547</v>
      </c>
      <c r="G103" s="220">
        <f>+E103/1.21</f>
        <v>447.65702479338842</v>
      </c>
      <c r="I103" s="138" t="s">
        <v>240</v>
      </c>
      <c r="J103" s="141">
        <v>3</v>
      </c>
      <c r="K103" s="220">
        <f>108333/1000</f>
        <v>108.333</v>
      </c>
      <c r="L103" s="220">
        <f>+K103*J103</f>
        <v>324.99900000000002</v>
      </c>
      <c r="M103" s="220">
        <f>+L103-N103</f>
        <v>56.404785123966917</v>
      </c>
      <c r="N103" s="220">
        <f>+L103/1.21</f>
        <v>268.59421487603311</v>
      </c>
      <c r="O103" s="135"/>
    </row>
    <row r="104" spans="2:15" x14ac:dyDescent="0.3">
      <c r="B104" s="138" t="s">
        <v>241</v>
      </c>
      <c r="C104" s="141">
        <v>1</v>
      </c>
      <c r="D104" s="220">
        <f>108333/1000</f>
        <v>108.333</v>
      </c>
      <c r="E104" s="220">
        <f>+D104*C104</f>
        <v>108.333</v>
      </c>
      <c r="F104" s="220">
        <f>+E104-G104</f>
        <v>18.801595041322315</v>
      </c>
      <c r="G104" s="220">
        <f>+E104/1.21</f>
        <v>89.531404958677683</v>
      </c>
      <c r="I104" s="138" t="s">
        <v>241</v>
      </c>
      <c r="J104" s="141">
        <v>0</v>
      </c>
      <c r="K104" s="220">
        <f>108333/1000</f>
        <v>108.333</v>
      </c>
      <c r="L104" s="220">
        <f>+K104*J104</f>
        <v>0</v>
      </c>
      <c r="M104" s="220">
        <f>+L104-N104</f>
        <v>0</v>
      </c>
      <c r="N104" s="220">
        <f>+L104/1.21</f>
        <v>0</v>
      </c>
      <c r="O104" s="135"/>
    </row>
    <row r="105" spans="2:15" x14ac:dyDescent="0.3">
      <c r="B105" s="144" t="s">
        <v>156</v>
      </c>
      <c r="C105" s="145">
        <f>SUM(C103:C104)</f>
        <v>6</v>
      </c>
      <c r="D105" s="221"/>
      <c r="E105" s="221">
        <f>SUM(E102:E104)</f>
        <v>649.99799999999993</v>
      </c>
      <c r="F105" s="221">
        <f t="shared" ref="F105" si="17">SUM(F102:F104)</f>
        <v>112.80957024793386</v>
      </c>
      <c r="G105" s="221">
        <f t="shared" ref="G105" si="18">SUM(G102:G104)</f>
        <v>537.1884297520661</v>
      </c>
      <c r="I105" s="144" t="s">
        <v>156</v>
      </c>
      <c r="J105" s="145">
        <f>SUM(J102:J104)</f>
        <v>5</v>
      </c>
      <c r="K105" s="221"/>
      <c r="L105" s="221">
        <f>SUM(L102:L104)</f>
        <v>541.66499999999996</v>
      </c>
      <c r="M105" s="221">
        <f t="shared" ref="M105" si="19">SUM(M102:M104)</f>
        <v>94.007975206611547</v>
      </c>
      <c r="N105" s="221">
        <f t="shared" ref="N105" si="20">SUM(N102:N104)</f>
        <v>447.65702479338847</v>
      </c>
      <c r="O105" s="135"/>
    </row>
    <row r="106" spans="2:15" x14ac:dyDescent="0.3">
      <c r="B106" s="143" t="s">
        <v>242</v>
      </c>
      <c r="F106"/>
      <c r="I106" s="143" t="s">
        <v>242</v>
      </c>
      <c r="O106" s="135"/>
    </row>
    <row r="107" spans="2:15" x14ac:dyDescent="0.3">
      <c r="B107" s="143" t="s">
        <v>243</v>
      </c>
      <c r="C107" s="11"/>
      <c r="D107" s="11"/>
      <c r="E107" s="11"/>
      <c r="F107" s="11"/>
      <c r="G107" s="354"/>
      <c r="I107" s="143" t="s">
        <v>243</v>
      </c>
      <c r="N107" s="354"/>
      <c r="O107" s="135"/>
    </row>
    <row r="108" spans="2:15" x14ac:dyDescent="0.3">
      <c r="B108" t="s">
        <v>46</v>
      </c>
      <c r="C108" s="133"/>
      <c r="D108" s="134"/>
      <c r="E108" s="135"/>
      <c r="F108" s="135"/>
      <c r="I108" s="11" t="s">
        <v>48</v>
      </c>
      <c r="M108" s="12"/>
      <c r="O108" s="135"/>
    </row>
    <row r="109" spans="2:15" x14ac:dyDescent="0.3">
      <c r="F109"/>
      <c r="O109" s="135"/>
    </row>
    <row r="110" spans="2:15" x14ac:dyDescent="0.3">
      <c r="B110" s="2" t="s">
        <v>280</v>
      </c>
      <c r="F110"/>
      <c r="I110" s="2" t="s">
        <v>281</v>
      </c>
      <c r="O110" s="135"/>
    </row>
    <row r="111" spans="2:15" x14ac:dyDescent="0.3">
      <c r="B111" s="134" t="s">
        <v>234</v>
      </c>
      <c r="C111" s="12"/>
      <c r="D111" s="12"/>
      <c r="E111" s="12"/>
      <c r="G111" s="12"/>
      <c r="I111" s="134" t="s">
        <v>234</v>
      </c>
      <c r="J111" s="12"/>
      <c r="K111" s="12"/>
      <c r="L111" s="12"/>
      <c r="M111" s="12"/>
      <c r="N111" s="12"/>
      <c r="O111" s="135"/>
    </row>
    <row r="112" spans="2:15" x14ac:dyDescent="0.3">
      <c r="B112" s="2" t="s">
        <v>134</v>
      </c>
      <c r="C112" s="135"/>
      <c r="D112" s="135"/>
      <c r="E112" s="135"/>
      <c r="I112" s="2" t="s">
        <v>134</v>
      </c>
      <c r="J112" s="135"/>
      <c r="K112" s="135"/>
      <c r="L112" s="135"/>
      <c r="M112" s="12"/>
      <c r="O112" s="135"/>
    </row>
    <row r="113" spans="2:15" ht="28.8" x14ac:dyDescent="0.3">
      <c r="B113" s="136" t="s">
        <v>235</v>
      </c>
      <c r="C113" s="137" t="s">
        <v>12</v>
      </c>
      <c r="D113" s="137" t="s">
        <v>236</v>
      </c>
      <c r="E113" s="137" t="s">
        <v>237</v>
      </c>
      <c r="F113" s="137" t="s">
        <v>226</v>
      </c>
      <c r="G113" s="137" t="s">
        <v>238</v>
      </c>
      <c r="I113" s="136" t="s">
        <v>235</v>
      </c>
      <c r="J113" s="137" t="s">
        <v>12</v>
      </c>
      <c r="K113" s="137" t="s">
        <v>236</v>
      </c>
      <c r="L113" s="137" t="s">
        <v>237</v>
      </c>
      <c r="M113" s="137" t="s">
        <v>226</v>
      </c>
      <c r="N113" s="137" t="s">
        <v>238</v>
      </c>
      <c r="O113" s="135"/>
    </row>
    <row r="114" spans="2:15" x14ac:dyDescent="0.3">
      <c r="B114" s="138" t="s">
        <v>239</v>
      </c>
      <c r="C114" s="141">
        <v>2</v>
      </c>
      <c r="D114" s="220">
        <f>108333.4/1000</f>
        <v>108.3334</v>
      </c>
      <c r="E114" s="220">
        <f>+D114*C114</f>
        <v>216.66679999999999</v>
      </c>
      <c r="F114" s="220">
        <f>+E114-G114</f>
        <v>37.60332892561982</v>
      </c>
      <c r="G114" s="220">
        <f>+E114/1.21</f>
        <v>179.06347107438017</v>
      </c>
      <c r="I114" s="138" t="s">
        <v>239</v>
      </c>
      <c r="J114" s="141">
        <v>2</v>
      </c>
      <c r="K114" s="220">
        <f>108333.4/1000</f>
        <v>108.3334</v>
      </c>
      <c r="L114" s="220">
        <f>+K114*J114</f>
        <v>216.66679999999999</v>
      </c>
      <c r="M114" s="220">
        <f>+L114-N114</f>
        <v>37.60332892561982</v>
      </c>
      <c r="N114" s="220">
        <f>+L114/1.21</f>
        <v>179.06347107438017</v>
      </c>
      <c r="O114" s="135"/>
    </row>
    <row r="115" spans="2:15" x14ac:dyDescent="0.3">
      <c r="B115" s="138" t="s">
        <v>240</v>
      </c>
      <c r="C115" s="141">
        <v>2</v>
      </c>
      <c r="D115" s="220">
        <f>108333.4/1000</f>
        <v>108.3334</v>
      </c>
      <c r="E115" s="220">
        <f>+D115*C115</f>
        <v>216.66679999999999</v>
      </c>
      <c r="F115" s="220">
        <f>+E115-G115</f>
        <v>37.60332892561982</v>
      </c>
      <c r="G115" s="220">
        <f>+E115/1.21</f>
        <v>179.06347107438017</v>
      </c>
      <c r="I115" s="138" t="s">
        <v>240</v>
      </c>
      <c r="J115" s="141">
        <v>3</v>
      </c>
      <c r="K115" s="220">
        <f>108333.4/1000</f>
        <v>108.3334</v>
      </c>
      <c r="L115" s="220">
        <f>+K115*J115</f>
        <v>325.00020000000001</v>
      </c>
      <c r="M115" s="220">
        <f>+L115-N115</f>
        <v>56.404993388429773</v>
      </c>
      <c r="N115" s="220">
        <f>+L115/1.21</f>
        <v>268.59520661157023</v>
      </c>
      <c r="O115" s="135"/>
    </row>
    <row r="116" spans="2:15" x14ac:dyDescent="0.3">
      <c r="B116" s="138"/>
      <c r="C116" s="141"/>
      <c r="D116" s="220"/>
      <c r="E116" s="220"/>
      <c r="F116" s="220"/>
      <c r="G116" s="220"/>
      <c r="I116" s="138" t="s">
        <v>241</v>
      </c>
      <c r="J116" s="141"/>
      <c r="K116" s="220"/>
      <c r="L116" s="220"/>
      <c r="M116" s="220"/>
      <c r="N116" s="220"/>
      <c r="O116" s="135"/>
    </row>
    <row r="117" spans="2:15" x14ac:dyDescent="0.3">
      <c r="B117" s="144" t="s">
        <v>156</v>
      </c>
      <c r="C117" s="145">
        <f>SUM(C114:C116)</f>
        <v>4</v>
      </c>
      <c r="D117" s="221"/>
      <c r="E117" s="221">
        <f>SUM(E114:E116)</f>
        <v>433.33359999999999</v>
      </c>
      <c r="F117" s="221">
        <f t="shared" ref="F117" si="21">SUM(F114:F116)</f>
        <v>75.20665785123964</v>
      </c>
      <c r="G117" s="221">
        <f t="shared" ref="G117" si="22">SUM(G114:G116)</f>
        <v>358.12694214876035</v>
      </c>
      <c r="I117" s="144" t="s">
        <v>156</v>
      </c>
      <c r="J117" s="145">
        <f>SUM(J114:J116)</f>
        <v>5</v>
      </c>
      <c r="K117" s="221"/>
      <c r="L117" s="221">
        <f>SUM(L114:L116)</f>
        <v>541.66700000000003</v>
      </c>
      <c r="M117" s="221">
        <f t="shared" ref="M117" si="23">SUM(M114:M116)</f>
        <v>94.008322314049593</v>
      </c>
      <c r="N117" s="221">
        <f t="shared" ref="N117" si="24">SUM(N114:N116)</f>
        <v>447.65867768595041</v>
      </c>
      <c r="O117" s="135"/>
    </row>
    <row r="118" spans="2:15" x14ac:dyDescent="0.3">
      <c r="B118" s="143" t="s">
        <v>242</v>
      </c>
      <c r="F118"/>
      <c r="I118" s="143" t="s">
        <v>242</v>
      </c>
      <c r="J118" s="134"/>
      <c r="K118" s="134"/>
      <c r="O118" s="135"/>
    </row>
    <row r="119" spans="2:15" x14ac:dyDescent="0.3">
      <c r="B119" s="143" t="s">
        <v>243</v>
      </c>
      <c r="C119" s="11"/>
      <c r="D119" s="11"/>
      <c r="E119" s="11"/>
      <c r="F119" s="11"/>
      <c r="G119" s="354"/>
      <c r="I119" s="143" t="s">
        <v>243</v>
      </c>
      <c r="N119" s="354"/>
      <c r="O119" s="135"/>
    </row>
    <row r="120" spans="2:15" x14ac:dyDescent="0.3">
      <c r="B120" t="s">
        <v>50</v>
      </c>
      <c r="C120" s="133"/>
      <c r="D120" s="134"/>
      <c r="E120" s="135"/>
      <c r="F120" s="135"/>
      <c r="I120" t="s">
        <v>52</v>
      </c>
      <c r="O120" s="135"/>
    </row>
    <row r="121" spans="2:15" x14ac:dyDescent="0.3">
      <c r="F121"/>
      <c r="O121" s="135"/>
    </row>
    <row r="122" spans="2:15" x14ac:dyDescent="0.3">
      <c r="B122" s="2" t="s">
        <v>282</v>
      </c>
      <c r="F122"/>
      <c r="I122" s="2" t="s">
        <v>283</v>
      </c>
      <c r="O122" s="135"/>
    </row>
    <row r="123" spans="2:15" x14ac:dyDescent="0.3">
      <c r="B123" s="134" t="s">
        <v>234</v>
      </c>
      <c r="C123" s="12"/>
      <c r="D123" s="12"/>
      <c r="E123" s="12"/>
      <c r="G123" s="12"/>
      <c r="I123" s="134" t="s">
        <v>234</v>
      </c>
      <c r="J123" s="12"/>
      <c r="K123" s="12"/>
      <c r="L123" s="12"/>
      <c r="M123" s="12"/>
      <c r="N123" s="12"/>
      <c r="O123" s="135"/>
    </row>
    <row r="124" spans="2:15" x14ac:dyDescent="0.3">
      <c r="B124" s="2" t="s">
        <v>134</v>
      </c>
      <c r="C124" s="135"/>
      <c r="D124" s="135"/>
      <c r="E124" s="135"/>
      <c r="I124" s="2" t="s">
        <v>134</v>
      </c>
      <c r="J124" s="135"/>
      <c r="K124" s="135"/>
      <c r="L124" s="135"/>
      <c r="M124" s="12"/>
      <c r="O124" s="135"/>
    </row>
    <row r="125" spans="2:15" ht="28.8" x14ac:dyDescent="0.3">
      <c r="B125" s="136" t="s">
        <v>235</v>
      </c>
      <c r="C125" s="137" t="s">
        <v>12</v>
      </c>
      <c r="D125" s="137" t="s">
        <v>236</v>
      </c>
      <c r="E125" s="137" t="s">
        <v>237</v>
      </c>
      <c r="F125" s="137" t="s">
        <v>226</v>
      </c>
      <c r="G125" s="137" t="s">
        <v>238</v>
      </c>
      <c r="I125" s="136" t="s">
        <v>235</v>
      </c>
      <c r="J125" s="137" t="s">
        <v>12</v>
      </c>
      <c r="K125" s="137" t="s">
        <v>236</v>
      </c>
      <c r="L125" s="137" t="s">
        <v>237</v>
      </c>
      <c r="M125" s="137" t="s">
        <v>226</v>
      </c>
      <c r="N125" s="137" t="s">
        <v>238</v>
      </c>
      <c r="O125" s="135"/>
    </row>
    <row r="126" spans="2:15" x14ac:dyDescent="0.3">
      <c r="B126" s="138" t="s">
        <v>239</v>
      </c>
      <c r="C126" s="141">
        <v>2</v>
      </c>
      <c r="D126" s="220">
        <f>108333.4/1000</f>
        <v>108.3334</v>
      </c>
      <c r="E126" s="220">
        <f>+D126*C126</f>
        <v>216.66679999999999</v>
      </c>
      <c r="F126" s="220">
        <f>+E126-G126</f>
        <v>37.60332892561982</v>
      </c>
      <c r="G126" s="220">
        <f>+E126/1.21</f>
        <v>179.06347107438017</v>
      </c>
      <c r="I126" s="138" t="s">
        <v>239</v>
      </c>
      <c r="J126" s="141">
        <v>1</v>
      </c>
      <c r="K126" s="220">
        <f>108333.4/1000</f>
        <v>108.3334</v>
      </c>
      <c r="L126" s="220">
        <f>+K126*J126</f>
        <v>108.3334</v>
      </c>
      <c r="M126" s="220">
        <f>+L126-N126</f>
        <v>18.80166446280991</v>
      </c>
      <c r="N126" s="220">
        <f>+L126/1.21</f>
        <v>89.531735537190087</v>
      </c>
      <c r="O126" s="135"/>
    </row>
    <row r="127" spans="2:15" x14ac:dyDescent="0.3">
      <c r="B127" s="138" t="s">
        <v>240</v>
      </c>
      <c r="C127" s="141">
        <v>3</v>
      </c>
      <c r="D127" s="220">
        <f>108333.4/1000</f>
        <v>108.3334</v>
      </c>
      <c r="E127" s="220">
        <f>+D127*C127</f>
        <v>325.00020000000001</v>
      </c>
      <c r="F127" s="220">
        <f>+E127-G127</f>
        <v>56.404993388429773</v>
      </c>
      <c r="G127" s="220">
        <f>+E127/1.21</f>
        <v>268.59520661157023</v>
      </c>
      <c r="I127" s="138" t="s">
        <v>240</v>
      </c>
      <c r="J127" s="141">
        <v>2</v>
      </c>
      <c r="K127" s="220">
        <f>108333.4/1000</f>
        <v>108.3334</v>
      </c>
      <c r="L127" s="220">
        <f>+K127*J127</f>
        <v>216.66679999999999</v>
      </c>
      <c r="M127" s="220">
        <f>+L127-N127</f>
        <v>37.60332892561982</v>
      </c>
      <c r="N127" s="220">
        <f>+L127/1.21</f>
        <v>179.06347107438017</v>
      </c>
      <c r="O127" s="135"/>
    </row>
    <row r="128" spans="2:15" x14ac:dyDescent="0.3">
      <c r="B128" s="138" t="s">
        <v>241</v>
      </c>
      <c r="C128" s="141"/>
      <c r="D128" s="220"/>
      <c r="E128" s="220"/>
      <c r="F128" s="220"/>
      <c r="G128" s="220"/>
      <c r="I128" s="138" t="s">
        <v>241</v>
      </c>
      <c r="J128" s="141"/>
      <c r="K128" s="220"/>
      <c r="L128" s="220"/>
      <c r="M128" s="220"/>
      <c r="N128" s="220"/>
      <c r="O128" s="135"/>
    </row>
    <row r="129" spans="2:15" x14ac:dyDescent="0.3">
      <c r="B129" s="144" t="s">
        <v>156</v>
      </c>
      <c r="C129" s="145">
        <f>SUM(C126:C128)</f>
        <v>5</v>
      </c>
      <c r="D129" s="221"/>
      <c r="E129" s="221">
        <f>SUM(E126:E128)</f>
        <v>541.66700000000003</v>
      </c>
      <c r="F129" s="221">
        <f t="shared" ref="F129" si="25">SUM(F126:F128)</f>
        <v>94.008322314049593</v>
      </c>
      <c r="G129" s="221">
        <f t="shared" ref="G129" si="26">SUM(G126:G128)</f>
        <v>447.65867768595041</v>
      </c>
      <c r="I129" s="144" t="s">
        <v>156</v>
      </c>
      <c r="J129" s="145">
        <f>SUM(J126:J128)</f>
        <v>3</v>
      </c>
      <c r="K129" s="221"/>
      <c r="L129" s="221">
        <f>SUM(L126:L128)</f>
        <v>325.00020000000001</v>
      </c>
      <c r="M129" s="221">
        <f t="shared" ref="M129" si="27">SUM(M126:M128)</f>
        <v>56.40499338842973</v>
      </c>
      <c r="N129" s="221">
        <f t="shared" ref="N129" si="28">SUM(N126:N128)</f>
        <v>268.59520661157023</v>
      </c>
      <c r="O129" s="135"/>
    </row>
    <row r="130" spans="2:15" x14ac:dyDescent="0.3">
      <c r="B130" s="143" t="s">
        <v>242</v>
      </c>
      <c r="F130"/>
      <c r="I130" s="143" t="s">
        <v>242</v>
      </c>
      <c r="O130" s="135"/>
    </row>
    <row r="131" spans="2:15" x14ac:dyDescent="0.3">
      <c r="B131" s="143" t="s">
        <v>243</v>
      </c>
      <c r="C131" s="11"/>
      <c r="D131" s="11"/>
      <c r="E131" s="11"/>
      <c r="F131" s="11"/>
      <c r="G131" s="354"/>
      <c r="I131" s="143" t="s">
        <v>243</v>
      </c>
      <c r="N131" s="354"/>
      <c r="O131" s="135"/>
    </row>
    <row r="132" spans="2:15" x14ac:dyDescent="0.3">
      <c r="B132" t="s">
        <v>54</v>
      </c>
      <c r="C132" s="133"/>
      <c r="D132" s="134"/>
      <c r="E132" s="135"/>
      <c r="F132" s="135"/>
      <c r="I132" t="s">
        <v>56</v>
      </c>
      <c r="L132" s="260"/>
      <c r="M132" s="254"/>
      <c r="O132" s="135"/>
    </row>
    <row r="134" spans="2:15" x14ac:dyDescent="0.3">
      <c r="B134" s="2" t="str">
        <f>+'Presupuesto_Productos (POD)'!B51</f>
        <v>Componente 3: Mejora de los servicios de atención al contribuyente y del modelo de gestión, de planificación y desarrollo de servicios de las áreas centrales de la AFIP</v>
      </c>
    </row>
    <row r="135" spans="2:15" x14ac:dyDescent="0.3">
      <c r="B135" s="616" t="s">
        <v>284</v>
      </c>
      <c r="C135" s="617"/>
      <c r="D135" s="617"/>
      <c r="E135" s="617"/>
      <c r="F135" s="617"/>
      <c r="G135" s="617"/>
      <c r="H135" s="617"/>
      <c r="I135" s="617"/>
      <c r="J135" s="617"/>
      <c r="K135" s="617"/>
      <c r="L135" s="617"/>
      <c r="M135" s="617"/>
      <c r="N135" s="618"/>
    </row>
    <row r="136" spans="2:15" x14ac:dyDescent="0.3">
      <c r="B136" s="2" t="s">
        <v>285</v>
      </c>
      <c r="F136"/>
      <c r="I136" s="2" t="s">
        <v>286</v>
      </c>
    </row>
    <row r="137" spans="2:15" x14ac:dyDescent="0.3">
      <c r="B137" s="134" t="s">
        <v>234</v>
      </c>
      <c r="C137" s="12"/>
      <c r="D137" s="12"/>
      <c r="E137" s="12"/>
      <c r="G137" s="12"/>
      <c r="I137" s="134" t="s">
        <v>234</v>
      </c>
      <c r="J137" s="12"/>
      <c r="K137" s="12"/>
      <c r="L137" s="12"/>
      <c r="M137" s="12"/>
      <c r="N137" s="12"/>
    </row>
    <row r="138" spans="2:15" x14ac:dyDescent="0.3">
      <c r="B138" s="2" t="s">
        <v>134</v>
      </c>
      <c r="C138" s="135"/>
      <c r="D138" s="135"/>
      <c r="E138" s="135"/>
      <c r="I138" s="2" t="s">
        <v>134</v>
      </c>
      <c r="J138" s="135"/>
      <c r="K138" s="135"/>
      <c r="L138" s="135"/>
      <c r="M138" s="12"/>
    </row>
    <row r="139" spans="2:15" ht="28.8" x14ac:dyDescent="0.3">
      <c r="B139" s="136" t="s">
        <v>235</v>
      </c>
      <c r="C139" s="137" t="s">
        <v>12</v>
      </c>
      <c r="D139" s="137" t="s">
        <v>236</v>
      </c>
      <c r="E139" s="137" t="s">
        <v>237</v>
      </c>
      <c r="F139" s="137" t="s">
        <v>226</v>
      </c>
      <c r="G139" s="137" t="s">
        <v>238</v>
      </c>
      <c r="I139" s="136" t="s">
        <v>235</v>
      </c>
      <c r="J139" s="137" t="s">
        <v>12</v>
      </c>
      <c r="K139" s="137" t="s">
        <v>236</v>
      </c>
      <c r="L139" s="137" t="s">
        <v>237</v>
      </c>
      <c r="M139" s="137" t="s">
        <v>226</v>
      </c>
      <c r="N139" s="137" t="s">
        <v>238</v>
      </c>
    </row>
    <row r="140" spans="2:15" x14ac:dyDescent="0.3">
      <c r="B140" s="138" t="s">
        <v>239</v>
      </c>
      <c r="C140" s="141">
        <v>1</v>
      </c>
      <c r="D140" s="220">
        <v>108.333</v>
      </c>
      <c r="E140" s="220">
        <f>+D140*C140</f>
        <v>108.333</v>
      </c>
      <c r="F140" s="220">
        <f>+E140-G140</f>
        <v>18.801595041322315</v>
      </c>
      <c r="G140" s="220">
        <f>+E140/1.21</f>
        <v>89.531404958677683</v>
      </c>
      <c r="I140" s="138" t="s">
        <v>239</v>
      </c>
      <c r="J140" s="141">
        <v>1</v>
      </c>
      <c r="K140" s="220">
        <v>108.333</v>
      </c>
      <c r="L140" s="220">
        <f>+K140*J140</f>
        <v>108.333</v>
      </c>
      <c r="M140" s="220">
        <f>+L140-N140</f>
        <v>18.801595041322315</v>
      </c>
      <c r="N140" s="220">
        <f>+L140/1.21</f>
        <v>89.531404958677683</v>
      </c>
    </row>
    <row r="141" spans="2:15" x14ac:dyDescent="0.3">
      <c r="B141" s="138" t="s">
        <v>240</v>
      </c>
      <c r="C141" s="141">
        <v>2</v>
      </c>
      <c r="D141" s="220">
        <v>108.333</v>
      </c>
      <c r="E141" s="220">
        <f>+D141*C141</f>
        <v>216.666</v>
      </c>
      <c r="F141" s="220">
        <f>+E141-G141</f>
        <v>37.60319008264463</v>
      </c>
      <c r="G141" s="220">
        <f>+E141/1.21</f>
        <v>179.06280991735537</v>
      </c>
      <c r="I141" s="138" t="s">
        <v>240</v>
      </c>
      <c r="J141" s="141">
        <v>2</v>
      </c>
      <c r="K141" s="220">
        <v>108.333</v>
      </c>
      <c r="L141" s="220">
        <f>+K141*J141</f>
        <v>216.666</v>
      </c>
      <c r="M141" s="220">
        <f>+L141-N141</f>
        <v>37.60319008264463</v>
      </c>
      <c r="N141" s="220">
        <f>+L141/1.21</f>
        <v>179.06280991735537</v>
      </c>
    </row>
    <row r="142" spans="2:15" x14ac:dyDescent="0.3">
      <c r="B142" s="138" t="s">
        <v>241</v>
      </c>
      <c r="C142" s="141">
        <v>1</v>
      </c>
      <c r="D142" s="220">
        <v>108.333</v>
      </c>
      <c r="E142" s="220">
        <f>+D142*C142</f>
        <v>108.333</v>
      </c>
      <c r="F142" s="220">
        <f>+E142-G142</f>
        <v>18.801595041322315</v>
      </c>
      <c r="G142" s="220">
        <f>+E142/1.21</f>
        <v>89.531404958677683</v>
      </c>
      <c r="I142" s="138" t="s">
        <v>241</v>
      </c>
      <c r="J142" s="141">
        <v>1</v>
      </c>
      <c r="K142" s="220">
        <v>108.333</v>
      </c>
      <c r="L142" s="220">
        <f>+K142*J142</f>
        <v>108.333</v>
      </c>
      <c r="M142" s="220">
        <f>+L142-N142</f>
        <v>18.801595041322315</v>
      </c>
      <c r="N142" s="220">
        <f>+L142/1.21</f>
        <v>89.531404958677683</v>
      </c>
    </row>
    <row r="143" spans="2:15" x14ac:dyDescent="0.3">
      <c r="B143" s="144" t="s">
        <v>156</v>
      </c>
      <c r="C143" s="145">
        <f>SUM(C140:C142)</f>
        <v>4</v>
      </c>
      <c r="D143" s="221"/>
      <c r="E143" s="221">
        <f>SUM(E140:E142)</f>
        <v>433.33199999999999</v>
      </c>
      <c r="F143" s="221">
        <f>SUM(F140:F142)</f>
        <v>75.206380165289261</v>
      </c>
      <c r="G143" s="221">
        <f>SUM(G140:G142)</f>
        <v>358.12561983471073</v>
      </c>
      <c r="I143" s="144" t="s">
        <v>156</v>
      </c>
      <c r="J143" s="145">
        <f>SUM(J140:J142)</f>
        <v>4</v>
      </c>
      <c r="K143" s="221"/>
      <c r="L143" s="221">
        <f>SUM(L140:L142)</f>
        <v>433.33199999999999</v>
      </c>
      <c r="M143" s="221">
        <f>SUM(M140:M142)</f>
        <v>75.206380165289261</v>
      </c>
      <c r="N143" s="221">
        <f>SUM(N140:N142)</f>
        <v>358.12561983471073</v>
      </c>
    </row>
    <row r="144" spans="2:15" x14ac:dyDescent="0.3">
      <c r="B144" s="143" t="s">
        <v>242</v>
      </c>
      <c r="F144"/>
      <c r="I144" s="143" t="s">
        <v>242</v>
      </c>
    </row>
    <row r="145" spans="2:14" x14ac:dyDescent="0.3">
      <c r="B145" s="143" t="s">
        <v>243</v>
      </c>
      <c r="C145" s="11"/>
      <c r="D145" s="11"/>
      <c r="E145" s="11"/>
      <c r="F145" s="11"/>
      <c r="I145" s="143" t="s">
        <v>243</v>
      </c>
      <c r="J145" s="11"/>
      <c r="K145" s="11"/>
      <c r="L145" s="11"/>
      <c r="M145" s="11"/>
    </row>
    <row r="146" spans="2:14" x14ac:dyDescent="0.3">
      <c r="B146" t="s">
        <v>287</v>
      </c>
      <c r="C146" s="133"/>
      <c r="D146" s="134"/>
      <c r="E146" s="135"/>
      <c r="F146" s="135"/>
      <c r="G146" s="135"/>
      <c r="I146" t="s">
        <v>288</v>
      </c>
    </row>
    <row r="148" spans="2:14" x14ac:dyDescent="0.3">
      <c r="B148" s="2" t="s">
        <v>265</v>
      </c>
      <c r="I148" s="2" t="s">
        <v>266</v>
      </c>
      <c r="M148" s="12"/>
    </row>
    <row r="149" spans="2:14" x14ac:dyDescent="0.3">
      <c r="B149" s="134" t="s">
        <v>234</v>
      </c>
      <c r="C149" s="12"/>
      <c r="D149" s="12"/>
      <c r="E149" s="12"/>
      <c r="I149" s="134" t="s">
        <v>234</v>
      </c>
      <c r="J149" s="12"/>
      <c r="K149" s="12"/>
      <c r="L149" s="12"/>
      <c r="M149" s="12"/>
    </row>
    <row r="150" spans="2:14" x14ac:dyDescent="0.3">
      <c r="B150" s="2" t="s">
        <v>134</v>
      </c>
      <c r="C150" s="135"/>
      <c r="D150" s="135"/>
      <c r="E150" s="135"/>
      <c r="I150" s="2" t="s">
        <v>134</v>
      </c>
      <c r="J150" s="135"/>
      <c r="K150" s="135"/>
      <c r="L150" s="135"/>
      <c r="M150" s="12"/>
    </row>
    <row r="151" spans="2:14" ht="28.8" x14ac:dyDescent="0.3">
      <c r="B151" s="136" t="s">
        <v>235</v>
      </c>
      <c r="C151" s="137" t="s">
        <v>12</v>
      </c>
      <c r="D151" s="137" t="s">
        <v>236</v>
      </c>
      <c r="E151" s="137" t="s">
        <v>237</v>
      </c>
      <c r="F151" s="137" t="s">
        <v>226</v>
      </c>
      <c r="G151" s="137" t="s">
        <v>238</v>
      </c>
      <c r="I151" s="136" t="s">
        <v>235</v>
      </c>
      <c r="J151" s="137" t="s">
        <v>12</v>
      </c>
      <c r="K151" s="137" t="s">
        <v>236</v>
      </c>
      <c r="L151" s="137" t="s">
        <v>237</v>
      </c>
      <c r="M151" s="137" t="s">
        <v>226</v>
      </c>
      <c r="N151" s="137" t="s">
        <v>238</v>
      </c>
    </row>
    <row r="152" spans="2:14" x14ac:dyDescent="0.3">
      <c r="B152" s="138" t="s">
        <v>239</v>
      </c>
      <c r="C152" s="141">
        <v>8</v>
      </c>
      <c r="D152" s="220">
        <v>108.333</v>
      </c>
      <c r="E152" s="220">
        <f>+D152*C152</f>
        <v>866.66399999999999</v>
      </c>
      <c r="F152" s="220">
        <f>+E152-G152</f>
        <v>150.41276033057852</v>
      </c>
      <c r="G152" s="220">
        <f>+E152/1.21</f>
        <v>716.25123966942147</v>
      </c>
      <c r="I152" s="138" t="s">
        <v>239</v>
      </c>
      <c r="J152" s="141">
        <v>5</v>
      </c>
      <c r="K152" s="220">
        <v>72.16</v>
      </c>
      <c r="L152" s="220">
        <f>+K152*J152</f>
        <v>360.79999999999995</v>
      </c>
      <c r="M152" s="220">
        <f>+L152-N152</f>
        <v>62.618181818181824</v>
      </c>
      <c r="N152" s="220">
        <f>+L152/1.21</f>
        <v>298.18181818181813</v>
      </c>
    </row>
    <row r="153" spans="2:14" x14ac:dyDescent="0.3">
      <c r="B153" s="138" t="s">
        <v>240</v>
      </c>
      <c r="C153" s="141">
        <v>10</v>
      </c>
      <c r="D153" s="220">
        <v>108.333</v>
      </c>
      <c r="E153" s="220">
        <f>+D153*C153</f>
        <v>1083.33</v>
      </c>
      <c r="F153" s="220">
        <f>+E153-G153</f>
        <v>188.01595041322309</v>
      </c>
      <c r="G153" s="220">
        <f>+E153/1.21</f>
        <v>895.31404958677683</v>
      </c>
      <c r="I153" s="138" t="s">
        <v>240</v>
      </c>
      <c r="J153" s="141">
        <v>8</v>
      </c>
      <c r="K153" s="220">
        <v>107</v>
      </c>
      <c r="L153" s="220">
        <f>+K153*J153</f>
        <v>856</v>
      </c>
      <c r="M153" s="220">
        <f>+L153-N153</f>
        <v>148.56198347107431</v>
      </c>
      <c r="N153" s="220">
        <f>+L153/1.21</f>
        <v>707.43801652892569</v>
      </c>
    </row>
    <row r="154" spans="2:14" x14ac:dyDescent="0.3">
      <c r="B154" s="138" t="s">
        <v>241</v>
      </c>
      <c r="C154" s="141"/>
      <c r="D154" s="220"/>
      <c r="E154" s="220">
        <f>+D154*C154</f>
        <v>0</v>
      </c>
      <c r="F154" s="220">
        <f>+E154-G154</f>
        <v>0</v>
      </c>
      <c r="G154" s="220">
        <f>+E154/1.21</f>
        <v>0</v>
      </c>
      <c r="I154" s="138" t="s">
        <v>241</v>
      </c>
      <c r="J154" s="141"/>
      <c r="K154" s="220"/>
      <c r="L154" s="220">
        <f>+K154*J154</f>
        <v>0</v>
      </c>
      <c r="M154" s="220">
        <f>+L154-N154</f>
        <v>0</v>
      </c>
      <c r="N154" s="220">
        <f>+L154/1.21</f>
        <v>0</v>
      </c>
    </row>
    <row r="155" spans="2:14" x14ac:dyDescent="0.3">
      <c r="B155" s="144" t="s">
        <v>156</v>
      </c>
      <c r="C155" s="145">
        <f>SUM(C152:C154)</f>
        <v>18</v>
      </c>
      <c r="D155" s="221"/>
      <c r="E155" s="221">
        <f>SUM(E152:E154)</f>
        <v>1949.9939999999999</v>
      </c>
      <c r="F155" s="221">
        <f t="shared" ref="F155:G155" si="29">SUM(F152:F154)</f>
        <v>338.42871074380162</v>
      </c>
      <c r="G155" s="221">
        <f t="shared" si="29"/>
        <v>1611.5652892561984</v>
      </c>
      <c r="I155" s="144" t="s">
        <v>156</v>
      </c>
      <c r="J155" s="145">
        <f>SUM(J152:J154)</f>
        <v>13</v>
      </c>
      <c r="K155" s="221"/>
      <c r="L155" s="221">
        <f>SUM(L152:L154)</f>
        <v>1216.8</v>
      </c>
      <c r="M155" s="221">
        <f t="shared" ref="M155:N155" si="30">SUM(M152:M154)</f>
        <v>211.18016528925614</v>
      </c>
      <c r="N155" s="221">
        <f t="shared" si="30"/>
        <v>1005.6198347107438</v>
      </c>
    </row>
    <row r="156" spans="2:14" x14ac:dyDescent="0.3">
      <c r="B156" s="143" t="s">
        <v>242</v>
      </c>
      <c r="I156" s="143" t="s">
        <v>242</v>
      </c>
      <c r="M156" s="12"/>
    </row>
    <row r="157" spans="2:14" x14ac:dyDescent="0.3">
      <c r="B157" s="143" t="s">
        <v>243</v>
      </c>
      <c r="C157" s="11"/>
      <c r="D157" s="11"/>
      <c r="E157" s="11"/>
      <c r="I157" s="143" t="s">
        <v>243</v>
      </c>
      <c r="J157" s="11"/>
      <c r="K157" s="11"/>
      <c r="L157" s="256"/>
      <c r="M157" s="12"/>
    </row>
    <row r="158" spans="2:14" x14ac:dyDescent="0.3">
      <c r="B158" t="s">
        <v>289</v>
      </c>
      <c r="I158" t="s">
        <v>290</v>
      </c>
    </row>
    <row r="159" spans="2:14" x14ac:dyDescent="0.3">
      <c r="B159" t="s">
        <v>291</v>
      </c>
      <c r="I159" t="s">
        <v>292</v>
      </c>
    </row>
    <row r="160" spans="2:14" x14ac:dyDescent="0.3">
      <c r="M160" s="260"/>
      <c r="N160" s="254"/>
    </row>
    <row r="161" spans="2:14" x14ac:dyDescent="0.3">
      <c r="D161" s="12"/>
      <c r="E161" s="12"/>
      <c r="N161" s="254"/>
    </row>
    <row r="162" spans="2:14" x14ac:dyDescent="0.3">
      <c r="B162" s="147" t="s">
        <v>293</v>
      </c>
      <c r="C162" s="147"/>
      <c r="D162" s="12"/>
      <c r="E162" s="12"/>
    </row>
    <row r="163" spans="2:14" x14ac:dyDescent="0.3">
      <c r="B163" s="147" t="s">
        <v>294</v>
      </c>
      <c r="C163" s="265">
        <f>+L155+E155+L143+E143+L129+E129+E117+L117+L105+E105+L63+E63+L48+E48+E32+L13+E13</f>
        <v>13888.996200000001</v>
      </c>
      <c r="E163" s="12"/>
      <c r="K163" s="1"/>
    </row>
    <row r="164" spans="2:14" x14ac:dyDescent="0.3">
      <c r="B164" s="147" t="s">
        <v>226</v>
      </c>
      <c r="C164" s="265">
        <f>+M155+F155+M143+F143+M129+F129+F117+M117+M105+F105+M63+F63+M48+F48+F32+M13+F13+F78+M78+F90</f>
        <v>5064.2303900826437</v>
      </c>
      <c r="D164" s="12"/>
      <c r="E164" s="12"/>
    </row>
    <row r="166" spans="2:14" x14ac:dyDescent="0.3">
      <c r="B166" s="2" t="s">
        <v>295</v>
      </c>
      <c r="K166" s="1"/>
    </row>
    <row r="167" spans="2:14" x14ac:dyDescent="0.3">
      <c r="K167" s="1"/>
    </row>
    <row r="168" spans="2:14" x14ac:dyDescent="0.3">
      <c r="K168" s="1"/>
    </row>
    <row r="169" spans="2:14" x14ac:dyDescent="0.3">
      <c r="K169" s="1"/>
      <c r="L169" s="1"/>
    </row>
  </sheetData>
  <mergeCells count="6">
    <mergeCell ref="B5:N5"/>
    <mergeCell ref="B96:N96"/>
    <mergeCell ref="B24:N24"/>
    <mergeCell ref="B39:N39"/>
    <mergeCell ref="B135:N135"/>
    <mergeCell ref="B70:N7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L51"/>
  <sheetViews>
    <sheetView workbookViewId="0">
      <selection activeCell="M8" sqref="M8"/>
    </sheetView>
  </sheetViews>
  <sheetFormatPr defaultColWidth="11" defaultRowHeight="15.6" x14ac:dyDescent="0.3"/>
  <cols>
    <col min="1" max="1" width="3" customWidth="1"/>
    <col min="2" max="2" width="19" customWidth="1"/>
    <col min="4" max="4" width="11.19921875" bestFit="1" customWidth="1"/>
    <col min="5" max="5" width="17.3984375" customWidth="1"/>
    <col min="6" max="6" width="5.3984375" customWidth="1"/>
    <col min="7" max="7" width="19.59765625" customWidth="1"/>
  </cols>
  <sheetData>
    <row r="1" spans="2:12" x14ac:dyDescent="0.3">
      <c r="B1" s="2" t="s">
        <v>296</v>
      </c>
    </row>
    <row r="2" spans="2:12" x14ac:dyDescent="0.3">
      <c r="B2" s="2" t="str">
        <f>+'A1. Firmas Consultoras'!B2</f>
        <v>Componente 1: Fortalecimiento de la gestión de riesgo de la AFIP</v>
      </c>
    </row>
    <row r="3" spans="2:12" x14ac:dyDescent="0.3">
      <c r="B3" s="2"/>
    </row>
    <row r="4" spans="2:12" x14ac:dyDescent="0.3">
      <c r="B4" s="615" t="s">
        <v>257</v>
      </c>
      <c r="C4" s="615"/>
      <c r="D4" s="615"/>
      <c r="E4" s="615"/>
      <c r="F4" s="615"/>
      <c r="G4" s="615"/>
      <c r="H4" s="615"/>
      <c r="I4" s="615"/>
      <c r="J4" s="615"/>
      <c r="L4" s="1"/>
    </row>
    <row r="5" spans="2:12" x14ac:dyDescent="0.3">
      <c r="B5" s="2" t="s">
        <v>232</v>
      </c>
      <c r="G5" s="2" t="s">
        <v>232</v>
      </c>
      <c r="L5" s="1"/>
    </row>
    <row r="6" spans="2:12" x14ac:dyDescent="0.3">
      <c r="B6" s="134" t="s">
        <v>234</v>
      </c>
      <c r="C6" s="12"/>
      <c r="D6" s="12"/>
      <c r="E6" s="12"/>
      <c r="G6" s="134" t="s">
        <v>234</v>
      </c>
      <c r="L6" s="1"/>
    </row>
    <row r="7" spans="2:12" x14ac:dyDescent="0.3">
      <c r="B7" s="2" t="s">
        <v>134</v>
      </c>
      <c r="C7" s="135"/>
      <c r="D7" s="135"/>
      <c r="E7" s="135"/>
      <c r="G7" s="2" t="s">
        <v>134</v>
      </c>
      <c r="L7" s="1"/>
    </row>
    <row r="8" spans="2:12" ht="28.8" x14ac:dyDescent="0.3">
      <c r="B8" s="136" t="s">
        <v>235</v>
      </c>
      <c r="C8" s="137" t="s">
        <v>12</v>
      </c>
      <c r="D8" s="137" t="s">
        <v>236</v>
      </c>
      <c r="E8" s="137" t="s">
        <v>237</v>
      </c>
      <c r="G8" s="136" t="s">
        <v>235</v>
      </c>
      <c r="H8" s="137" t="s">
        <v>12</v>
      </c>
      <c r="I8" s="137" t="s">
        <v>236</v>
      </c>
      <c r="J8" s="137" t="s">
        <v>237</v>
      </c>
      <c r="L8" s="1"/>
    </row>
    <row r="9" spans="2:12" x14ac:dyDescent="0.3">
      <c r="B9" s="138" t="s">
        <v>239</v>
      </c>
      <c r="C9" s="141">
        <v>0</v>
      </c>
      <c r="D9" s="220">
        <v>0</v>
      </c>
      <c r="E9" s="220">
        <f>+D9*C9</f>
        <v>0</v>
      </c>
      <c r="G9" s="138" t="s">
        <v>239</v>
      </c>
      <c r="H9" s="141">
        <v>0</v>
      </c>
      <c r="I9" s="220">
        <v>0</v>
      </c>
      <c r="J9" s="220">
        <f>+I9*H9</f>
        <v>0</v>
      </c>
      <c r="L9" s="1"/>
    </row>
    <row r="10" spans="2:12" x14ac:dyDescent="0.3">
      <c r="B10" s="138" t="s">
        <v>240</v>
      </c>
      <c r="C10" s="141">
        <v>1</v>
      </c>
      <c r="D10" s="220">
        <f>72222/1000</f>
        <v>72.221999999999994</v>
      </c>
      <c r="E10" s="220">
        <f>+D10*C10</f>
        <v>72.221999999999994</v>
      </c>
      <c r="G10" s="138" t="s">
        <v>240</v>
      </c>
      <c r="H10" s="141">
        <v>2</v>
      </c>
      <c r="I10" s="220">
        <f>72222/1000</f>
        <v>72.221999999999994</v>
      </c>
      <c r="J10" s="220">
        <f>+I10*H10</f>
        <v>144.44399999999999</v>
      </c>
      <c r="L10" s="1"/>
    </row>
    <row r="11" spans="2:12" x14ac:dyDescent="0.3">
      <c r="B11" s="138" t="s">
        <v>241</v>
      </c>
      <c r="C11" s="141">
        <v>0</v>
      </c>
      <c r="D11" s="220">
        <v>0</v>
      </c>
      <c r="E11" s="220">
        <f>+D11*C11</f>
        <v>0</v>
      </c>
      <c r="G11" s="138" t="s">
        <v>241</v>
      </c>
      <c r="H11" s="141">
        <v>0</v>
      </c>
      <c r="I11" s="220">
        <v>0</v>
      </c>
      <c r="J11" s="220">
        <f>+I11*H11</f>
        <v>0</v>
      </c>
      <c r="L11" s="1"/>
    </row>
    <row r="12" spans="2:12" x14ac:dyDescent="0.3">
      <c r="B12" s="144" t="s">
        <v>156</v>
      </c>
      <c r="C12" s="145">
        <f>SUM(C9:C11)</f>
        <v>1</v>
      </c>
      <c r="D12" s="146"/>
      <c r="E12" s="221">
        <f>SUM(E9:E11)</f>
        <v>72.221999999999994</v>
      </c>
      <c r="G12" s="144" t="s">
        <v>156</v>
      </c>
      <c r="H12" s="145">
        <f>SUM(H9:H11)</f>
        <v>2</v>
      </c>
      <c r="I12" s="146"/>
      <c r="J12" s="221">
        <f>SUM(J9:J11)</f>
        <v>144.44399999999999</v>
      </c>
      <c r="L12" s="1"/>
    </row>
    <row r="13" spans="2:12" x14ac:dyDescent="0.3">
      <c r="B13" s="143" t="s">
        <v>297</v>
      </c>
      <c r="G13" s="143" t="s">
        <v>297</v>
      </c>
    </row>
    <row r="14" spans="2:12" x14ac:dyDescent="0.3">
      <c r="B14" s="143" t="s">
        <v>243</v>
      </c>
      <c r="C14" s="11"/>
      <c r="D14" s="11"/>
      <c r="E14" s="11"/>
      <c r="G14" s="143" t="s">
        <v>243</v>
      </c>
      <c r="J14" s="11"/>
      <c r="L14" s="1"/>
    </row>
    <row r="15" spans="2:12" x14ac:dyDescent="0.3">
      <c r="B15" t="s">
        <v>298</v>
      </c>
      <c r="G15" t="s">
        <v>299</v>
      </c>
    </row>
    <row r="16" spans="2:12" x14ac:dyDescent="0.3">
      <c r="L16" s="1"/>
    </row>
    <row r="17" spans="2:10" x14ac:dyDescent="0.3">
      <c r="B17" s="2" t="str">
        <f>+'Presupuesto_Productos (POD)'!B51</f>
        <v>Componente 3: Mejora de los servicios de atención al contribuyente y del modelo de gestión, de planificación y desarrollo de servicios de las áreas centrales de la AFIP</v>
      </c>
    </row>
    <row r="18" spans="2:10" x14ac:dyDescent="0.3">
      <c r="B18" s="615" t="s">
        <v>300</v>
      </c>
      <c r="C18" s="615"/>
      <c r="D18" s="615"/>
      <c r="E18" s="615"/>
      <c r="F18" s="615"/>
      <c r="G18" s="615"/>
      <c r="H18" s="615"/>
      <c r="I18" s="615"/>
      <c r="J18" s="615"/>
    </row>
    <row r="19" spans="2:10" x14ac:dyDescent="0.3">
      <c r="B19" s="139" t="s">
        <v>285</v>
      </c>
      <c r="G19" s="139" t="s">
        <v>286</v>
      </c>
    </row>
    <row r="20" spans="2:10" x14ac:dyDescent="0.3">
      <c r="B20" s="134" t="s">
        <v>234</v>
      </c>
      <c r="C20" s="12"/>
      <c r="D20" s="12"/>
      <c r="E20" s="12"/>
      <c r="G20" s="134" t="s">
        <v>234</v>
      </c>
      <c r="H20" s="12"/>
      <c r="I20" s="12"/>
      <c r="J20" s="12"/>
    </row>
    <row r="21" spans="2:10" x14ac:dyDescent="0.3">
      <c r="B21" s="2" t="s">
        <v>134</v>
      </c>
      <c r="C21" s="135"/>
      <c r="D21" s="135"/>
      <c r="E21" s="135"/>
      <c r="G21" s="2" t="s">
        <v>134</v>
      </c>
      <c r="H21" s="135"/>
      <c r="I21" s="135"/>
      <c r="J21" s="135"/>
    </row>
    <row r="22" spans="2:10" ht="28.8" x14ac:dyDescent="0.3">
      <c r="B22" s="136" t="s">
        <v>235</v>
      </c>
      <c r="C22" s="137" t="s">
        <v>12</v>
      </c>
      <c r="D22" s="137" t="s">
        <v>236</v>
      </c>
      <c r="E22" s="137" t="s">
        <v>237</v>
      </c>
      <c r="G22" s="136" t="s">
        <v>235</v>
      </c>
      <c r="H22" s="137" t="s">
        <v>12</v>
      </c>
      <c r="I22" s="137" t="s">
        <v>236</v>
      </c>
      <c r="J22" s="137" t="s">
        <v>237</v>
      </c>
    </row>
    <row r="23" spans="2:10" x14ac:dyDescent="0.3">
      <c r="B23" s="138" t="s">
        <v>239</v>
      </c>
      <c r="C23" s="141">
        <v>9</v>
      </c>
      <c r="D23" s="220">
        <f>216666.4/1000</f>
        <v>216.66639999999998</v>
      </c>
      <c r="E23" s="220">
        <f>+D23*C23</f>
        <v>1949.9975999999999</v>
      </c>
      <c r="G23" s="138"/>
      <c r="H23" s="141"/>
      <c r="I23" s="220"/>
      <c r="J23" s="220"/>
    </row>
    <row r="24" spans="2:10" x14ac:dyDescent="0.3">
      <c r="B24" s="138" t="s">
        <v>240</v>
      </c>
      <c r="C24" s="141">
        <v>9</v>
      </c>
      <c r="D24" s="220">
        <f>216666.4/1000</f>
        <v>216.66639999999998</v>
      </c>
      <c r="E24" s="220">
        <f>+D24*C24</f>
        <v>1949.9975999999999</v>
      </c>
      <c r="G24" s="138" t="s">
        <v>240</v>
      </c>
      <c r="H24" s="141">
        <v>6</v>
      </c>
      <c r="I24" s="220">
        <v>72.221999999999994</v>
      </c>
      <c r="J24" s="220">
        <f>+I24*H24</f>
        <v>433.33199999999999</v>
      </c>
    </row>
    <row r="25" spans="2:10" x14ac:dyDescent="0.3">
      <c r="B25" s="138" t="s">
        <v>241</v>
      </c>
      <c r="C25" s="141">
        <v>3</v>
      </c>
      <c r="D25" s="220">
        <f>216666.4/1000</f>
        <v>216.66639999999998</v>
      </c>
      <c r="E25" s="220">
        <f>+D25*C25</f>
        <v>649.99919999999997</v>
      </c>
      <c r="F25" s="135"/>
      <c r="G25" s="138" t="s">
        <v>241</v>
      </c>
      <c r="H25" s="141">
        <v>2</v>
      </c>
      <c r="I25" s="220">
        <v>72.221999999999994</v>
      </c>
      <c r="J25" s="220">
        <f>+I25*H25</f>
        <v>144.44399999999999</v>
      </c>
    </row>
    <row r="26" spans="2:10" x14ac:dyDescent="0.3">
      <c r="B26" s="144" t="s">
        <v>156</v>
      </c>
      <c r="C26" s="145">
        <f>SUM(C23:C25)</f>
        <v>21</v>
      </c>
      <c r="D26" s="146"/>
      <c r="E26" s="221">
        <f>SUM(E23:E25)</f>
        <v>4549.9943999999996</v>
      </c>
      <c r="G26" s="144" t="s">
        <v>156</v>
      </c>
      <c r="H26" s="145">
        <f>SUM(H23:H25)</f>
        <v>8</v>
      </c>
      <c r="I26" s="146"/>
      <c r="J26" s="221">
        <f>SUM(J23:J25)</f>
        <v>577.77599999999995</v>
      </c>
    </row>
    <row r="27" spans="2:10" x14ac:dyDescent="0.3">
      <c r="B27" s="143" t="s">
        <v>297</v>
      </c>
      <c r="G27" s="143" t="s">
        <v>297</v>
      </c>
    </row>
    <row r="28" spans="2:10" x14ac:dyDescent="0.3">
      <c r="B28" s="143" t="s">
        <v>243</v>
      </c>
      <c r="C28" s="11"/>
      <c r="D28" s="11"/>
      <c r="E28" s="11"/>
      <c r="G28" s="143" t="s">
        <v>243</v>
      </c>
      <c r="H28" s="11"/>
      <c r="I28" s="11"/>
      <c r="J28" s="11"/>
    </row>
    <row r="29" spans="2:10" x14ac:dyDescent="0.3">
      <c r="B29" t="s">
        <v>301</v>
      </c>
      <c r="G29" t="s">
        <v>104</v>
      </c>
    </row>
    <row r="30" spans="2:10" x14ac:dyDescent="0.3">
      <c r="B30" t="s">
        <v>302</v>
      </c>
      <c r="G30" s="135"/>
    </row>
    <row r="31" spans="2:10" x14ac:dyDescent="0.3">
      <c r="B31" t="s">
        <v>303</v>
      </c>
      <c r="G31" s="135"/>
    </row>
    <row r="32" spans="2:10" x14ac:dyDescent="0.3">
      <c r="B32" t="s">
        <v>304</v>
      </c>
    </row>
    <row r="33" spans="2:10" x14ac:dyDescent="0.3">
      <c r="B33" t="s">
        <v>305</v>
      </c>
    </row>
    <row r="34" spans="2:10" x14ac:dyDescent="0.3">
      <c r="B34" t="s">
        <v>306</v>
      </c>
    </row>
    <row r="36" spans="2:10" x14ac:dyDescent="0.3">
      <c r="B36" s="139" t="s">
        <v>307</v>
      </c>
    </row>
    <row r="37" spans="2:10" x14ac:dyDescent="0.3">
      <c r="B37" s="134" t="s">
        <v>234</v>
      </c>
    </row>
    <row r="38" spans="2:10" x14ac:dyDescent="0.3">
      <c r="B38" s="2" t="s">
        <v>134</v>
      </c>
      <c r="C38" s="134"/>
      <c r="D38" s="134"/>
      <c r="E38" s="134"/>
      <c r="F38" s="134"/>
      <c r="J38" s="1"/>
    </row>
    <row r="39" spans="2:10" ht="28.8" x14ac:dyDescent="0.3">
      <c r="B39" s="136" t="s">
        <v>235</v>
      </c>
      <c r="C39" s="137" t="s">
        <v>12</v>
      </c>
      <c r="D39" s="137" t="s">
        <v>236</v>
      </c>
      <c r="E39" s="137" t="s">
        <v>237</v>
      </c>
      <c r="F39" s="134"/>
    </row>
    <row r="40" spans="2:10" x14ac:dyDescent="0.3">
      <c r="B40" s="138" t="s">
        <v>239</v>
      </c>
      <c r="C40" s="141">
        <v>0</v>
      </c>
      <c r="D40" s="220"/>
      <c r="E40" s="220">
        <f>+D40*C40</f>
        <v>0</v>
      </c>
    </row>
    <row r="41" spans="2:10" x14ac:dyDescent="0.3">
      <c r="B41" s="138" t="s">
        <v>240</v>
      </c>
      <c r="C41" s="141">
        <v>1</v>
      </c>
      <c r="D41" s="220">
        <f>216666.4/1000</f>
        <v>216.66639999999998</v>
      </c>
      <c r="E41" s="220">
        <f>+D41*C41</f>
        <v>216.66639999999998</v>
      </c>
    </row>
    <row r="42" spans="2:10" x14ac:dyDescent="0.3">
      <c r="B42" s="138" t="s">
        <v>241</v>
      </c>
      <c r="C42" s="141">
        <v>0</v>
      </c>
      <c r="D42" s="220"/>
      <c r="E42" s="220">
        <f>+D42*C42</f>
        <v>0</v>
      </c>
      <c r="J42" s="1"/>
    </row>
    <row r="43" spans="2:10" x14ac:dyDescent="0.3">
      <c r="B43" s="144" t="s">
        <v>156</v>
      </c>
      <c r="C43" s="145">
        <f>SUM(C40:C42)</f>
        <v>1</v>
      </c>
      <c r="D43" s="146"/>
      <c r="E43" s="221">
        <f>SUM(E40:E42)</f>
        <v>216.66639999999998</v>
      </c>
    </row>
    <row r="44" spans="2:10" x14ac:dyDescent="0.3">
      <c r="B44" s="143" t="s">
        <v>297</v>
      </c>
    </row>
    <row r="45" spans="2:10" x14ac:dyDescent="0.3">
      <c r="B45" s="143" t="s">
        <v>243</v>
      </c>
    </row>
    <row r="46" spans="2:10" x14ac:dyDescent="0.3">
      <c r="B46" s="134" t="s">
        <v>308</v>
      </c>
    </row>
    <row r="47" spans="2:10" x14ac:dyDescent="0.3">
      <c r="B47" s="134" t="s">
        <v>309</v>
      </c>
    </row>
    <row r="48" spans="2:10" x14ac:dyDescent="0.3">
      <c r="B48" s="134"/>
    </row>
    <row r="49" spans="2:5" x14ac:dyDescent="0.3">
      <c r="B49" s="147" t="s">
        <v>310</v>
      </c>
      <c r="C49" s="147"/>
      <c r="D49" s="264">
        <f>+E43+J26+E26+J12+E12</f>
        <v>5561.1027999999997</v>
      </c>
      <c r="E49" s="1"/>
    </row>
    <row r="51" spans="2:5" x14ac:dyDescent="0.3">
      <c r="B51" s="2" t="s">
        <v>311</v>
      </c>
    </row>
  </sheetData>
  <mergeCells count="2">
    <mergeCell ref="B4:J4"/>
    <mergeCell ref="B18:J1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D17"/>
  <sheetViews>
    <sheetView zoomScale="110" zoomScaleNormal="110" workbookViewId="0">
      <selection activeCell="C17" sqref="C17"/>
    </sheetView>
  </sheetViews>
  <sheetFormatPr defaultColWidth="11" defaultRowHeight="14.4" x14ac:dyDescent="0.3"/>
  <cols>
    <col min="1" max="1" width="2.19921875" style="14" customWidth="1"/>
    <col min="2" max="2" width="48.3984375" style="14" customWidth="1"/>
    <col min="3" max="3" width="17.09765625" style="14" bestFit="1" customWidth="1"/>
    <col min="4" max="4" width="14.3984375" style="14" customWidth="1"/>
    <col min="5" max="5" width="4" style="14" customWidth="1"/>
    <col min="6" max="6" width="72.19921875" style="14" customWidth="1"/>
    <col min="7" max="7" width="8.69921875" style="14" customWidth="1"/>
    <col min="8" max="8" width="14.09765625" style="14" customWidth="1"/>
    <col min="9" max="16384" width="11" style="14"/>
  </cols>
  <sheetData>
    <row r="1" spans="2:4" ht="21.75" customHeight="1" x14ac:dyDescent="0.35">
      <c r="B1" s="13" t="s">
        <v>312</v>
      </c>
      <c r="C1" s="13"/>
      <c r="D1" s="13"/>
    </row>
    <row r="2" spans="2:4" ht="26.25" customHeight="1" x14ac:dyDescent="0.35">
      <c r="B2" s="13" t="str">
        <f>+'Presupuesto_Productos (POD)'!B14</f>
        <v>Subcomponente 1.2: Fortalecimiento de los controles aduaneros y nueva estrategia de control mediante el uso de medios no intrusivos y una gestión de riesgo integral.</v>
      </c>
      <c r="C2" s="451"/>
      <c r="D2" s="451"/>
    </row>
    <row r="3" spans="2:4" ht="18" x14ac:dyDescent="0.35">
      <c r="B3" s="13" t="s">
        <v>313</v>
      </c>
      <c r="C3" s="451"/>
      <c r="D3" s="451"/>
    </row>
    <row r="4" spans="2:4" ht="20.25" customHeight="1" x14ac:dyDescent="0.3">
      <c r="B4" s="2" t="s">
        <v>134</v>
      </c>
      <c r="C4" s="451"/>
      <c r="D4" s="451"/>
    </row>
    <row r="5" spans="2:4" x14ac:dyDescent="0.3">
      <c r="B5" s="452" t="s">
        <v>314</v>
      </c>
      <c r="C5" s="452" t="s">
        <v>315</v>
      </c>
      <c r="D5" s="452" t="s">
        <v>316</v>
      </c>
    </row>
    <row r="6" spans="2:4" ht="28.8" x14ac:dyDescent="0.3">
      <c r="B6" s="453" t="s">
        <v>313</v>
      </c>
      <c r="C6" s="454">
        <f>+D6/1.21</f>
        <v>10132.231404958678</v>
      </c>
      <c r="D6" s="454">
        <v>12260</v>
      </c>
    </row>
    <row r="7" spans="2:4" x14ac:dyDescent="0.3">
      <c r="B7" s="344" t="s">
        <v>317</v>
      </c>
      <c r="C7" s="222">
        <f>+C6</f>
        <v>10132.231404958678</v>
      </c>
      <c r="D7" s="222">
        <f>+D6</f>
        <v>12260</v>
      </c>
    </row>
    <row r="8" spans="2:4" x14ac:dyDescent="0.3">
      <c r="B8" s="451"/>
      <c r="C8" s="455"/>
      <c r="D8" s="451"/>
    </row>
    <row r="9" spans="2:4" ht="18" x14ac:dyDescent="0.35">
      <c r="B9" s="13" t="s">
        <v>43</v>
      </c>
      <c r="C9" s="451"/>
      <c r="D9" s="451"/>
    </row>
    <row r="10" spans="2:4" x14ac:dyDescent="0.3">
      <c r="B10" s="12" t="s">
        <v>2</v>
      </c>
      <c r="C10" s="451"/>
      <c r="D10" s="451"/>
    </row>
    <row r="11" spans="2:4" x14ac:dyDescent="0.3">
      <c r="B11" s="456" t="s">
        <v>318</v>
      </c>
      <c r="C11" s="452" t="s">
        <v>315</v>
      </c>
      <c r="D11" s="452" t="s">
        <v>316</v>
      </c>
    </row>
    <row r="12" spans="2:4" ht="43.2" x14ac:dyDescent="0.3">
      <c r="B12" s="453" t="s">
        <v>44</v>
      </c>
      <c r="C12" s="454">
        <f>+D12/1.21</f>
        <v>4132.2314049586776</v>
      </c>
      <c r="D12" s="454">
        <v>5000</v>
      </c>
    </row>
    <row r="13" spans="2:4" x14ac:dyDescent="0.3">
      <c r="B13" s="457" t="s">
        <v>317</v>
      </c>
      <c r="C13" s="222">
        <f>+C12</f>
        <v>4132.2314049586776</v>
      </c>
      <c r="D13" s="222">
        <f>+D12</f>
        <v>5000</v>
      </c>
    </row>
    <row r="16" spans="2:4" ht="18" x14ac:dyDescent="0.35">
      <c r="B16" s="458" t="s">
        <v>319</v>
      </c>
      <c r="C16" s="345">
        <f>+D13+D7</f>
        <v>17260</v>
      </c>
      <c r="D16" s="459"/>
    </row>
    <row r="17" spans="2:3" ht="18" x14ac:dyDescent="0.35">
      <c r="B17" s="458" t="s">
        <v>226</v>
      </c>
      <c r="C17" s="345">
        <f>+D13-C13+D7-C7</f>
        <v>2995.5371900826431</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L40"/>
  <sheetViews>
    <sheetView zoomScaleNormal="100" workbookViewId="0">
      <selection activeCell="B15" sqref="B15"/>
    </sheetView>
  </sheetViews>
  <sheetFormatPr defaultColWidth="11" defaultRowHeight="15.6" x14ac:dyDescent="0.3"/>
  <cols>
    <col min="1" max="1" width="3.59765625" style="260" customWidth="1"/>
    <col min="2" max="2" width="74.5" style="260" customWidth="1"/>
    <col min="3" max="3" width="17" style="260" customWidth="1"/>
    <col min="4" max="4" width="12.19921875" style="260" customWidth="1"/>
    <col min="5" max="5" width="4.5" style="260" customWidth="1"/>
    <col min="6" max="6" width="62.09765625" style="260" customWidth="1"/>
    <col min="7" max="7" width="12.8984375" style="260" customWidth="1"/>
    <col min="8" max="8" width="12.5" style="260" customWidth="1"/>
    <col min="9" max="9" width="11" style="260"/>
    <col min="10" max="10" width="16.69921875" style="260" customWidth="1"/>
    <col min="11" max="16384" width="11" style="260"/>
  </cols>
  <sheetData>
    <row r="1" spans="2:11" ht="26.25" customHeight="1" x14ac:dyDescent="0.35">
      <c r="B1" s="13" t="s">
        <v>320</v>
      </c>
      <c r="C1" s="13"/>
      <c r="D1" s="13"/>
      <c r="E1" s="13"/>
      <c r="F1" s="13"/>
      <c r="G1" s="13"/>
      <c r="H1" s="13"/>
    </row>
    <row r="2" spans="2:11" ht="22.5" customHeight="1" x14ac:dyDescent="0.3">
      <c r="B2" s="620" t="str">
        <f>+'Presupuesto_Productos (POD)'!B28</f>
        <v>Componente 2: Fortalecimiento de los sistemas de información de la AFIP</v>
      </c>
      <c r="C2" s="620"/>
      <c r="D2" s="620"/>
      <c r="F2" s="620" t="str">
        <f>+'Presupuesto_Productos (POD)'!B7</f>
        <v>Subcomponente 1.1: Fortalecimiento del control y fiscalización en la administración de tributos internos</v>
      </c>
      <c r="G2" s="620"/>
      <c r="H2" s="620"/>
      <c r="I2" s="460"/>
    </row>
    <row r="3" spans="2:11" ht="18" x14ac:dyDescent="0.3">
      <c r="B3" s="295" t="s">
        <v>321</v>
      </c>
      <c r="C3" s="364"/>
      <c r="D3" s="364"/>
      <c r="E3" s="295"/>
      <c r="F3" s="295" t="s">
        <v>16</v>
      </c>
      <c r="G3" s="364"/>
      <c r="H3" s="364"/>
      <c r="I3" s="460"/>
    </row>
    <row r="4" spans="2:11" ht="18" x14ac:dyDescent="0.35">
      <c r="B4" s="295" t="s">
        <v>134</v>
      </c>
      <c r="E4" s="296"/>
      <c r="F4" s="297" t="s">
        <v>134</v>
      </c>
      <c r="H4" s="460"/>
      <c r="I4" s="460"/>
    </row>
    <row r="5" spans="2:11" ht="24" customHeight="1" x14ac:dyDescent="0.3">
      <c r="B5" s="461" t="s">
        <v>318</v>
      </c>
      <c r="C5" s="462" t="s">
        <v>322</v>
      </c>
      <c r="D5" s="462" t="s">
        <v>323</v>
      </c>
      <c r="F5" s="461" t="s">
        <v>318</v>
      </c>
      <c r="G5" s="462" t="s">
        <v>322</v>
      </c>
      <c r="H5" s="462" t="s">
        <v>323</v>
      </c>
      <c r="I5" s="460"/>
    </row>
    <row r="6" spans="2:11" ht="24" customHeight="1" x14ac:dyDescent="0.3">
      <c r="B6" s="463" t="s">
        <v>61</v>
      </c>
      <c r="C6" s="464">
        <f>SUM(C7:C12)</f>
        <v>16363.636363636364</v>
      </c>
      <c r="D6" s="464">
        <f>SUM(D7:D13)</f>
        <v>21000</v>
      </c>
      <c r="F6" s="463" t="s">
        <v>324</v>
      </c>
      <c r="G6" s="465">
        <f>SUM(G7)</f>
        <v>330.57851239669424</v>
      </c>
      <c r="H6" s="465">
        <f>SUM(H7)</f>
        <v>400</v>
      </c>
      <c r="I6" s="460"/>
      <c r="K6" s="460"/>
    </row>
    <row r="7" spans="2:11" ht="43.2" x14ac:dyDescent="0.35">
      <c r="B7" s="466" t="s">
        <v>325</v>
      </c>
      <c r="C7" s="467">
        <f>+D7/1.21</f>
        <v>2479.3388429752067</v>
      </c>
      <c r="D7" s="467">
        <v>3000</v>
      </c>
      <c r="F7" s="466" t="s">
        <v>17</v>
      </c>
      <c r="G7" s="621">
        <f>+H7/1.21</f>
        <v>330.57851239669424</v>
      </c>
      <c r="H7" s="621">
        <v>400</v>
      </c>
      <c r="I7" s="460"/>
      <c r="J7" s="296"/>
      <c r="K7" s="460"/>
    </row>
    <row r="8" spans="2:11" ht="36.75" customHeight="1" x14ac:dyDescent="0.3">
      <c r="B8" s="466" t="s">
        <v>63</v>
      </c>
      <c r="C8" s="467">
        <f t="shared" ref="C8:C31" si="0">+D8/1.21</f>
        <v>6776.8595041322315</v>
      </c>
      <c r="D8" s="467">
        <v>8200</v>
      </c>
      <c r="F8" s="466" t="s">
        <v>18</v>
      </c>
      <c r="G8" s="621"/>
      <c r="H8" s="621"/>
      <c r="I8" s="468"/>
      <c r="J8" s="460"/>
      <c r="K8" s="460"/>
    </row>
    <row r="9" spans="2:11" ht="43.2" x14ac:dyDescent="0.3">
      <c r="B9" s="466" t="s">
        <v>326</v>
      </c>
      <c r="C9" s="467">
        <f t="shared" si="0"/>
        <v>2479.3388429752067</v>
      </c>
      <c r="D9" s="467">
        <v>3000</v>
      </c>
      <c r="F9" s="463" t="s">
        <v>327</v>
      </c>
      <c r="G9" s="469">
        <f>SUM(G10)</f>
        <v>2396.6942148760331</v>
      </c>
      <c r="H9" s="469">
        <f>SUM(H10)</f>
        <v>2900</v>
      </c>
      <c r="J9" s="460"/>
      <c r="K9" s="460"/>
    </row>
    <row r="10" spans="2:11" ht="43.2" x14ac:dyDescent="0.35">
      <c r="B10" s="466" t="s">
        <v>328</v>
      </c>
      <c r="C10" s="467">
        <f t="shared" si="0"/>
        <v>826.44628099173553</v>
      </c>
      <c r="D10" s="467">
        <v>1000</v>
      </c>
      <c r="F10" s="466" t="s">
        <v>19</v>
      </c>
      <c r="G10" s="621">
        <f>+H10/1.21</f>
        <v>2396.6942148760331</v>
      </c>
      <c r="H10" s="621">
        <v>2900</v>
      </c>
      <c r="J10" s="296"/>
      <c r="K10" s="460"/>
    </row>
    <row r="11" spans="2:11" ht="43.2" x14ac:dyDescent="0.3">
      <c r="B11" s="466" t="s">
        <v>329</v>
      </c>
      <c r="C11" s="467">
        <f t="shared" si="0"/>
        <v>909.09090909090912</v>
      </c>
      <c r="D11" s="467">
        <v>1100</v>
      </c>
      <c r="F11" s="466" t="s">
        <v>330</v>
      </c>
      <c r="G11" s="621"/>
      <c r="H11" s="621"/>
      <c r="J11" s="460"/>
      <c r="K11" s="460"/>
    </row>
    <row r="12" spans="2:11" ht="28.8" x14ac:dyDescent="0.3">
      <c r="B12" s="298" t="s">
        <v>67</v>
      </c>
      <c r="C12" s="467">
        <f t="shared" si="0"/>
        <v>2892.5619834710747</v>
      </c>
      <c r="D12" s="467">
        <v>3500</v>
      </c>
      <c r="F12" s="463" t="s">
        <v>331</v>
      </c>
      <c r="G12" s="469">
        <f>SUM(G13)</f>
        <v>405.78512396694214</v>
      </c>
      <c r="H12" s="469">
        <f>+H13</f>
        <v>491</v>
      </c>
      <c r="J12" s="460"/>
      <c r="K12" s="460"/>
    </row>
    <row r="13" spans="2:11" ht="39" customHeight="1" x14ac:dyDescent="0.35">
      <c r="B13" s="298" t="s">
        <v>68</v>
      </c>
      <c r="C13" s="467">
        <f t="shared" si="0"/>
        <v>991.73553719008271</v>
      </c>
      <c r="D13" s="467">
        <v>1200</v>
      </c>
      <c r="F13" s="466" t="s">
        <v>332</v>
      </c>
      <c r="G13" s="470">
        <f>+H13/1.21</f>
        <v>405.78512396694214</v>
      </c>
      <c r="H13" s="470">
        <v>491</v>
      </c>
      <c r="J13" s="296"/>
      <c r="K13" s="460"/>
    </row>
    <row r="14" spans="2:11" ht="25.5" customHeight="1" x14ac:dyDescent="0.3">
      <c r="B14" s="463" t="s">
        <v>333</v>
      </c>
      <c r="C14" s="464">
        <f>SUM(C15:C21)</f>
        <v>10247.933884297521</v>
      </c>
      <c r="D14" s="464">
        <f>SUM(D15:D21)</f>
        <v>12400</v>
      </c>
      <c r="F14" s="471" t="s">
        <v>153</v>
      </c>
      <c r="G14" s="461">
        <f>+G12+G9+G6</f>
        <v>3133.0578512396696</v>
      </c>
      <c r="H14" s="461">
        <f>+H12+H9+H6</f>
        <v>3791</v>
      </c>
      <c r="J14" s="460"/>
      <c r="K14" s="460"/>
    </row>
    <row r="15" spans="2:11" ht="56.25" customHeight="1" x14ac:dyDescent="0.3">
      <c r="B15" s="466" t="s">
        <v>71</v>
      </c>
      <c r="C15" s="467">
        <f t="shared" si="0"/>
        <v>4958.6776859504134</v>
      </c>
      <c r="D15" s="467">
        <v>6000</v>
      </c>
      <c r="F15" s="619" t="s">
        <v>334</v>
      </c>
      <c r="G15" s="619"/>
      <c r="H15" s="619"/>
      <c r="J15" s="460"/>
      <c r="K15" s="468"/>
    </row>
    <row r="16" spans="2:11" ht="57.6" x14ac:dyDescent="0.35">
      <c r="B16" s="466" t="s">
        <v>72</v>
      </c>
      <c r="C16" s="467">
        <f t="shared" si="0"/>
        <v>578.51239669421489</v>
      </c>
      <c r="D16" s="467">
        <v>700</v>
      </c>
      <c r="F16" s="466" t="s">
        <v>35</v>
      </c>
      <c r="G16" s="299">
        <f>+H16/1.21</f>
        <v>1239.6694214876034</v>
      </c>
      <c r="H16" s="299">
        <v>1500</v>
      </c>
      <c r="J16" s="296"/>
      <c r="K16" s="460"/>
    </row>
    <row r="17" spans="2:12" ht="43.2" x14ac:dyDescent="0.3">
      <c r="B17" s="466" t="s">
        <v>73</v>
      </c>
      <c r="C17" s="467">
        <f t="shared" si="0"/>
        <v>619.83471074380168</v>
      </c>
      <c r="D17" s="467">
        <v>750</v>
      </c>
      <c r="F17" s="471" t="s">
        <v>153</v>
      </c>
      <c r="G17" s="461">
        <f>+G16</f>
        <v>1239.6694214876034</v>
      </c>
      <c r="H17" s="461">
        <f>+H16</f>
        <v>1500</v>
      </c>
      <c r="I17" s="472"/>
      <c r="J17" s="472"/>
      <c r="K17" s="460"/>
    </row>
    <row r="18" spans="2:12" ht="96.75" customHeight="1" x14ac:dyDescent="0.3">
      <c r="B18" s="466" t="s">
        <v>74</v>
      </c>
      <c r="C18" s="467">
        <f t="shared" si="0"/>
        <v>330.57851239669424</v>
      </c>
      <c r="D18" s="467">
        <v>400</v>
      </c>
      <c r="F18" s="472"/>
      <c r="G18" s="472"/>
      <c r="H18" s="472"/>
      <c r="I18" s="472"/>
      <c r="J18" s="472"/>
      <c r="K18" s="460"/>
    </row>
    <row r="19" spans="2:12" ht="94.5" customHeight="1" x14ac:dyDescent="0.3">
      <c r="B19" s="466" t="s">
        <v>335</v>
      </c>
      <c r="C19" s="467">
        <f t="shared" si="0"/>
        <v>289.25619834710744</v>
      </c>
      <c r="D19" s="467">
        <v>350</v>
      </c>
      <c r="J19" s="460"/>
      <c r="K19" s="472"/>
      <c r="L19" s="460"/>
    </row>
    <row r="20" spans="2:12" ht="64.5" customHeight="1" x14ac:dyDescent="0.3">
      <c r="B20" s="466" t="s">
        <v>336</v>
      </c>
      <c r="C20" s="467">
        <f t="shared" si="0"/>
        <v>2975.2066115702482</v>
      </c>
      <c r="D20" s="467">
        <v>3600</v>
      </c>
      <c r="J20" s="460"/>
      <c r="K20" s="460"/>
      <c r="L20" s="460"/>
    </row>
    <row r="21" spans="2:12" ht="80.25" customHeight="1" x14ac:dyDescent="0.3">
      <c r="B21" s="473" t="s">
        <v>337</v>
      </c>
      <c r="C21" s="467">
        <f t="shared" si="0"/>
        <v>495.86776859504135</v>
      </c>
      <c r="D21" s="467">
        <v>600</v>
      </c>
      <c r="J21" s="460"/>
      <c r="K21" s="460"/>
      <c r="L21" s="460"/>
    </row>
    <row r="22" spans="2:12" ht="26.25" customHeight="1" x14ac:dyDescent="0.3">
      <c r="B22" s="463" t="s">
        <v>338</v>
      </c>
      <c r="C22" s="464">
        <f>SUM(C23:C30)</f>
        <v>10743.801652892564</v>
      </c>
      <c r="D22" s="464">
        <f>SUM(D23:D31)</f>
        <v>14200</v>
      </c>
      <c r="J22" s="460"/>
      <c r="K22" s="460"/>
      <c r="L22" s="460"/>
    </row>
    <row r="23" spans="2:12" ht="86.25" customHeight="1" x14ac:dyDescent="0.3">
      <c r="B23" s="466" t="s">
        <v>339</v>
      </c>
      <c r="C23" s="474">
        <f t="shared" si="0"/>
        <v>1652.8925619834711</v>
      </c>
      <c r="D23" s="467">
        <v>2000</v>
      </c>
      <c r="J23" s="460"/>
      <c r="K23" s="460"/>
      <c r="L23" s="460"/>
    </row>
    <row r="24" spans="2:12" ht="62.25" customHeight="1" x14ac:dyDescent="0.3">
      <c r="B24" s="466" t="s">
        <v>81</v>
      </c>
      <c r="C24" s="474">
        <f t="shared" si="0"/>
        <v>1652.8925619834711</v>
      </c>
      <c r="D24" s="467">
        <v>2000</v>
      </c>
      <c r="K24" s="460"/>
      <c r="L24" s="460"/>
    </row>
    <row r="25" spans="2:12" ht="44.25" customHeight="1" x14ac:dyDescent="0.3">
      <c r="B25" s="466" t="s">
        <v>340</v>
      </c>
      <c r="C25" s="474">
        <f t="shared" si="0"/>
        <v>1239.6694214876034</v>
      </c>
      <c r="D25" s="467">
        <v>1500</v>
      </c>
      <c r="K25" s="460"/>
      <c r="L25" s="460"/>
    </row>
    <row r="26" spans="2:12" ht="53.25" customHeight="1" x14ac:dyDescent="0.3">
      <c r="B26" s="466" t="s">
        <v>341</v>
      </c>
      <c r="C26" s="474">
        <f t="shared" si="0"/>
        <v>1239.6694214876034</v>
      </c>
      <c r="D26" s="467">
        <v>1500</v>
      </c>
      <c r="K26" s="472"/>
      <c r="L26" s="460"/>
    </row>
    <row r="27" spans="2:12" ht="66" customHeight="1" x14ac:dyDescent="0.3">
      <c r="B27" s="466" t="s">
        <v>342</v>
      </c>
      <c r="C27" s="474">
        <f t="shared" si="0"/>
        <v>1404.9586776859505</v>
      </c>
      <c r="D27" s="467">
        <v>1700</v>
      </c>
    </row>
    <row r="28" spans="2:12" ht="72" x14ac:dyDescent="0.3">
      <c r="B28" s="466" t="s">
        <v>343</v>
      </c>
      <c r="C28" s="474">
        <f t="shared" si="0"/>
        <v>661.15702479338847</v>
      </c>
      <c r="D28" s="467">
        <v>800</v>
      </c>
    </row>
    <row r="29" spans="2:12" x14ac:dyDescent="0.3">
      <c r="B29" s="300" t="s">
        <v>86</v>
      </c>
      <c r="C29" s="474">
        <f t="shared" si="0"/>
        <v>2479.3388429752067</v>
      </c>
      <c r="D29" s="467">
        <v>3000</v>
      </c>
    </row>
    <row r="30" spans="2:12" x14ac:dyDescent="0.3">
      <c r="B30" s="300" t="s">
        <v>87</v>
      </c>
      <c r="C30" s="474">
        <f t="shared" si="0"/>
        <v>413.22314049586777</v>
      </c>
      <c r="D30" s="467">
        <v>500</v>
      </c>
    </row>
    <row r="31" spans="2:12" x14ac:dyDescent="0.3">
      <c r="B31" s="343" t="s">
        <v>344</v>
      </c>
      <c r="C31" s="475">
        <f t="shared" si="0"/>
        <v>991.73553719008271</v>
      </c>
      <c r="D31" s="476">
        <v>1200</v>
      </c>
    </row>
    <row r="32" spans="2:12" ht="22.5" customHeight="1" x14ac:dyDescent="0.3">
      <c r="B32" s="477" t="s">
        <v>153</v>
      </c>
      <c r="C32" s="477">
        <f>+C22+C14+C6+C31</f>
        <v>38347.10743801653</v>
      </c>
      <c r="D32" s="477">
        <f>+D22+D14+D6</f>
        <v>47600</v>
      </c>
    </row>
    <row r="33" spans="2:12" x14ac:dyDescent="0.3">
      <c r="H33" s="460"/>
      <c r="I33" s="460"/>
      <c r="J33" s="460"/>
      <c r="K33" s="460"/>
      <c r="L33" s="460"/>
    </row>
    <row r="34" spans="2:12" x14ac:dyDescent="0.3">
      <c r="G34" s="460"/>
      <c r="H34" s="460"/>
      <c r="I34" s="460"/>
      <c r="J34" s="460"/>
      <c r="K34" s="460"/>
      <c r="L34" s="460"/>
    </row>
    <row r="35" spans="2:12" ht="18" x14ac:dyDescent="0.35">
      <c r="B35" s="478" t="s">
        <v>345</v>
      </c>
      <c r="C35" s="479">
        <f>+D32+H14+H17</f>
        <v>52891</v>
      </c>
      <c r="G35" s="460"/>
      <c r="H35" s="460"/>
      <c r="I35" s="460"/>
      <c r="J35" s="460"/>
      <c r="K35" s="460"/>
      <c r="L35" s="460"/>
    </row>
    <row r="36" spans="2:12" ht="18" x14ac:dyDescent="0.35">
      <c r="B36" s="478" t="s">
        <v>226</v>
      </c>
      <c r="C36" s="480">
        <f>+(0.21/1.21)*C35</f>
        <v>9179.4297520661166</v>
      </c>
      <c r="H36" s="460"/>
    </row>
    <row r="40" spans="2:12" ht="16.5" customHeight="1" x14ac:dyDescent="0.3"/>
  </sheetData>
  <mergeCells count="7">
    <mergeCell ref="F15:H15"/>
    <mergeCell ref="B2:D2"/>
    <mergeCell ref="H7:H8"/>
    <mergeCell ref="H10:H11"/>
    <mergeCell ref="G7:G8"/>
    <mergeCell ref="G10:G11"/>
    <mergeCell ref="F2:H2"/>
  </mergeCells>
  <pageMargins left="0.7" right="0.7" top="0.75" bottom="0.75" header="0.3" footer="0.3"/>
  <pageSetup paperSize="9" orientation="portrait" horizontalDpi="4294967293" vertic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ez-Disclosure Operations" ma:contentTypeID="0x0101001A458A224826124E8B45B1D613300CFC006A2A717B9A16FA4EA4772A231C19F95E" ma:contentTypeVersion="31" ma:contentTypeDescription="A content type to manage public (operations) IDB documents" ma:contentTypeScope="" ma:versionID="0a4d4bf0bc638ca9cc26f83f83ad4dae">
  <xsd:schema xmlns:xsd="http://www.w3.org/2001/XMLSchema" xmlns:xs="http://www.w3.org/2001/XMLSchema" xmlns:p="http://schemas.microsoft.com/office/2006/metadata/properties" xmlns:ns2="cdc7663a-08f0-4737-9e8c-148ce897a09c" targetNamespace="http://schemas.microsoft.com/office/2006/metadata/properties" ma:root="true" ma:fieldsID="faa64673523dd73fea515b2aea494cba" ns2:_="">
    <xsd:import namespace="cdc7663a-08f0-4737-9e8c-148ce897a09c"/>
    <xsd:element name="properties">
      <xsd:complexType>
        <xsd:sequence>
          <xsd:element name="documentManagement">
            <xsd:complexType>
              <xsd:all>
                <xsd:element ref="ns2:_dlc_DocId" minOccurs="0"/>
                <xsd:element ref="ns2:_dlc_DocIdUrl" minOccurs="0"/>
                <xsd:element ref="ns2:_dlc_DocIdPersistId" minOccurs="0"/>
                <xsd:element ref="ns2:e46fe2894295491da65140ffd2369f49" minOccurs="0"/>
                <xsd:element ref="ns2:TaxCatchAll" minOccurs="0"/>
                <xsd:element ref="ns2:TaxCatchAllLabel" minOccurs="0"/>
                <xsd:element ref="ns2:Access_x0020_to_x0020_Information_x00a0_Policy"/>
                <xsd:element ref="ns2:b26cdb1da78c4bb4b1c1bac2f6ac5911" minOccurs="0"/>
                <xsd:element ref="ns2:Project_x0020_Number"/>
                <xsd:element ref="ns2:Webtopic" minOccurs="0"/>
                <xsd:element ref="ns2:Approval_x0020_Number" minOccurs="0"/>
                <xsd:element ref="ns2:Disclosure_x0020_Activity"/>
                <xsd:element ref="ns2:Document_x0020_Author" minOccurs="0"/>
                <xsd:element ref="ns2:Other_x0020_Author" minOccurs="0"/>
                <xsd:element ref="ns2:g511464f9e53401d84b16fa9b379a574" minOccurs="0"/>
                <xsd:element ref="ns2:nddeef1749674d76abdbe4b239a70bc6" minOccurs="0"/>
                <xsd:element ref="ns2:b2ec7cfb18674cb8803df6b262e8b107" minOccurs="0"/>
                <xsd:element ref="ns2:Document_x0020_Language_x0020_IDB"/>
                <xsd:element ref="ns2:Division_x0020_or_x0020_Unit"/>
                <xsd:element ref="ns2:Identifier" minOccurs="0"/>
                <xsd:element ref="ns2:Fiscal_x0020_Year_x0020_IDB" minOccurs="0"/>
                <xsd:element ref="ns2:ic46d7e087fd4a108fb86518ca413cc6" minOccurs="0"/>
                <xsd:element ref="ns2:Operation_x0020_Type" minOccurs="0"/>
                <xsd:element ref="ns2:Package_x0020_Code" minOccurs="0"/>
                <xsd:element ref="ns2:Phase" minOccurs="0"/>
                <xsd:element ref="ns2:Business_x0020_Area" minOccurs="0"/>
                <xsd:element ref="ns2:Key_x0020_Document" minOccurs="0"/>
                <xsd:element ref="ns2:Project_x0020_Document_x0020_Type" minOccurs="0"/>
                <xsd:element ref="ns2:Abstract" minOccurs="0"/>
                <xsd:element ref="ns2:Migration_x0020_Info" minOccurs="0"/>
                <xsd:element ref="ns2:SISCOR_x0020_Number" minOccurs="0"/>
                <xsd:element ref="ns2:IDBDocs_x0020_Number" minOccurs="0"/>
                <xsd:element ref="ns2:Editor1" minOccurs="0"/>
                <xsd:element ref="ns2:Issue_x0020_Date" minOccurs="0"/>
                <xsd:element ref="ns2:Publishing_x0020_House" minOccurs="0"/>
                <xsd:element ref="ns2:KP_x0020_Topics" minOccurs="0"/>
                <xsd:element ref="ns2:Region" minOccurs="0"/>
                <xsd:element ref="ns2:Publication_x0020_Type" minOccurs="0"/>
                <xsd:element ref="ns2:Disclosed" minOccurs="0"/>
                <xsd:element ref="ns2:Record_x0020_Number" minOccurs="0"/>
                <xsd:element ref="ns2:Related_x0020_SisCor_x0020_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7663a-08f0-4737-9e8c-148ce897a09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e46fe2894295491da65140ffd2369f49" ma:index="11" ma:taxonomy="true" ma:internalName="e46fe2894295491da65140ffd2369f49" ma:taxonomyFieldName="Function_x0020_Operations_x0020_IDB" ma:displayName="Function Operations IDB" ma:readOnly="false" ma:default="" ma:fieldId="{e46fe289-4295-491d-a651-40ffd2369f49}" ma:sspId="ae61f9b1-e23d-4f49-b3d7-56b991556c4b" ma:termSetId="90662247-c2d7-4c02-8f80-a99fdf3aec79"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a21e8572-655e-4c0d-bfdb-c52ee7bb5839}" ma:internalName="TaxCatchAll" ma:showField="CatchAllData"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a21e8572-655e-4c0d-bfdb-c52ee7bb5839}" ma:internalName="TaxCatchAllLabel" ma:readOnly="true" ma:showField="CatchAllDataLabel" ma:web="0ae48fe9-e043-4151-95b7-4d4bdf090fb3">
      <xsd:complexType>
        <xsd:complexContent>
          <xsd:extension base="dms:MultiChoiceLookup">
            <xsd:sequence>
              <xsd:element name="Value" type="dms:Lookup" maxOccurs="unbounded" minOccurs="0" nillable="true"/>
            </xsd:sequence>
          </xsd:extension>
        </xsd:complexContent>
      </xsd:complexType>
    </xsd:element>
    <xsd:element name="Access_x0020_to_x0020_Information_x00a0_Policy" ma:index="15" ma:displayName="Access to Information Policy" ma:default="Confidential" ma:format="Dropdown" ma:internalName="Access_x0020_to_x0020_Information_x00A0_Policy">
      <xsd:simpleType>
        <xsd:restriction base="dms:Choice">
          <xsd:enumeration value="Confidential"/>
          <xsd:enumeration value="Disclosed Over Time - 5 years"/>
          <xsd:enumeration value="Disclosed Over Time - 10 years"/>
          <xsd:enumeration value="Disclosed Over Time - 20 years"/>
          <xsd:enumeration value="Public"/>
          <xsd:enumeration value="Public - Simultaneous Disclosure"/>
        </xsd:restriction>
      </xsd:simpleType>
    </xsd:element>
    <xsd:element name="b26cdb1da78c4bb4b1c1bac2f6ac5911" ma:index="16" nillable="true" ma:taxonomy="true" ma:internalName="b26cdb1da78c4bb4b1c1bac2f6ac5911" ma:taxonomyFieldName="Series_x0020_Operations_x0020_IDB" ma:displayName="Series Operations IDB" ma:default="" ma:fieldId="{b26cdb1d-a78c-4bb4-b1c1-bac2f6ac5911}" ma:sspId="ae61f9b1-e23d-4f49-b3d7-56b991556c4b" ma:termSetId="aa8fb583-e935-416d-8a2e-4b97a8eb0684" ma:anchorId="00000000-0000-0000-0000-000000000000" ma:open="false" ma:isKeyword="false">
      <xsd:complexType>
        <xsd:sequence>
          <xsd:element ref="pc:Terms" minOccurs="0" maxOccurs="1"/>
        </xsd:sequence>
      </xsd:complexType>
    </xsd:element>
    <xsd:element name="Project_x0020_Number" ma:index="18" ma:displayName="Project Number" ma:default="AR-L1282" ma:internalName="Project_x0020_Number" ma:readOnly="false">
      <xsd:simpleType>
        <xsd:restriction base="dms:Text">
          <xsd:maxLength value="255"/>
        </xsd:restriction>
      </xsd:simpleType>
    </xsd:element>
    <xsd:element name="Webtopic" ma:index="19" nillable="true" ma:displayName="Webtopic" ma:internalName="Webtopic">
      <xsd:simpleType>
        <xsd:restriction base="dms:Text">
          <xsd:maxLength value="255"/>
        </xsd:restriction>
      </xsd:simpleType>
    </xsd:element>
    <xsd:element name="Approval_x0020_Number" ma:index="20" nillable="true" ma:displayName="Approval Number" ma:internalName="Approval_x0020_Number">
      <xsd:simpleType>
        <xsd:restriction base="dms:Text">
          <xsd:maxLength value="255"/>
        </xsd:restriction>
      </xsd:simpleType>
    </xsd:element>
    <xsd:element name="Disclosure_x0020_Activity" ma:index="21" ma:displayName="Disclosure Activity" ma:internalName="Disclosure_x0020_Activity" ma:readOnly="false">
      <xsd:simpleType>
        <xsd:restriction base="dms:Text">
          <xsd:maxLength value="255"/>
        </xsd:restriction>
      </xsd:simpleType>
    </xsd:element>
    <xsd:element name="Document_x0020_Author" ma:index="22" nillable="true" ma:displayName="Document Author" ma:internalName="Document_x0020_Author">
      <xsd:simpleType>
        <xsd:restriction base="dms:Text">
          <xsd:maxLength value="255"/>
        </xsd:restriction>
      </xsd:simpleType>
    </xsd:element>
    <xsd:element name="Other_x0020_Author" ma:index="23" nillable="true" ma:displayName="Other Author" ma:internalName="Other_x0020_Author">
      <xsd:simpleType>
        <xsd:restriction base="dms:Text">
          <xsd:maxLength value="255"/>
        </xsd:restriction>
      </xsd:simpleType>
    </xsd:element>
    <xsd:element name="g511464f9e53401d84b16fa9b379a574" ma:index="24" nillable="true" ma:taxonomy="true" ma:internalName="g511464f9e53401d84b16fa9b379a574" ma:taxonomyFieldName="Fund_x0020_IDB" ma:displayName="Fund IDB" ma:default="" ma:fieldId="{0511464f-9e53-401d-84b1-6fa9b379a574}" ma:taxonomyMulti="true" ma:sspId="ae61f9b1-e23d-4f49-b3d7-56b991556c4b" ma:termSetId="69abb71a-f64f-4893-ac0e-66eb1be268a8" ma:anchorId="00000000-0000-0000-0000-000000000000" ma:open="false" ma:isKeyword="false">
      <xsd:complexType>
        <xsd:sequence>
          <xsd:element ref="pc:Terms" minOccurs="0" maxOccurs="1"/>
        </xsd:sequence>
      </xsd:complexType>
    </xsd:element>
    <xsd:element name="nddeef1749674d76abdbe4b239a70bc6" ma:index="26" nillable="true" ma:taxonomy="true" ma:internalName="nddeef1749674d76abdbe4b239a70bc6" ma:taxonomyFieldName="Sector_x0020_IDB" ma:displayName="Sector IDB" ma:default="" ma:fieldId="{7ddeef17-4967-4d76-abdb-e4b239a70bc6}" ma:taxonomyMulti="true" ma:sspId="ae61f9b1-e23d-4f49-b3d7-56b991556c4b" ma:termSetId="12408410-0417-4253-a5ed-d52c55de15dc" ma:anchorId="00000000-0000-0000-0000-000000000000" ma:open="true" ma:isKeyword="false">
      <xsd:complexType>
        <xsd:sequence>
          <xsd:element ref="pc:Terms" minOccurs="0" maxOccurs="1"/>
        </xsd:sequence>
      </xsd:complexType>
    </xsd:element>
    <xsd:element name="b2ec7cfb18674cb8803df6b262e8b107" ma:index="28" nillable="true" ma:taxonomy="true" ma:internalName="b2ec7cfb18674cb8803df6b262e8b107" ma:taxonomyFieldName="Sub_x002d_Sector" ma:displayName="Sub-Sector" ma:default="" ma:fieldId="{b2ec7cfb-1867-4cb8-803d-f6b262e8b107}" ma:taxonomyMulti="true" ma:sspId="ae61f9b1-e23d-4f49-b3d7-56b991556c4b" ma:termSetId="73c9b9c8-b29b-461e-b5a6-c7e93795fb05" ma:anchorId="00000000-0000-0000-0000-000000000000" ma:open="false" ma:isKeyword="false">
      <xsd:complexType>
        <xsd:sequence>
          <xsd:element ref="pc:Terms" minOccurs="0" maxOccurs="1"/>
        </xsd:sequence>
      </xsd:complexType>
    </xsd:element>
    <xsd:element name="Document_x0020_Language_x0020_IDB" ma:index="30" ma:displayName="Document Language IDB" ma:format="Dropdown" ma:internalName="Document_x0020_Language_x0020_IDB" ma:readOnly="false">
      <xsd:simpleType>
        <xsd:restriction base="dms:Choice">
          <xsd:enumeration value="English"/>
          <xsd:enumeration value="French"/>
          <xsd:enumeration value="Italian"/>
          <xsd:enumeration value="Japanese"/>
          <xsd:enumeration value="Korean"/>
          <xsd:enumeration value="Other"/>
          <xsd:enumeration value="Portuguese"/>
          <xsd:enumeration value="Spanish"/>
        </xsd:restriction>
      </xsd:simpleType>
    </xsd:element>
    <xsd:element name="Division_x0020_or_x0020_Unit" ma:index="31" ma:displayName="Division or Unit" ma:internalName="Division_x0020_or_x0020_Unit" ma:readOnly="false">
      <xsd:simpleType>
        <xsd:restriction base="dms:Text">
          <xsd:maxLength value="255"/>
        </xsd:restriction>
      </xsd:simpleType>
    </xsd:element>
    <xsd:element name="Identifier" ma:index="32" nillable="true" ma:displayName="Identifier" ma:internalName="Identifier">
      <xsd:simpleType>
        <xsd:restriction base="dms:Text">
          <xsd:maxLength value="255"/>
        </xsd:restriction>
      </xsd:simpleType>
    </xsd:element>
    <xsd:element name="Fiscal_x0020_Year_x0020_IDB" ma:index="33" nillable="true" ma:displayName="Fiscal Year IDB" ma:internalName="Fiscal_x0020_Year_x0020_IDB">
      <xsd:simpleType>
        <xsd:restriction base="dms:Text">
          <xsd:maxLength value="255"/>
        </xsd:restriction>
      </xsd:simpleType>
    </xsd:element>
    <xsd:element name="ic46d7e087fd4a108fb86518ca413cc6" ma:index="34" nillable="true" ma:taxonomy="true" ma:internalName="ic46d7e087fd4a108fb86518ca413cc6" ma:taxonomyFieldName="Country" ma:displayName="Country" ma:default="" ma:fieldId="{2c46d7e0-87fd-4a10-8fb8-6518ca413cc6}" ma:taxonomyMulti="true" ma:sspId="ae61f9b1-e23d-4f49-b3d7-56b991556c4b" ma:termSetId="e1cf2cf4-6e0f-476b-b38c-a4927f870e86" ma:anchorId="00000000-0000-0000-0000-000000000000" ma:open="false" ma:isKeyword="false">
      <xsd:complexType>
        <xsd:sequence>
          <xsd:element ref="pc:Terms" minOccurs="0" maxOccurs="1"/>
        </xsd:sequence>
      </xsd:complexType>
    </xsd:element>
    <xsd:element name="Operation_x0020_Type" ma:index="36" nillable="true" ma:displayName="Operation Type" ma:internalName="Operation_x0020_Type">
      <xsd:simpleType>
        <xsd:restriction base="dms:Text">
          <xsd:maxLength value="255"/>
        </xsd:restriction>
      </xsd:simpleType>
    </xsd:element>
    <xsd:element name="Package_x0020_Code" ma:index="37" nillable="true" ma:displayName="Package Code" ma:internalName="Package_x0020_Code">
      <xsd:simpleType>
        <xsd:restriction base="dms:Text">
          <xsd:maxLength value="255"/>
        </xsd:restriction>
      </xsd:simpleType>
    </xsd:element>
    <xsd:element name="Phase" ma:index="38" nillable="true" ma:displayName="Phase" ma:internalName="Phase">
      <xsd:simpleType>
        <xsd:restriction base="dms:Text">
          <xsd:maxLength value="255"/>
        </xsd:restriction>
      </xsd:simpleType>
    </xsd:element>
    <xsd:element name="Business_x0020_Area" ma:index="39" nillable="true" ma:displayName="Business Area" ma:internalName="Business_x0020_Area">
      <xsd:simpleType>
        <xsd:restriction base="dms:Text">
          <xsd:maxLength value="255"/>
        </xsd:restriction>
      </xsd:simpleType>
    </xsd:element>
    <xsd:element name="Key_x0020_Document" ma:index="40" nillable="true" ma:displayName="Key Document" ma:default="0" ma:internalName="Key_x0020_Document">
      <xsd:simpleType>
        <xsd:restriction base="dms:Boolean"/>
      </xsd:simpleType>
    </xsd:element>
    <xsd:element name="Project_x0020_Document_x0020_Type" ma:index="41" nillable="true" ma:displayName="Project Document Type" ma:internalName="Project_x0020_Document_x0020_Type">
      <xsd:simpleType>
        <xsd:restriction base="dms:Text">
          <xsd:maxLength value="255"/>
        </xsd:restriction>
      </xsd:simpleType>
    </xsd:element>
    <xsd:element name="Abstract" ma:index="42" nillable="true" ma:displayName="Abstract" ma:internalName="Abstract">
      <xsd:simpleType>
        <xsd:restriction base="dms:Note"/>
      </xsd:simpleType>
    </xsd:element>
    <xsd:element name="Migration_x0020_Info" ma:index="43" nillable="true" ma:displayName="Migration Info" ma:internalName="Migration_x0020_Info">
      <xsd:simpleType>
        <xsd:restriction base="dms:Note"/>
      </xsd:simpleType>
    </xsd:element>
    <xsd:element name="SISCOR_x0020_Number" ma:index="44" nillable="true" ma:displayName="SISCOR Number" ma:internalName="SISCOR_x0020_Number">
      <xsd:simpleType>
        <xsd:restriction base="dms:Text">
          <xsd:maxLength value="255"/>
        </xsd:restriction>
      </xsd:simpleType>
    </xsd:element>
    <xsd:element name="IDBDocs_x0020_Number" ma:index="45" nillable="true" ma:displayName="IDBDocs Number" ma:internalName="IDBDocs_x0020_Number">
      <xsd:simpleType>
        <xsd:restriction base="dms:Text">
          <xsd:maxLength value="255"/>
        </xsd:restriction>
      </xsd:simpleType>
    </xsd:element>
    <xsd:element name="Editor1" ma:index="46" nillable="true" ma:displayName="Editor" ma:internalName="Editor1">
      <xsd:simpleType>
        <xsd:restriction base="dms:Text">
          <xsd:maxLength value="255"/>
        </xsd:restriction>
      </xsd:simpleType>
    </xsd:element>
    <xsd:element name="Issue_x0020_Date" ma:index="47" nillable="true" ma:displayName="Issue Date" ma:format="DateOnly" ma:internalName="Issue_x0020_Date">
      <xsd:simpleType>
        <xsd:restriction base="dms:DateTime"/>
      </xsd:simpleType>
    </xsd:element>
    <xsd:element name="Publishing_x0020_House" ma:index="48" nillable="true" ma:displayName="Publishing House" ma:internalName="Publishing_x0020_House">
      <xsd:simpleType>
        <xsd:restriction base="dms:Text">
          <xsd:maxLength value="255"/>
        </xsd:restriction>
      </xsd:simpleType>
    </xsd:element>
    <xsd:element name="KP_x0020_Topics" ma:index="49" nillable="true" ma:displayName="KP Topics" ma:internalName="KP_x0020_Topics">
      <xsd:simpleType>
        <xsd:restriction base="dms:Text">
          <xsd:maxLength value="255"/>
        </xsd:restriction>
      </xsd:simpleType>
    </xsd:element>
    <xsd:element name="Region" ma:index="50" nillable="true" ma:displayName="Region" ma:internalName="Region">
      <xsd:simpleType>
        <xsd:restriction base="dms:Text">
          <xsd:maxLength value="255"/>
        </xsd:restriction>
      </xsd:simpleType>
    </xsd:element>
    <xsd:element name="Publication_x0020_Type" ma:index="51" nillable="true" ma:displayName="Publication Type" ma:internalName="Publication_x0020_Type">
      <xsd:simpleType>
        <xsd:restriction base="dms:Text">
          <xsd:maxLength value="255"/>
        </xsd:restriction>
      </xsd:simpleType>
    </xsd:element>
    <xsd:element name="Disclosed" ma:index="52" nillable="true" ma:displayName="Disclosed" ma:default="0" ma:internalName="Disclosed">
      <xsd:simpleType>
        <xsd:restriction base="dms:Boolean"/>
      </xsd:simpleType>
    </xsd:element>
    <xsd:element name="Record_x0020_Number" ma:index="53" nillable="true" ma:displayName="Record Number" ma:internalName="Record_x0020_Number">
      <xsd:simpleType>
        <xsd:restriction base="dms:Text">
          <xsd:maxLength value="255"/>
        </xsd:restriction>
      </xsd:simpleType>
    </xsd:element>
    <xsd:element name="Related_x0020_SisCor_x0020_Number" ma:index="54" nillable="true" ma:displayName="Related SisCor Number" ma:internalName="Related_x0020_SisCor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e61f9b1-e23d-4f49-b3d7-56b991556c4b" ContentTypeId="0x0101001A458A224826124E8B45B1D613300CFC" PreviousValue="false"/>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FormUrls xmlns="http://schemas.microsoft.com/sharepoint/v3/contenttype/forms/url">
  <Display>_catalogs/masterpage/ECMForms/DisclosureOperationsCT/View.aspx</Display>
  <Edit>_catalogs/masterpage/ECMForms/DisclosureOperationsCT/Edit.aspx</Edit>
</FormUrls>
</file>

<file path=customXml/item6.xml><?xml version="1.0" encoding="utf-8"?>
<p:properties xmlns:p="http://schemas.microsoft.com/office/2006/metadata/properties" xmlns:xsi="http://www.w3.org/2001/XMLSchema-instance" xmlns:pc="http://schemas.microsoft.com/office/infopath/2007/PartnerControls">
  <documentManagement>
    <Access_x0020_to_x0020_Information_x00a0_Policy xmlns="cdc7663a-08f0-4737-9e8c-148ce897a09c">Public - Simultaneous Disclosure</Access_x0020_to_x0020_Information_x00a0_Policy>
    <SISCOR_x0020_Number xmlns="cdc7663a-08f0-4737-9e8c-148ce897a09c" xsi:nil="true"/>
    <b26cdb1da78c4bb4b1c1bac2f6ac5911 xmlns="cdc7663a-08f0-4737-9e8c-148ce897a09c">
      <Terms xmlns="http://schemas.microsoft.com/office/infopath/2007/PartnerControls"/>
    </b26cdb1da78c4bb4b1c1bac2f6ac5911>
    <ic46d7e087fd4a108fb86518ca413cc6 xmlns="cdc7663a-08f0-4737-9e8c-148ce897a09c">
      <Terms xmlns="http://schemas.microsoft.com/office/infopath/2007/PartnerControls">
        <TermInfo xmlns="http://schemas.microsoft.com/office/infopath/2007/PartnerControls">
          <TermName xmlns="http://schemas.microsoft.com/office/infopath/2007/PartnerControls">Argentina</TermName>
          <TermId xmlns="http://schemas.microsoft.com/office/infopath/2007/PartnerControls">eb1b705c-195f-4c3b-9661-b201f2fee3c5</TermId>
        </TermInfo>
      </Terms>
    </ic46d7e087fd4a108fb86518ca413cc6>
    <IDBDocs_x0020_Number xmlns="cdc7663a-08f0-4737-9e8c-148ce897a09c" xsi:nil="true"/>
    <Division_x0020_or_x0020_Unit xmlns="cdc7663a-08f0-4737-9e8c-148ce897a09c">IFD/FMM</Division_x0020_or_x0020_Unit>
    <Fiscal_x0020_Year_x0020_IDB xmlns="cdc7663a-08f0-4737-9e8c-148ce897a09c">2018</Fiscal_x0020_Year_x0020_IDB>
    <e46fe2894295491da65140ffd2369f49 xmlns="cdc7663a-08f0-4737-9e8c-148ce897a09c">
      <Terms xmlns="http://schemas.microsoft.com/office/infopath/2007/PartnerControls">
        <TermInfo xmlns="http://schemas.microsoft.com/office/infopath/2007/PartnerControls">
          <TermName xmlns="http://schemas.microsoft.com/office/infopath/2007/PartnerControls">Monitoring and Reporting</TermName>
          <TermId xmlns="http://schemas.microsoft.com/office/infopath/2007/PartnerControls">df3c2aa1-d63e-41aa-b1f5-bb15dee691ca</TermId>
        </TermInfo>
      </Terms>
    </e46fe2894295491da65140ffd2369f49>
    <Other_x0020_Author xmlns="cdc7663a-08f0-4737-9e8c-148ce897a09c">Emilio Pineda</Other_x0020_Author>
    <Migration_x0020_Info xmlns="cdc7663a-08f0-4737-9e8c-148ce897a09c" xsi:nil="true"/>
    <Approval_x0020_Number xmlns="cdc7663a-08f0-4737-9e8c-148ce897a09c" xsi:nil="true"/>
    <Phase xmlns="cdc7663a-08f0-4737-9e8c-148ce897a09c">ACTIVE</Phase>
    <Document_x0020_Author xmlns="cdc7663a-08f0-4737-9e8c-148ce897a09c">Canillas Gomez, Mariana Belen</Document_x0020_Author>
    <b2ec7cfb18674cb8803df6b262e8b107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2a848641-6d37-4d5e-b2b0-f391eeec3133</TermId>
        </TermInfo>
      </Terms>
    </b2ec7cfb18674cb8803df6b262e8b107>
    <Business_x0020_Area xmlns="cdc7663a-08f0-4737-9e8c-148ce897a09c">Life Cycle</Business_x0020_Area>
    <Key_x0020_Document xmlns="cdc7663a-08f0-4737-9e8c-148ce897a09c">false</Key_x0020_Document>
    <Document_x0020_Language_x0020_IDB xmlns="cdc7663a-08f0-4737-9e8c-148ce897a09c">Spanish</Document_x0020_Language_x0020_IDB>
    <Project_x0020_Document_x0020_Type xmlns="cdc7663a-08f0-4737-9e8c-148ce897a09c" xsi:nil="true"/>
    <g511464f9e53401d84b16fa9b379a574 xmlns="cdc7663a-08f0-4737-9e8c-148ce897a09c">
      <Terms xmlns="http://schemas.microsoft.com/office/infopath/2007/PartnerControls">
        <TermInfo xmlns="http://schemas.microsoft.com/office/infopath/2007/PartnerControls">
          <TermName xmlns="http://schemas.microsoft.com/office/infopath/2007/PartnerControls">ORC</TermName>
          <TermId xmlns="http://schemas.microsoft.com/office/infopath/2007/PartnerControls">c028a4b2-ad8b-4cf4-9cac-a2ae6a778e23</TermId>
        </TermInfo>
      </Terms>
    </g511464f9e53401d84b16fa9b379a574>
    <Related_x0020_SisCor_x0020_Number xmlns="cdc7663a-08f0-4737-9e8c-148ce897a09c" xsi:nil="true"/>
    <TaxCatchAll xmlns="cdc7663a-08f0-4737-9e8c-148ce897a09c">
      <Value>228</Value>
      <Value>4</Value>
      <Value>36</Value>
      <Value>8</Value>
      <Value>5</Value>
    </TaxCatchAll>
    <Operation_x0020_Type xmlns="cdc7663a-08f0-4737-9e8c-148ce897a09c">Loan Operation</Operation_x0020_Type>
    <Package_x0020_Code xmlns="cdc7663a-08f0-4737-9e8c-148ce897a09c" xsi:nil="true"/>
    <Identifier xmlns="cdc7663a-08f0-4737-9e8c-148ce897a09c" xsi:nil="true"/>
    <Project_x0020_Number xmlns="cdc7663a-08f0-4737-9e8c-148ce897a09c">AR-L1282</Project_x0020_Number>
    <nddeef1749674d76abdbe4b239a70bc6 xmlns="cdc7663a-08f0-4737-9e8c-148ce897a09c">
      <Terms xmlns="http://schemas.microsoft.com/office/infopath/2007/PartnerControls">
        <TermInfo xmlns="http://schemas.microsoft.com/office/infopath/2007/PartnerControls">
          <TermName xmlns="http://schemas.microsoft.com/office/infopath/2007/PartnerControls">REFORM / MODERNIZATION OF THE STATE</TermName>
          <TermId xmlns="http://schemas.microsoft.com/office/infopath/2007/PartnerControls">c8fda4a7-691a-4c65-b227-9825197b5cd2</TermId>
        </TermInfo>
      </Terms>
    </nddeef1749674d76abdbe4b239a70bc6>
    <Record_x0020_Number xmlns="cdc7663a-08f0-4737-9e8c-148ce897a09c">R0002076262</Record_x0020_Number>
    <_dlc_DocId xmlns="cdc7663a-08f0-4737-9e8c-148ce897a09c">EZSHARE-352664517-54</_dlc_DocId>
    <_dlc_DocIdUrl xmlns="cdc7663a-08f0-4737-9e8c-148ce897a09c">
      <Url>https://idbg.sharepoint.com/teams/EZ-AR-LON/AR-L1282/_layouts/15/DocIdRedir.aspx?ID=EZSHARE-352664517-54</Url>
      <Description>EZSHARE-352664517-54</Description>
    </_dlc_DocIdUrl>
    <Disclosure_x0020_Activity xmlns="cdc7663a-08f0-4737-9e8c-148ce897a09c">Loan Proposal</Disclosure_x0020_Activity>
    <Issue_x0020_Date xmlns="cdc7663a-08f0-4737-9e8c-148ce897a09c" xsi:nil="true"/>
    <KP_x0020_Topics xmlns="cdc7663a-08f0-4737-9e8c-148ce897a09c" xsi:nil="true"/>
    <Disclosed xmlns="cdc7663a-08f0-4737-9e8c-148ce897a09c">false</Disclosed>
    <Publication_x0020_Type xmlns="cdc7663a-08f0-4737-9e8c-148ce897a09c" xsi:nil="true"/>
    <Editor1 xmlns="cdc7663a-08f0-4737-9e8c-148ce897a09c" xsi:nil="true"/>
    <Region xmlns="cdc7663a-08f0-4737-9e8c-148ce897a09c" xsi:nil="true"/>
    <Webtopic xmlns="cdc7663a-08f0-4737-9e8c-148ce897a09c" xsi:nil="true"/>
    <Abstract xmlns="cdc7663a-08f0-4737-9e8c-148ce897a09c" xsi:nil="true"/>
    <Publishing_x0020_House xmlns="cdc7663a-08f0-4737-9e8c-148ce897a09c" xsi:nil="true"/>
  </documentManagement>
</p:properties>
</file>

<file path=customXml/itemProps1.xml><?xml version="1.0" encoding="utf-8"?>
<ds:datastoreItem xmlns:ds="http://schemas.openxmlformats.org/officeDocument/2006/customXml" ds:itemID="{B1372FB1-931A-4979-87D1-799A99D7CEBC}"/>
</file>

<file path=customXml/itemProps2.xml><?xml version="1.0" encoding="utf-8"?>
<ds:datastoreItem xmlns:ds="http://schemas.openxmlformats.org/officeDocument/2006/customXml" ds:itemID="{D0C5FB6F-913C-426B-94B4-28504AB7C765}"/>
</file>

<file path=customXml/itemProps3.xml><?xml version="1.0" encoding="utf-8"?>
<ds:datastoreItem xmlns:ds="http://schemas.openxmlformats.org/officeDocument/2006/customXml" ds:itemID="{739AD309-026F-4566-B954-B9BF33BF382B}"/>
</file>

<file path=customXml/itemProps4.xml><?xml version="1.0" encoding="utf-8"?>
<ds:datastoreItem xmlns:ds="http://schemas.openxmlformats.org/officeDocument/2006/customXml" ds:itemID="{86735FB2-14EB-4DF2-B5EF-DC4DF9D81AE5}"/>
</file>

<file path=customXml/itemProps5.xml><?xml version="1.0" encoding="utf-8"?>
<ds:datastoreItem xmlns:ds="http://schemas.openxmlformats.org/officeDocument/2006/customXml" ds:itemID="{7278354F-8082-4F19-9AFB-6C6FE1E5BFD3}"/>
</file>

<file path=customXml/itemProps6.xml><?xml version="1.0" encoding="utf-8"?>
<ds:datastoreItem xmlns:ds="http://schemas.openxmlformats.org/officeDocument/2006/customXml" ds:itemID="{71FB8FB2-1BE6-4082-BB98-F825280FD1B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Presupuesto_Detallado</vt:lpstr>
      <vt:lpstr>Plan_Ejecutivo_Plurianual (PEP)</vt:lpstr>
      <vt:lpstr>Presupuesto_Productos (POD)</vt:lpstr>
      <vt:lpstr>Financiamiento_Desembolsos</vt:lpstr>
      <vt:lpstr>Presupuesto_Componente</vt:lpstr>
      <vt:lpstr>A1. Firmas Consultoras</vt:lpstr>
      <vt:lpstr>A2. Consultorias Individuales</vt:lpstr>
      <vt:lpstr>A3_Bs-Equip-Infr Sub 1.2</vt:lpstr>
      <vt:lpstr>A4_Detalle Soft&amp;Hard Sub 2 </vt:lpstr>
      <vt:lpstr>A5_Detalle Administración</vt:lpstr>
      <vt:lpstr>Resumen</vt:lpstr>
      <vt:lpstr>Perfil</vt:lpstr>
      <vt:lpstr>'A3_Bs-Equip-Infr Sub 1.2'!Print_Area</vt:lpstr>
      <vt:lpstr>Presupuesto_Detallado!Print_Area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2018-02-28T19:12:51Z</dcterms:created>
  <dcterms:modified xsi:type="dcterms:W3CDTF">2018-02-28T19:14:07Z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Function Operations IDB">
    <vt:lpwstr>8;#Monitoring and Reporting|df3c2aa1-d63e-41aa-b1f5-bb15dee691ca</vt:lpwstr>
  </property>
  <property fmtid="{D5CDD505-2E9C-101B-9397-08002B2CF9AE}" pid="4" name="TaxKeyword">
    <vt:lpwstr/>
  </property>
  <property fmtid="{D5CDD505-2E9C-101B-9397-08002B2CF9AE}" pid="5" name="TaxKeywordTaxHTField">
    <vt:lpwstr/>
  </property>
  <property fmtid="{D5CDD505-2E9C-101B-9397-08002B2CF9AE}" pid="6" name="Series Operations IDB">
    <vt:lpwstr/>
  </property>
  <property fmtid="{D5CDD505-2E9C-101B-9397-08002B2CF9AE}" pid="7" name="Sub-Sector">
    <vt:lpwstr>228;#REFORM / MODERNIZATION OF THE STATE|2a848641-6d37-4d5e-b2b0-f391eeec3133</vt:lpwstr>
  </property>
  <property fmtid="{D5CDD505-2E9C-101B-9397-08002B2CF9AE}" pid="8" name="Fund IDB">
    <vt:lpwstr>4;#ORC|c028a4b2-ad8b-4cf4-9cac-a2ae6a778e23</vt:lpwstr>
  </property>
  <property fmtid="{D5CDD505-2E9C-101B-9397-08002B2CF9AE}" pid="9" name="Country">
    <vt:lpwstr>5;#Argentina|eb1b705c-195f-4c3b-9661-b201f2fee3c5</vt:lpwstr>
  </property>
  <property fmtid="{D5CDD505-2E9C-101B-9397-08002B2CF9AE}" pid="10" name="Sector IDB">
    <vt:lpwstr>36;#REFORM / MODERNIZATION OF THE STATE|c8fda4a7-691a-4c65-b227-9825197b5cd2</vt:lpwstr>
  </property>
  <property fmtid="{D5CDD505-2E9C-101B-9397-08002B2CF9AE}" pid="11" name="_dlc_DocIdItemGuid">
    <vt:lpwstr>bbb5f9dd-8f2e-45c6-9e29-9ebbccfe0e5a</vt:lpwstr>
  </property>
  <property fmtid="{D5CDD505-2E9C-101B-9397-08002B2CF9AE}" pid="12" name="Disclosure Activity">
    <vt:lpwstr>Loan Proposal</vt:lpwstr>
  </property>
  <property fmtid="{D5CDD505-2E9C-101B-9397-08002B2CF9AE}" pid="13" name="ContentTypeId">
    <vt:lpwstr>0x0101001A458A224826124E8B45B1D613300CFC006A2A717B9A16FA4EA4772A231C19F95E</vt:lpwstr>
  </property>
</Properties>
</file>