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1"/>
  </bookViews>
  <sheets>
    <sheet name="CBA" sheetId="1" r:id="rId1"/>
    <sheet name="Componentes 1 y 2" sheetId="3" r:id="rId2"/>
    <sheet name="Componente 3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H11" i="2"/>
  <c r="H9" i="2"/>
  <c r="B1" i="3" l="1"/>
  <c r="B3" i="3" l="1"/>
  <c r="B5" i="3" s="1"/>
  <c r="C4" i="1"/>
  <c r="C14" i="3"/>
  <c r="A16" i="3"/>
  <c r="A17" i="3" s="1"/>
  <c r="A18" i="3" s="1"/>
  <c r="A19" i="3" s="1"/>
  <c r="A20" i="3" s="1"/>
  <c r="A21" i="3" s="1"/>
  <c r="A22" i="3" s="1"/>
  <c r="A23" i="3" s="1"/>
  <c r="A24" i="3" s="1"/>
  <c r="A15" i="3"/>
  <c r="B16" i="3" l="1"/>
  <c r="C16" i="3" s="1"/>
  <c r="B15" i="3"/>
  <c r="C15" i="3" s="1"/>
  <c r="B17" i="3"/>
  <c r="B11" i="2"/>
  <c r="B9" i="2"/>
  <c r="H5" i="2"/>
  <c r="H4" i="2"/>
  <c r="C17" i="3" l="1"/>
  <c r="B18" i="3"/>
  <c r="E8" i="2"/>
  <c r="F5" i="1"/>
  <c r="F6" i="1"/>
  <c r="F7" i="1"/>
  <c r="F8" i="1"/>
  <c r="F4" i="1"/>
  <c r="D7" i="1"/>
  <c r="D4" i="1"/>
  <c r="E4" i="1"/>
  <c r="B6" i="1"/>
  <c r="B7" i="1"/>
  <c r="B8" i="1"/>
  <c r="B9" i="1" s="1"/>
  <c r="B10" i="1" s="1"/>
  <c r="B11" i="1" s="1"/>
  <c r="B12" i="1" s="1"/>
  <c r="B13" i="1" s="1"/>
  <c r="B14" i="1" s="1"/>
  <c r="B5" i="1"/>
  <c r="C14" i="2"/>
  <c r="B10" i="2"/>
  <c r="E2" i="2" s="1"/>
  <c r="E3" i="2" s="1"/>
  <c r="B8" i="2"/>
  <c r="B2" i="2"/>
  <c r="C18" i="3" l="1"/>
  <c r="B19" i="3"/>
  <c r="E4" i="2"/>
  <c r="E5" i="2"/>
  <c r="B20" i="3" l="1"/>
  <c r="C19" i="3"/>
  <c r="E9" i="2"/>
  <c r="B17" i="2" s="1"/>
  <c r="G4" i="1"/>
  <c r="A15" i="2"/>
  <c r="A16" i="2" s="1"/>
  <c r="A17" i="2" s="1"/>
  <c r="A18" i="2" s="1"/>
  <c r="A19" i="2" s="1"/>
  <c r="A20" i="2" s="1"/>
  <c r="A21" i="2" s="1"/>
  <c r="A22" i="2" s="1"/>
  <c r="A23" i="2" s="1"/>
  <c r="A24" i="2" s="1"/>
  <c r="D5" i="1"/>
  <c r="D6" i="1" s="1"/>
  <c r="F14" i="1"/>
  <c r="B16" i="2" l="1"/>
  <c r="C16" i="2" s="1"/>
  <c r="B15" i="2"/>
  <c r="C5" i="1" s="1"/>
  <c r="E5" i="1" s="1"/>
  <c r="B21" i="3"/>
  <c r="C20" i="3"/>
  <c r="C7" i="1"/>
  <c r="E7" i="1" s="1"/>
  <c r="B18" i="2"/>
  <c r="C17" i="2"/>
  <c r="D8" i="1"/>
  <c r="F10" i="1"/>
  <c r="F13" i="1"/>
  <c r="F9" i="1"/>
  <c r="F12" i="1"/>
  <c r="F11" i="1"/>
  <c r="C6" i="1" l="1"/>
  <c r="E6" i="1" s="1"/>
  <c r="C15" i="2"/>
  <c r="B22" i="3"/>
  <c r="C21" i="3"/>
  <c r="C8" i="1"/>
  <c r="E8" i="1" s="1"/>
  <c r="F15" i="1"/>
  <c r="B19" i="2"/>
  <c r="C18" i="2"/>
  <c r="B23" i="3" l="1"/>
  <c r="C22" i="3"/>
  <c r="C9" i="1"/>
  <c r="E9" i="1" s="1"/>
  <c r="B20" i="2"/>
  <c r="C19" i="2"/>
  <c r="B24" i="3" l="1"/>
  <c r="C24" i="3" s="1"/>
  <c r="C25" i="3" s="1"/>
  <c r="C23" i="3"/>
  <c r="C10" i="1"/>
  <c r="E10" i="1" s="1"/>
  <c r="B21" i="2"/>
  <c r="C20" i="2"/>
  <c r="G5" i="1"/>
  <c r="C11" i="1" l="1"/>
  <c r="E11" i="1" s="1"/>
  <c r="B22" i="2"/>
  <c r="C21" i="2"/>
  <c r="G6" i="1"/>
  <c r="C12" i="1" l="1"/>
  <c r="E12" i="1" s="1"/>
  <c r="B23" i="2"/>
  <c r="C22" i="2"/>
  <c r="G7" i="1"/>
  <c r="C13" i="1" l="1"/>
  <c r="E13" i="1" s="1"/>
  <c r="B24" i="2"/>
  <c r="C14" i="1" s="1"/>
  <c r="C23" i="2"/>
  <c r="G8" i="1"/>
  <c r="C24" i="2" l="1"/>
  <c r="C25" i="2" s="1"/>
  <c r="E14" i="1"/>
  <c r="G9" i="1"/>
  <c r="G10" i="1" l="1"/>
  <c r="G11" i="1" l="1"/>
  <c r="G12" i="1" l="1"/>
  <c r="G13" i="1" l="1"/>
  <c r="G14" i="1"/>
  <c r="E15" i="1"/>
  <c r="F19" i="1" l="1"/>
  <c r="F17" i="1"/>
  <c r="F18" i="1"/>
</calcChain>
</file>

<file path=xl/sharedStrings.xml><?xml version="1.0" encoding="utf-8"?>
<sst xmlns="http://schemas.openxmlformats.org/spreadsheetml/2006/main" count="55" uniqueCount="49">
  <si>
    <t>Costos</t>
  </si>
  <si>
    <t>Beneficios</t>
  </si>
  <si>
    <t>Año</t>
  </si>
  <si>
    <t>Valor Actual Beneficios</t>
  </si>
  <si>
    <t>Valor Actual Costos</t>
  </si>
  <si>
    <t>Valor Actual Neto</t>
  </si>
  <si>
    <t>Razón Costo Beneficio</t>
  </si>
  <si>
    <t>TIR Social</t>
  </si>
  <si>
    <t>Flujo De Fondos</t>
  </si>
  <si>
    <t>Sensibilidad</t>
  </si>
  <si>
    <t>Actual</t>
  </si>
  <si>
    <t>Base</t>
  </si>
  <si>
    <t>Consevador</t>
  </si>
  <si>
    <t>Favorable</t>
  </si>
  <si>
    <t>Causas Totales 2016</t>
  </si>
  <si>
    <t>Activas</t>
  </si>
  <si>
    <t>Paralizadas</t>
  </si>
  <si>
    <t>Archivadas</t>
  </si>
  <si>
    <t>Total Abogados</t>
  </si>
  <si>
    <t>Causas Activas Por abogado</t>
  </si>
  <si>
    <t>Salario Mensual Ars (brutos)</t>
  </si>
  <si>
    <t>Salario Anual Ars (brutos)</t>
  </si>
  <si>
    <t>Incluye SAC</t>
  </si>
  <si>
    <t>Costo total Causas Activas</t>
  </si>
  <si>
    <t>Salario Anual USD</t>
  </si>
  <si>
    <t>Costo Anual Promedio Por Causa Activa USD</t>
  </si>
  <si>
    <t>Costo Anual Promedio Por Causa Paralizada USD</t>
  </si>
  <si>
    <t>Costo Anual Promedio Por Causa Archivada USD</t>
  </si>
  <si>
    <t>Costo Total Anual</t>
  </si>
  <si>
    <t>Reducción Estimada Por Eficiencia</t>
  </si>
  <si>
    <t>Beneficios Anuales</t>
  </si>
  <si>
    <t>Costo Total USD</t>
  </si>
  <si>
    <t>Reducción de Costos Legales</t>
  </si>
  <si>
    <t>Sinep</t>
  </si>
  <si>
    <t>Total 2014</t>
  </si>
  <si>
    <t>Total 2016</t>
  </si>
  <si>
    <t>Presupuesto Anual Políticas Sectoriales USD</t>
  </si>
  <si>
    <t>Ganancia de Eficiencia Speekle</t>
  </si>
  <si>
    <t xml:space="preserve">Supuesto Conservador </t>
  </si>
  <si>
    <t>Ganancia de Eficiencia</t>
  </si>
  <si>
    <t>Mínimo (ceteris paribus)</t>
  </si>
  <si>
    <t>ARS</t>
  </si>
  <si>
    <t xml:space="preserve">TC </t>
  </si>
  <si>
    <t>Juicios con sentencia</t>
  </si>
  <si>
    <t>Sentencia Favorable</t>
  </si>
  <si>
    <t>Sentencia Desfavorable</t>
  </si>
  <si>
    <t>Costo Por Sentencia Desf</t>
  </si>
  <si>
    <t>Cota Inferior</t>
  </si>
  <si>
    <t>Costo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</si>
</sst>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3" fontId="1" fillId="0" borderId="0" xfId="0" applyNumberFormat="1" applyFont="1"/>
    <xf numFmtId="1" fontId="0" fillId="0" borderId="0" xfId="0" applyNumberFormat="1"/>
    <xf numFmtId="9" fontId="1" fillId="0" borderId="0" xfId="0" applyNumberFormat="1" applyFont="1"/>
    <xf numFmtId="9" fontId="0" fillId="0" borderId="0" xfId="0" applyNumberFormat="1"/>
    <xf numFmtId="2" fontId="1" fillId="0" borderId="0" xfId="0" applyNumberFormat="1" applyFont="1"/>
    <xf numFmtId="0" fontId="0" fillId="0" borderId="0" xfId="0" applyFont="1"/>
    <xf numFmtId="3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F17" sqref="F17"/>
    </sheetView>
  </sheetViews>
  <sheetFormatPr defaultColWidth="9.140625" defaultRowHeight="15" x14ac:dyDescent="0.25"/>
  <cols>
    <col min="1" max="1" width="28.140625" customWidth="1"/>
    <col min="3" max="3" width="25.140625" customWidth="1"/>
    <col min="4" max="4" width="16.5703125" customWidth="1"/>
    <col min="5" max="5" width="22.85546875" customWidth="1"/>
    <col min="6" max="6" width="24.5703125" customWidth="1"/>
    <col min="7" max="7" width="21.85546875" customWidth="1"/>
  </cols>
  <sheetData>
    <row r="1" spans="2:7" x14ac:dyDescent="0.25">
      <c r="C1" t="s">
        <v>31</v>
      </c>
      <c r="D1" s="2">
        <v>18000000</v>
      </c>
    </row>
    <row r="3" spans="2:7" x14ac:dyDescent="0.25">
      <c r="C3" s="1" t="s">
        <v>1</v>
      </c>
      <c r="D3" s="1" t="s">
        <v>0</v>
      </c>
      <c r="E3" s="1" t="s">
        <v>3</v>
      </c>
      <c r="F3" s="1" t="s">
        <v>4</v>
      </c>
      <c r="G3" s="1" t="s">
        <v>8</v>
      </c>
    </row>
    <row r="4" spans="2:7" x14ac:dyDescent="0.25">
      <c r="B4">
        <v>2016</v>
      </c>
      <c r="C4" s="2">
        <f>'Componentes 1 y 2'!B14+'Componente 3'!B14</f>
        <v>0</v>
      </c>
      <c r="D4" s="2">
        <f>D1/5</f>
        <v>3600000</v>
      </c>
      <c r="E4" s="2">
        <f>C4/1.12^(B4-2016)</f>
        <v>0</v>
      </c>
      <c r="F4" s="2">
        <f>D4/1.12^(B4-2016)</f>
        <v>3600000</v>
      </c>
      <c r="G4" s="2">
        <f>C4-D4</f>
        <v>-3600000</v>
      </c>
    </row>
    <row r="5" spans="2:7" x14ac:dyDescent="0.25">
      <c r="B5">
        <f>B4+1</f>
        <v>2017</v>
      </c>
      <c r="C5" s="2">
        <f>'Componentes 1 y 2'!B15+'Componente 3'!B15</f>
        <v>2855834.9890194735</v>
      </c>
      <c r="D5" s="2">
        <f>D4</f>
        <v>3600000</v>
      </c>
      <c r="E5" s="2">
        <f t="shared" ref="E5:E14" si="0">C5/1.12^(B5-2016)</f>
        <v>2549852.668767387</v>
      </c>
      <c r="F5" s="2">
        <f t="shared" ref="F5:F8" si="1">D5/1.12^(B5-2016)</f>
        <v>3214285.7142857141</v>
      </c>
      <c r="G5" s="2">
        <f t="shared" ref="G5:G14" si="2">C5-D5</f>
        <v>-744165.01098052645</v>
      </c>
    </row>
    <row r="6" spans="2:7" x14ac:dyDescent="0.25">
      <c r="B6">
        <f t="shared" ref="B6:B14" si="3">B5+1</f>
        <v>2018</v>
      </c>
      <c r="C6" s="2">
        <f>'Componentes 1 y 2'!B16+'Componente 3'!B16</f>
        <v>4283752.4835292101</v>
      </c>
      <c r="D6" s="2">
        <f t="shared" ref="D6:D7" si="4">D5</f>
        <v>3600000</v>
      </c>
      <c r="E6" s="2">
        <f t="shared" si="0"/>
        <v>3414981.252813464</v>
      </c>
      <c r="F6" s="2">
        <f t="shared" si="1"/>
        <v>2869897.9591836729</v>
      </c>
      <c r="G6" s="2">
        <f t="shared" si="2"/>
        <v>683752.48352921009</v>
      </c>
    </row>
    <row r="7" spans="2:7" x14ac:dyDescent="0.25">
      <c r="B7">
        <f t="shared" si="3"/>
        <v>2019</v>
      </c>
      <c r="C7" s="2">
        <f>'Componentes 1 y 2'!B17+'Componente 3'!B17</f>
        <v>5711669.9780389471</v>
      </c>
      <c r="D7" s="2">
        <f t="shared" si="4"/>
        <v>3600000</v>
      </c>
      <c r="E7" s="2">
        <f t="shared" si="0"/>
        <v>4065453.8723969809</v>
      </c>
      <c r="F7" s="2">
        <f t="shared" si="1"/>
        <v>2562408.892128279</v>
      </c>
      <c r="G7" s="2">
        <f t="shared" si="2"/>
        <v>2111669.9780389471</v>
      </c>
    </row>
    <row r="8" spans="2:7" x14ac:dyDescent="0.25">
      <c r="B8">
        <f t="shared" si="3"/>
        <v>2020</v>
      </c>
      <c r="C8" s="2">
        <f>'Componentes 1 y 2'!B18+'Componente 3'!B18</f>
        <v>5711669.9780389471</v>
      </c>
      <c r="D8" s="2">
        <f>D6</f>
        <v>3600000</v>
      </c>
      <c r="E8" s="2">
        <f t="shared" si="0"/>
        <v>3629869.5289258761</v>
      </c>
      <c r="F8" s="2">
        <f t="shared" si="1"/>
        <v>2287865.0822573924</v>
      </c>
      <c r="G8" s="2">
        <f t="shared" si="2"/>
        <v>2111669.9780389471</v>
      </c>
    </row>
    <row r="9" spans="2:7" x14ac:dyDescent="0.25">
      <c r="B9">
        <f t="shared" si="3"/>
        <v>2021</v>
      </c>
      <c r="C9" s="2">
        <f>'Componentes 1 y 2'!B19+'Componente 3'!B19</f>
        <v>5711669.9780389471</v>
      </c>
      <c r="D9">
        <v>0</v>
      </c>
      <c r="E9" s="2">
        <f t="shared" si="0"/>
        <v>3240954.9365409603</v>
      </c>
      <c r="F9" s="2">
        <f t="shared" ref="F9:F14" si="5">D9/1.12^(B9-2013)</f>
        <v>0</v>
      </c>
      <c r="G9" s="2">
        <f t="shared" si="2"/>
        <v>5711669.9780389471</v>
      </c>
    </row>
    <row r="10" spans="2:7" x14ac:dyDescent="0.25">
      <c r="B10">
        <f t="shared" si="3"/>
        <v>2022</v>
      </c>
      <c r="C10" s="2">
        <f>'Componentes 1 y 2'!B20+'Componente 3'!B20</f>
        <v>5711669.9780389471</v>
      </c>
      <c r="D10">
        <v>0</v>
      </c>
      <c r="E10" s="2">
        <f t="shared" si="0"/>
        <v>2893709.7647687141</v>
      </c>
      <c r="F10" s="2">
        <f t="shared" si="5"/>
        <v>0</v>
      </c>
      <c r="G10" s="2">
        <f t="shared" si="2"/>
        <v>5711669.9780389471</v>
      </c>
    </row>
    <row r="11" spans="2:7" x14ac:dyDescent="0.25">
      <c r="B11">
        <f t="shared" si="3"/>
        <v>2023</v>
      </c>
      <c r="C11" s="2">
        <f>'Componentes 1 y 2'!B21+'Componente 3'!B21</f>
        <v>5711669.9780389471</v>
      </c>
      <c r="D11">
        <v>0</v>
      </c>
      <c r="E11" s="2">
        <f t="shared" si="0"/>
        <v>2583669.4328292091</v>
      </c>
      <c r="F11" s="2">
        <f t="shared" si="5"/>
        <v>0</v>
      </c>
      <c r="G11" s="2">
        <f t="shared" si="2"/>
        <v>5711669.9780389471</v>
      </c>
    </row>
    <row r="12" spans="2:7" x14ac:dyDescent="0.25">
      <c r="B12">
        <f t="shared" si="3"/>
        <v>2024</v>
      </c>
      <c r="C12" s="2">
        <f>'Componentes 1 y 2'!B22+'Componente 3'!B22</f>
        <v>5711669.9780389471</v>
      </c>
      <c r="D12">
        <v>0</v>
      </c>
      <c r="E12" s="2">
        <f t="shared" si="0"/>
        <v>2306847.7078832225</v>
      </c>
      <c r="F12" s="2">
        <f t="shared" si="5"/>
        <v>0</v>
      </c>
      <c r="G12" s="2">
        <f t="shared" si="2"/>
        <v>5711669.9780389471</v>
      </c>
    </row>
    <row r="13" spans="2:7" x14ac:dyDescent="0.25">
      <c r="B13">
        <f t="shared" si="3"/>
        <v>2025</v>
      </c>
      <c r="C13" s="2">
        <f>'Componentes 1 y 2'!B23+'Componente 3'!B23</f>
        <v>5711669.9780389471</v>
      </c>
      <c r="D13">
        <v>0</v>
      </c>
      <c r="E13" s="2">
        <f t="shared" si="0"/>
        <v>2059685.4534671628</v>
      </c>
      <c r="F13" s="2">
        <f t="shared" si="5"/>
        <v>0</v>
      </c>
      <c r="G13" s="2">
        <f t="shared" si="2"/>
        <v>5711669.9780389471</v>
      </c>
    </row>
    <row r="14" spans="2:7" x14ac:dyDescent="0.25">
      <c r="B14">
        <f t="shared" si="3"/>
        <v>2026</v>
      </c>
      <c r="C14" s="2">
        <f>'Componentes 1 y 2'!B24+'Componente 3'!B24</f>
        <v>5711669.9780389471</v>
      </c>
      <c r="D14">
        <v>0</v>
      </c>
      <c r="E14" s="2">
        <f t="shared" si="0"/>
        <v>1839004.8691671095</v>
      </c>
      <c r="F14" s="2">
        <f t="shared" si="5"/>
        <v>0</v>
      </c>
      <c r="G14" s="2">
        <f t="shared" si="2"/>
        <v>5711669.9780389471</v>
      </c>
    </row>
    <row r="15" spans="2:7" x14ac:dyDescent="0.25">
      <c r="E15" s="4">
        <f>SUM(E4:E14)</f>
        <v>28584029.487560086</v>
      </c>
      <c r="F15" s="4">
        <f>SUM(F4:F14)</f>
        <v>14534457.647855058</v>
      </c>
    </row>
    <row r="17" spans="1:6" x14ac:dyDescent="0.25">
      <c r="E17" s="1" t="s">
        <v>5</v>
      </c>
      <c r="F17" s="4">
        <f>E15-F15</f>
        <v>14049571.839705028</v>
      </c>
    </row>
    <row r="18" spans="1:6" x14ac:dyDescent="0.25">
      <c r="E18" s="1" t="s">
        <v>6</v>
      </c>
      <c r="F18" s="8">
        <f>E15/F15</f>
        <v>1.9666388784571134</v>
      </c>
    </row>
    <row r="19" spans="1:6" x14ac:dyDescent="0.25">
      <c r="E19" s="1" t="s">
        <v>7</v>
      </c>
      <c r="F19" s="6">
        <f>IRR(G4:G14)</f>
        <v>0.44617859447911723</v>
      </c>
    </row>
    <row r="23" spans="1:6" x14ac:dyDescent="0.25">
      <c r="A23" s="1" t="s">
        <v>9</v>
      </c>
      <c r="B23" s="1" t="s">
        <v>10</v>
      </c>
      <c r="C23" s="1" t="s">
        <v>11</v>
      </c>
      <c r="D23" s="1" t="s">
        <v>12</v>
      </c>
      <c r="E23" s="1" t="s">
        <v>13</v>
      </c>
      <c r="F23" s="1" t="s">
        <v>40</v>
      </c>
    </row>
    <row r="24" spans="1:6" x14ac:dyDescent="0.25">
      <c r="A24" t="s">
        <v>32</v>
      </c>
      <c r="B24" s="7">
        <v>0.3</v>
      </c>
      <c r="C24" s="7">
        <v>0.25</v>
      </c>
      <c r="D24" s="7">
        <v>0.2</v>
      </c>
      <c r="E24" s="7">
        <v>0.3</v>
      </c>
      <c r="F24" s="7">
        <v>0.14000000000000001</v>
      </c>
    </row>
    <row r="25" spans="1:6" x14ac:dyDescent="0.25">
      <c r="A25" t="s">
        <v>39</v>
      </c>
      <c r="B25" s="7">
        <v>0.35</v>
      </c>
      <c r="C25" s="7">
        <v>0.28000000000000003</v>
      </c>
      <c r="D25" s="7">
        <v>0.2</v>
      </c>
      <c r="E25" s="7">
        <v>0.35</v>
      </c>
      <c r="F25" s="7">
        <v>0</v>
      </c>
    </row>
    <row r="26" spans="1:6" x14ac:dyDescent="0.25">
      <c r="B26" s="3"/>
      <c r="C26" s="3"/>
      <c r="D26" s="3"/>
      <c r="E26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0" workbookViewId="0">
      <selection activeCell="C25" sqref="C25"/>
    </sheetView>
  </sheetViews>
  <sheetFormatPr defaultColWidth="11.42578125" defaultRowHeight="15" x14ac:dyDescent="0.25"/>
  <cols>
    <col min="1" max="1" width="47.7109375" customWidth="1"/>
    <col min="3" max="3" width="26.140625" customWidth="1"/>
  </cols>
  <sheetData>
    <row r="1" spans="1:5" x14ac:dyDescent="0.25">
      <c r="A1" t="s">
        <v>36</v>
      </c>
      <c r="B1" s="2">
        <f>E1/E2</f>
        <v>3604665.6413612566</v>
      </c>
      <c r="D1" t="s">
        <v>41</v>
      </c>
      <c r="E1" s="2">
        <v>55079291</v>
      </c>
    </row>
    <row r="2" spans="1:5" x14ac:dyDescent="0.25">
      <c r="A2" t="s">
        <v>37</v>
      </c>
      <c r="B2" s="7">
        <v>0.28000000000000003</v>
      </c>
      <c r="D2" t="s">
        <v>42</v>
      </c>
      <c r="E2">
        <v>15.28</v>
      </c>
    </row>
    <row r="3" spans="1:5" x14ac:dyDescent="0.25">
      <c r="A3" t="s">
        <v>38</v>
      </c>
      <c r="B3" s="7">
        <f>CBA!B25</f>
        <v>0.35</v>
      </c>
    </row>
    <row r="5" spans="1:5" x14ac:dyDescent="0.25">
      <c r="A5" t="s">
        <v>30</v>
      </c>
      <c r="B5" s="2">
        <f>B1*B3</f>
        <v>1261632.9744764396</v>
      </c>
    </row>
    <row r="13" spans="1:5" x14ac:dyDescent="0.25">
      <c r="A13" s="1" t="s">
        <v>2</v>
      </c>
      <c r="B13" s="1" t="s">
        <v>1</v>
      </c>
      <c r="C13" s="1" t="s">
        <v>3</v>
      </c>
    </row>
    <row r="14" spans="1:5" x14ac:dyDescent="0.25">
      <c r="A14">
        <v>2016</v>
      </c>
      <c r="B14">
        <v>0</v>
      </c>
      <c r="C14" s="2">
        <f>B14/1.12^(A14-2016)</f>
        <v>0</v>
      </c>
    </row>
    <row r="15" spans="1:5" x14ac:dyDescent="0.25">
      <c r="A15">
        <f t="shared" ref="A15:A24" si="0">A14+1</f>
        <v>2017</v>
      </c>
      <c r="B15">
        <f>B5*0.5</f>
        <v>630816.48723821982</v>
      </c>
      <c r="C15" s="2">
        <f t="shared" ref="C15:C24" si="1">B15/1.12^(A15-2016)</f>
        <v>563229.00646269624</v>
      </c>
    </row>
    <row r="16" spans="1:5" x14ac:dyDescent="0.25">
      <c r="A16">
        <f t="shared" si="0"/>
        <v>2018</v>
      </c>
      <c r="B16">
        <f>B5*0.75</f>
        <v>946224.73085732968</v>
      </c>
      <c r="C16" s="2">
        <f t="shared" si="1"/>
        <v>754324.56222682516</v>
      </c>
    </row>
    <row r="17" spans="1:3" x14ac:dyDescent="0.25">
      <c r="A17">
        <f t="shared" si="0"/>
        <v>2019</v>
      </c>
      <c r="B17" s="2">
        <f>B5</f>
        <v>1261632.9744764396</v>
      </c>
      <c r="C17" s="2">
        <f t="shared" si="1"/>
        <v>898005.43122241087</v>
      </c>
    </row>
    <row r="18" spans="1:3" x14ac:dyDescent="0.25">
      <c r="A18">
        <f t="shared" si="0"/>
        <v>2020</v>
      </c>
      <c r="B18" s="2">
        <f>B17</f>
        <v>1261632.9744764396</v>
      </c>
      <c r="C18" s="2">
        <f t="shared" si="1"/>
        <v>801790.56359143835</v>
      </c>
    </row>
    <row r="19" spans="1:3" x14ac:dyDescent="0.25">
      <c r="A19">
        <f t="shared" si="0"/>
        <v>2021</v>
      </c>
      <c r="B19" s="2">
        <f t="shared" ref="B19:B24" si="2">B18</f>
        <v>1261632.9744764396</v>
      </c>
      <c r="C19" s="2">
        <f t="shared" si="1"/>
        <v>715884.43177806993</v>
      </c>
    </row>
    <row r="20" spans="1:3" x14ac:dyDescent="0.25">
      <c r="A20">
        <f t="shared" si="0"/>
        <v>2022</v>
      </c>
      <c r="B20" s="2">
        <f t="shared" si="2"/>
        <v>1261632.9744764396</v>
      </c>
      <c r="C20" s="2">
        <f t="shared" si="1"/>
        <v>639182.52837327658</v>
      </c>
    </row>
    <row r="21" spans="1:3" x14ac:dyDescent="0.25">
      <c r="A21">
        <f t="shared" si="0"/>
        <v>2023</v>
      </c>
      <c r="B21" s="2">
        <f t="shared" si="2"/>
        <v>1261632.9744764396</v>
      </c>
      <c r="C21" s="2">
        <f t="shared" si="1"/>
        <v>570698.68604756834</v>
      </c>
    </row>
    <row r="22" spans="1:3" x14ac:dyDescent="0.25">
      <c r="A22">
        <f t="shared" si="0"/>
        <v>2024</v>
      </c>
      <c r="B22" s="2">
        <f t="shared" si="2"/>
        <v>1261632.9744764396</v>
      </c>
      <c r="C22" s="2">
        <f t="shared" si="1"/>
        <v>509552.39825675747</v>
      </c>
    </row>
    <row r="23" spans="1:3" x14ac:dyDescent="0.25">
      <c r="A23">
        <f t="shared" si="0"/>
        <v>2025</v>
      </c>
      <c r="B23" s="2">
        <f t="shared" si="2"/>
        <v>1261632.9744764396</v>
      </c>
      <c r="C23" s="2">
        <f t="shared" si="1"/>
        <v>454957.49844353343</v>
      </c>
    </row>
    <row r="24" spans="1:3" x14ac:dyDescent="0.25">
      <c r="A24">
        <f t="shared" si="0"/>
        <v>2026</v>
      </c>
      <c r="B24" s="2">
        <f t="shared" si="2"/>
        <v>1261632.9744764396</v>
      </c>
      <c r="C24" s="2">
        <f t="shared" si="1"/>
        <v>406212.05218172626</v>
      </c>
    </row>
    <row r="25" spans="1:3" x14ac:dyDescent="0.25">
      <c r="C25" s="4">
        <f>SUM(C14:C24)</f>
        <v>6313837.1585843023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C16" workbookViewId="0">
      <selection activeCell="C25" sqref="C25"/>
    </sheetView>
  </sheetViews>
  <sheetFormatPr defaultColWidth="11.42578125" defaultRowHeight="15" x14ac:dyDescent="0.25"/>
  <cols>
    <col min="1" max="1" width="27.140625" customWidth="1"/>
    <col min="2" max="2" width="63.7109375" customWidth="1"/>
    <col min="3" max="3" width="22.7109375" customWidth="1"/>
    <col min="4" max="4" width="43.85546875" customWidth="1"/>
    <col min="7" max="7" width="27" customWidth="1"/>
    <col min="9" max="9" width="14.7109375" customWidth="1"/>
    <col min="12" max="12" width="23.7109375" customWidth="1"/>
    <col min="13" max="13" width="24.28515625" customWidth="1"/>
  </cols>
  <sheetData>
    <row r="1" spans="1:22" x14ac:dyDescent="0.25">
      <c r="C1" s="3"/>
    </row>
    <row r="2" spans="1:22" x14ac:dyDescent="0.25">
      <c r="A2" s="1" t="s">
        <v>14</v>
      </c>
      <c r="B2" s="1">
        <f>SUM(B3:B5)</f>
        <v>97400</v>
      </c>
      <c r="C2" s="3"/>
      <c r="D2" t="s">
        <v>23</v>
      </c>
      <c r="E2" s="2">
        <f>B11*B8</f>
        <v>9711932.6803961303</v>
      </c>
      <c r="G2" t="s">
        <v>33</v>
      </c>
      <c r="H2" s="9">
        <v>10732.34</v>
      </c>
    </row>
    <row r="3" spans="1:22" x14ac:dyDescent="0.25">
      <c r="A3" t="s">
        <v>15</v>
      </c>
      <c r="B3" s="10">
        <v>26661</v>
      </c>
      <c r="C3" s="1"/>
      <c r="D3" s="9" t="s">
        <v>25</v>
      </c>
      <c r="E3" s="10">
        <f>E2/B3</f>
        <v>364.27488392768953</v>
      </c>
      <c r="F3" s="1"/>
      <c r="G3" s="1"/>
      <c r="H3" s="9">
        <v>16122.86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t="s">
        <v>16</v>
      </c>
      <c r="B4" s="10">
        <v>6690</v>
      </c>
      <c r="D4" t="s">
        <v>26</v>
      </c>
      <c r="E4" s="5">
        <f>E3*F4</f>
        <v>109.28246517830685</v>
      </c>
      <c r="F4" s="7">
        <v>0.3</v>
      </c>
      <c r="G4" t="s">
        <v>34</v>
      </c>
      <c r="H4">
        <f>SUM(H2:H3)</f>
        <v>26855.200000000001</v>
      </c>
    </row>
    <row r="5" spans="1:22" x14ac:dyDescent="0.25">
      <c r="A5" t="s">
        <v>17</v>
      </c>
      <c r="B5" s="2">
        <v>64049</v>
      </c>
      <c r="D5" t="s">
        <v>27</v>
      </c>
      <c r="E5" s="2">
        <f>E3*F5</f>
        <v>54.641232589153425</v>
      </c>
      <c r="F5" s="7">
        <v>0.15</v>
      </c>
      <c r="G5" t="s">
        <v>35</v>
      </c>
      <c r="H5">
        <f>H4*1.3*1.3</f>
        <v>45385.288000000008</v>
      </c>
    </row>
    <row r="6" spans="1:22" x14ac:dyDescent="0.25">
      <c r="B6" s="2"/>
    </row>
    <row r="7" spans="1:22" x14ac:dyDescent="0.25">
      <c r="A7" t="s">
        <v>19</v>
      </c>
      <c r="B7" s="2">
        <v>106</v>
      </c>
      <c r="D7" t="s">
        <v>28</v>
      </c>
      <c r="E7" s="2">
        <f>E3*B3+E4*B4+E5*B5+H11</f>
        <v>14833456.67854169</v>
      </c>
      <c r="G7" t="s">
        <v>43</v>
      </c>
      <c r="H7">
        <v>7085</v>
      </c>
    </row>
    <row r="8" spans="1:22" x14ac:dyDescent="0.25">
      <c r="A8" t="s">
        <v>18</v>
      </c>
      <c r="B8" s="2">
        <f>B3/B7</f>
        <v>251.51886792452831</v>
      </c>
      <c r="D8" t="s">
        <v>29</v>
      </c>
      <c r="E8" s="7">
        <f>CBA!B24</f>
        <v>0.3</v>
      </c>
      <c r="G8" t="s">
        <v>44</v>
      </c>
      <c r="H8">
        <v>4638</v>
      </c>
    </row>
    <row r="9" spans="1:22" x14ac:dyDescent="0.25">
      <c r="A9" t="s">
        <v>20</v>
      </c>
      <c r="B9" s="2">
        <f>H5</f>
        <v>45385.288000000008</v>
      </c>
      <c r="C9" s="3"/>
      <c r="D9" t="s">
        <v>30</v>
      </c>
      <c r="E9" s="2">
        <f>E7*E8</f>
        <v>4450037.0035625072</v>
      </c>
      <c r="G9" t="s">
        <v>45</v>
      </c>
      <c r="H9">
        <f>H7-H8</f>
        <v>2447</v>
      </c>
    </row>
    <row r="10" spans="1:22" x14ac:dyDescent="0.25">
      <c r="A10" t="s">
        <v>21</v>
      </c>
      <c r="B10" s="2">
        <f>B9*13</f>
        <v>590008.74400000006</v>
      </c>
      <c r="C10" s="2" t="s">
        <v>22</v>
      </c>
      <c r="G10" t="s">
        <v>46</v>
      </c>
      <c r="H10">
        <v>364</v>
      </c>
      <c r="I10" t="s">
        <v>47</v>
      </c>
    </row>
    <row r="11" spans="1:22" x14ac:dyDescent="0.25">
      <c r="A11" t="s">
        <v>24</v>
      </c>
      <c r="B11" s="2">
        <f>B10/15.28</f>
        <v>38613.137696335085</v>
      </c>
      <c r="G11" t="s">
        <v>48</v>
      </c>
      <c r="H11">
        <f>H9*H10</f>
        <v>890708</v>
      </c>
    </row>
    <row r="13" spans="1:22" x14ac:dyDescent="0.25">
      <c r="A13" s="1" t="s">
        <v>2</v>
      </c>
      <c r="B13" s="1" t="s">
        <v>1</v>
      </c>
      <c r="C13" s="1" t="s">
        <v>3</v>
      </c>
    </row>
    <row r="14" spans="1:22" x14ac:dyDescent="0.25">
      <c r="A14">
        <v>2016</v>
      </c>
      <c r="B14">
        <v>0</v>
      </c>
      <c r="C14" s="2">
        <f>B14/1.12^(A14-2016)</f>
        <v>0</v>
      </c>
    </row>
    <row r="15" spans="1:22" x14ac:dyDescent="0.25">
      <c r="A15">
        <f t="shared" ref="A15:A24" si="0">A14+1</f>
        <v>2017</v>
      </c>
      <c r="B15" s="2">
        <f>E9*0.5</f>
        <v>2225018.5017812536</v>
      </c>
      <c r="C15" s="2">
        <f>B15/1.12^(A15-2016)</f>
        <v>1986623.6623046906</v>
      </c>
      <c r="D15" s="2"/>
    </row>
    <row r="16" spans="1:22" x14ac:dyDescent="0.25">
      <c r="A16">
        <f t="shared" si="0"/>
        <v>2018</v>
      </c>
      <c r="B16" s="2">
        <f>E9*0.75</f>
        <v>3337527.7526718806</v>
      </c>
      <c r="C16" s="2">
        <f t="shared" ref="C16:C24" si="1">B16/1.12^(A16-2016)</f>
        <v>2660656.6905866391</v>
      </c>
      <c r="D16" s="2"/>
    </row>
    <row r="17" spans="1:4" x14ac:dyDescent="0.25">
      <c r="A17">
        <f t="shared" si="0"/>
        <v>2019</v>
      </c>
      <c r="B17" s="2">
        <f>E9</f>
        <v>4450037.0035625072</v>
      </c>
      <c r="C17" s="2">
        <f t="shared" si="1"/>
        <v>3167448.4411745695</v>
      </c>
      <c r="D17" s="2"/>
    </row>
    <row r="18" spans="1:4" x14ac:dyDescent="0.25">
      <c r="A18">
        <f t="shared" si="0"/>
        <v>2020</v>
      </c>
      <c r="B18" s="2">
        <f t="shared" ref="B18:B24" si="2">B17</f>
        <v>4450037.0035625072</v>
      </c>
      <c r="C18" s="2">
        <f t="shared" si="1"/>
        <v>2828078.9653344373</v>
      </c>
      <c r="D18" s="2"/>
    </row>
    <row r="19" spans="1:4" x14ac:dyDescent="0.25">
      <c r="A19">
        <f t="shared" si="0"/>
        <v>2021</v>
      </c>
      <c r="B19" s="2">
        <f t="shared" si="2"/>
        <v>4450037.0035625072</v>
      </c>
      <c r="C19" s="2">
        <f t="shared" si="1"/>
        <v>2525070.5047628903</v>
      </c>
      <c r="D19" s="2"/>
    </row>
    <row r="20" spans="1:4" x14ac:dyDescent="0.25">
      <c r="A20">
        <f t="shared" si="0"/>
        <v>2022</v>
      </c>
      <c r="B20" s="2">
        <f t="shared" si="2"/>
        <v>4450037.0035625072</v>
      </c>
      <c r="C20" s="2">
        <f t="shared" si="1"/>
        <v>2254527.2363954377</v>
      </c>
      <c r="D20" s="2"/>
    </row>
    <row r="21" spans="1:4" x14ac:dyDescent="0.25">
      <c r="A21">
        <f t="shared" si="0"/>
        <v>2023</v>
      </c>
      <c r="B21" s="2">
        <f t="shared" si="2"/>
        <v>4450037.0035625072</v>
      </c>
      <c r="C21" s="2">
        <f t="shared" si="1"/>
        <v>2012970.7467816407</v>
      </c>
      <c r="D21" s="2"/>
    </row>
    <row r="22" spans="1:4" x14ac:dyDescent="0.25">
      <c r="A22">
        <f t="shared" si="0"/>
        <v>2024</v>
      </c>
      <c r="B22" s="2">
        <f t="shared" si="2"/>
        <v>4450037.0035625072</v>
      </c>
      <c r="C22" s="2">
        <f t="shared" si="1"/>
        <v>1797295.3096264647</v>
      </c>
      <c r="D22" s="2"/>
    </row>
    <row r="23" spans="1:4" x14ac:dyDescent="0.25">
      <c r="A23">
        <f t="shared" si="0"/>
        <v>2025</v>
      </c>
      <c r="B23" s="2">
        <f t="shared" si="2"/>
        <v>4450037.0035625072</v>
      </c>
      <c r="C23" s="2">
        <f t="shared" si="1"/>
        <v>1604727.9550236291</v>
      </c>
      <c r="D23" s="2"/>
    </row>
    <row r="24" spans="1:4" x14ac:dyDescent="0.25">
      <c r="A24">
        <f t="shared" si="0"/>
        <v>2026</v>
      </c>
      <c r="B24" s="2">
        <f t="shared" si="2"/>
        <v>4450037.0035625072</v>
      </c>
      <c r="C24" s="2">
        <f t="shared" si="1"/>
        <v>1432792.8169853832</v>
      </c>
      <c r="D24" s="2"/>
    </row>
    <row r="25" spans="1:4" x14ac:dyDescent="0.25">
      <c r="C25" s="4">
        <f>SUM(C14:C24)</f>
        <v>22270192.328975778</v>
      </c>
      <c r="D25" s="4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40482376</IDBDocs_x0020_Number>
    <TaxCatchAll xmlns="9c571b2f-e523-4ab2-ba2e-09e151a03ef4">
      <Value>2</Value>
      <Value>4</Value>
    </TaxCatchAll>
    <Phase xmlns="9c571b2f-e523-4ab2-ba2e-09e151a03ef4" xsi:nil="true"/>
    <SISCOR_x0020_Number xmlns="9c571b2f-e523-4ab2-ba2e-09e151a03ef4" xsi:nil="true"/>
    <Division_x0020_or_x0020_Unit xmlns="9c571b2f-e523-4ab2-ba2e-09e151a03ef4">IFD/ICS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Reyes, Javier Ramiro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AR-L1247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English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RM-GIP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A08A3B5C77C0FC43A261BE7C95B5E886" ma:contentTypeVersion="0" ma:contentTypeDescription="A content type to manage public (operations) IDB documents" ma:contentTypeScope="" ma:versionID="59dd6b97d33a5861a25fc5581e6b7be1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bfe46e4c83422ab72b735076e7988d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7e3e8b7-b0c0-4a85-90a4-39ae7e6b1e0c}" ma:internalName="TaxCatchAll" ma:showField="CatchAllData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7e3e8b7-b0c0-4a85-90a4-39ae7e6b1e0c}" ma:internalName="TaxCatchAllLabel" ma:readOnly="true" ma:showField="CatchAllDataLabel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C9F6968-C27E-4426-B05C-0E9B671E0944}"/>
</file>

<file path=customXml/itemProps2.xml><?xml version="1.0" encoding="utf-8"?>
<ds:datastoreItem xmlns:ds="http://schemas.openxmlformats.org/officeDocument/2006/customXml" ds:itemID="{A5F35101-CD45-4FB3-8E6F-692E72834BDA}"/>
</file>

<file path=customXml/itemProps3.xml><?xml version="1.0" encoding="utf-8"?>
<ds:datastoreItem xmlns:ds="http://schemas.openxmlformats.org/officeDocument/2006/customXml" ds:itemID="{D4632455-7FF3-4245-BC8C-F693B2C75C82}"/>
</file>

<file path=customXml/itemProps4.xml><?xml version="1.0" encoding="utf-8"?>
<ds:datastoreItem xmlns:ds="http://schemas.openxmlformats.org/officeDocument/2006/customXml" ds:itemID="{D741D5FB-F983-4B52-AAED-5EEF81ED7967}"/>
</file>

<file path=customXml/itemProps5.xml><?xml version="1.0" encoding="utf-8"?>
<ds:datastoreItem xmlns:ds="http://schemas.openxmlformats.org/officeDocument/2006/customXml" ds:itemID="{F3D77E7F-3895-47CB-8BB5-EDEAF1A3F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CBA</vt:lpstr>
      <vt:lpstr>Componentes 1 y 2</vt:lpstr>
      <vt:lpstr>Componente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Cálculos Analísis Economico</dc:title>
  <dc:creator/>
  <cp:lastModifiedBy/>
  <dcterms:created xsi:type="dcterms:W3CDTF">2015-06-05T18:19:34Z</dcterms:created>
  <dcterms:modified xsi:type="dcterms:W3CDTF">2016-08-18T01:17:17Z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0x01010046CF21643EE8D14686A648AA6DAD089200A08A3B5C77C0FC43A261BE7C95B5E886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2;#Unclassified|a6dff32e-d477-44cd-a56b-85efe9e0a56c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2;#Unclassified|a6dff32e-d477-44cd-a56b-85efe9e0a56c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