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067"/>
  <workbookPr showInkAnnotation="0" autoCompressPictures="0"/>
  <mc:AlternateContent xmlns:mc="http://schemas.openxmlformats.org/markup-compatibility/2006">
    <mc:Choice Requires="x15">
      <x15ac:absPath xmlns:x15ac="http://schemas.microsoft.com/office/spreadsheetml/2010/11/ac" url="C:\Users\marianac\Documents\Marianac\2. Préstamos\2017\DR-L1117\4. LP\Cambios de OPC y Negociación\"/>
    </mc:Choice>
  </mc:AlternateContent>
  <bookViews>
    <workbookView xWindow="0" yWindow="0" windowWidth="22800" windowHeight="8328" tabRatio="813" firstSheet="7" activeTab="7"/>
  </bookViews>
  <sheets>
    <sheet name="1. Detailed Budget " sheetId="15" state="hidden" r:id="rId1"/>
    <sheet name="2. Pluriannual Plan PEP" sheetId="7" state="hidden" r:id="rId2"/>
    <sheet name="3. Procurement Plan - PA" sheetId="17" state="hidden" r:id="rId3"/>
    <sheet name="4. Sintetic - PA" sheetId="18" state="hidden" r:id="rId4"/>
    <sheet name="5. Budget by Components" sheetId="19" state="hidden" r:id="rId5"/>
    <sheet name="Prices" sheetId="10" state="hidden" r:id="rId6"/>
    <sheet name="PETI 2017-2020" sheetId="16" state="hidden" r:id="rId7"/>
    <sheet name="POA 2017" sheetId="21" r:id="rId8"/>
  </sheets>
  <externalReferences>
    <externalReference r:id="rId9"/>
    <externalReference r:id="rId10"/>
  </externalReferences>
  <definedNames>
    <definedName name="_xlnm._FilterDatabase" localSheetId="2" hidden="1">'3. Procurement Plan - PA'!$E$1:$E$157</definedName>
    <definedName name="_xlnm.Print_Area" localSheetId="0">'1. Detailed Budget '!$A$39:$P$43</definedName>
  </definedNames>
  <calcPr calcId="171026"/>
</workbook>
</file>

<file path=xl/calcChain.xml><?xml version="1.0" encoding="utf-8"?>
<calcChain xmlns="http://schemas.openxmlformats.org/spreadsheetml/2006/main">
  <c r="F15" i="7" l="1"/>
  <c r="F8" i="7"/>
  <c r="F63" i="17"/>
  <c r="F155" i="17" s="1"/>
  <c r="F86" i="17"/>
  <c r="F153" i="17"/>
  <c r="D5" i="7" l="1"/>
  <c r="B134" i="17" l="1"/>
  <c r="E134" i="17"/>
  <c r="G134" i="17" s="1"/>
  <c r="C171" i="17"/>
  <c r="C170" i="17"/>
  <c r="C169" i="17"/>
  <c r="C168" i="17"/>
  <c r="C167" i="17"/>
  <c r="C166" i="17"/>
  <c r="C165" i="17"/>
  <c r="D177" i="17"/>
  <c r="D176" i="17"/>
  <c r="D175" i="17"/>
  <c r="D174" i="17"/>
  <c r="D173" i="17"/>
  <c r="D172" i="17"/>
  <c r="E65" i="17"/>
  <c r="E135" i="17"/>
  <c r="G135" i="17" s="1"/>
  <c r="B135" i="17"/>
  <c r="B137" i="17"/>
  <c r="B130" i="17"/>
  <c r="F10" i="21"/>
  <c r="F27" i="21"/>
  <c r="T28" i="15" l="1"/>
  <c r="E130" i="17" s="1"/>
  <c r="G130" i="17" s="1"/>
  <c r="B133" i="17" l="1"/>
  <c r="T36" i="15"/>
  <c r="E133" i="17" s="1"/>
  <c r="G133" i="17" s="1"/>
  <c r="B132" i="17" l="1"/>
  <c r="T33" i="15"/>
  <c r="E132" i="17" s="1"/>
  <c r="G132" i="17" s="1"/>
  <c r="B71" i="17" l="1"/>
  <c r="B128" i="17" l="1"/>
  <c r="B67" i="17"/>
  <c r="B68" i="17"/>
  <c r="I16" i="15" l="1"/>
  <c r="L16" i="15"/>
  <c r="T22" i="15"/>
  <c r="E128" i="17" s="1"/>
  <c r="G128" i="17" s="1"/>
  <c r="I15" i="15" l="1"/>
  <c r="L15" i="15" s="1"/>
  <c r="E71" i="17" s="1"/>
  <c r="G71" i="17" s="1"/>
  <c r="I9" i="15"/>
  <c r="L9" i="15" s="1"/>
  <c r="E67" i="17" s="1"/>
  <c r="G67" i="17" l="1"/>
  <c r="F35" i="21"/>
  <c r="F34" i="21"/>
  <c r="F33" i="21"/>
  <c r="F31" i="21"/>
  <c r="F30" i="21"/>
  <c r="F29" i="21"/>
  <c r="G28" i="21"/>
  <c r="F28" i="21"/>
  <c r="F25" i="21"/>
  <c r="F22" i="21"/>
  <c r="F21" i="21"/>
  <c r="F20" i="21"/>
  <c r="F19" i="21"/>
  <c r="F17" i="21"/>
  <c r="F16" i="21"/>
  <c r="F15" i="21"/>
  <c r="F14" i="21"/>
  <c r="F12" i="21"/>
  <c r="F11" i="21"/>
  <c r="F9" i="21"/>
  <c r="F36" i="21" s="1"/>
  <c r="F8" i="21"/>
  <c r="F3" i="21" l="1"/>
  <c r="A14" i="7" l="1"/>
  <c r="B84" i="17"/>
  <c r="I82" i="15"/>
  <c r="L82" i="15" s="1"/>
  <c r="A32" i="7"/>
  <c r="A31" i="7"/>
  <c r="E153" i="17"/>
  <c r="G153" i="17"/>
  <c r="B143" i="17"/>
  <c r="B107" i="17"/>
  <c r="B83" i="17"/>
  <c r="B41" i="17"/>
  <c r="A47" i="7"/>
  <c r="A45" i="7"/>
  <c r="A46" i="7"/>
  <c r="A40" i="7"/>
  <c r="A41" i="7"/>
  <c r="A42" i="7"/>
  <c r="A43" i="7"/>
  <c r="A44" i="7"/>
  <c r="A38" i="7"/>
  <c r="A39" i="7"/>
  <c r="A37" i="7"/>
  <c r="A34" i="7"/>
  <c r="A33" i="7"/>
  <c r="A30" i="7"/>
  <c r="A29" i="7"/>
  <c r="A28" i="7"/>
  <c r="A24" i="7"/>
  <c r="A23" i="7"/>
  <c r="A22" i="7"/>
  <c r="A21" i="7"/>
  <c r="A20" i="7"/>
  <c r="A19" i="7"/>
  <c r="A18" i="7"/>
  <c r="A17" i="7"/>
  <c r="A16" i="7"/>
  <c r="A15" i="7"/>
  <c r="A13" i="7"/>
  <c r="A12" i="7"/>
  <c r="A11" i="7"/>
  <c r="A10" i="7"/>
  <c r="A9" i="7"/>
  <c r="A8" i="7"/>
  <c r="A7" i="7"/>
  <c r="A6" i="7"/>
  <c r="A5" i="7"/>
  <c r="I44" i="16"/>
  <c r="H44" i="16"/>
  <c r="G44" i="16"/>
  <c r="F44" i="16"/>
  <c r="E44" i="16"/>
  <c r="D44" i="16"/>
  <c r="I43" i="16"/>
  <c r="H43" i="16"/>
  <c r="G43" i="16"/>
  <c r="F43" i="16"/>
  <c r="E43" i="16"/>
  <c r="D43" i="16"/>
  <c r="I42" i="16"/>
  <c r="I41" i="16"/>
  <c r="I40" i="16"/>
  <c r="I38" i="16"/>
  <c r="H38" i="16"/>
  <c r="G38" i="16"/>
  <c r="F38" i="16"/>
  <c r="E38" i="16"/>
  <c r="D38" i="16"/>
  <c r="I37" i="16"/>
  <c r="I36" i="16"/>
  <c r="I35" i="16"/>
  <c r="I34" i="16"/>
  <c r="I33" i="16"/>
  <c r="I32" i="16"/>
  <c r="I31" i="16"/>
  <c r="I30" i="16"/>
  <c r="I29" i="16"/>
  <c r="I28" i="16"/>
  <c r="I27" i="16"/>
  <c r="I26" i="16"/>
  <c r="I23" i="16"/>
  <c r="H23" i="16"/>
  <c r="G23" i="16"/>
  <c r="F23" i="16"/>
  <c r="E23" i="16"/>
  <c r="D23" i="16"/>
  <c r="I22" i="16"/>
  <c r="I21" i="16"/>
  <c r="I20" i="16"/>
  <c r="I19" i="16"/>
  <c r="I18" i="16"/>
  <c r="I17" i="16"/>
  <c r="I16" i="16"/>
  <c r="I15" i="16"/>
  <c r="I14" i="16"/>
  <c r="I13" i="16"/>
  <c r="I12" i="16"/>
  <c r="I10" i="16"/>
  <c r="H10" i="16"/>
  <c r="G10" i="16"/>
  <c r="F10" i="16"/>
  <c r="E10" i="16"/>
  <c r="D10" i="16"/>
  <c r="I9" i="16"/>
  <c r="I8" i="16"/>
  <c r="I7" i="16"/>
  <c r="I6" i="16"/>
  <c r="I5" i="16"/>
  <c r="I4" i="16"/>
  <c r="D8" i="10"/>
  <c r="B8" i="10"/>
  <c r="D5" i="10"/>
  <c r="C5" i="10"/>
  <c r="B5" i="10"/>
  <c r="E4" i="10"/>
  <c r="D4" i="10"/>
  <c r="C4" i="10"/>
  <c r="B4" i="10"/>
  <c r="D3" i="10"/>
  <c r="B3" i="10"/>
  <c r="D2" i="10"/>
  <c r="C2" i="10"/>
  <c r="B2" i="10"/>
  <c r="C15" i="19"/>
  <c r="A7" i="19"/>
  <c r="C6" i="19"/>
  <c r="A5" i="19"/>
  <c r="A20" i="18" s="1"/>
  <c r="A4" i="19"/>
  <c r="A19" i="18" s="1"/>
  <c r="C3" i="19"/>
  <c r="A22" i="18"/>
  <c r="A21" i="18"/>
  <c r="C4" i="18"/>
  <c r="B149" i="17"/>
  <c r="B148" i="17"/>
  <c r="B147" i="17"/>
  <c r="B146" i="17"/>
  <c r="B145" i="17"/>
  <c r="B144" i="17"/>
  <c r="B142" i="17"/>
  <c r="B141" i="17"/>
  <c r="B140" i="17"/>
  <c r="B139" i="17"/>
  <c r="B138" i="17"/>
  <c r="B136" i="17"/>
  <c r="B131" i="17"/>
  <c r="B129" i="17"/>
  <c r="B127" i="17"/>
  <c r="B126" i="17"/>
  <c r="B125" i="17"/>
  <c r="B124" i="17"/>
  <c r="B123" i="17"/>
  <c r="B122" i="17"/>
  <c r="B121" i="17"/>
  <c r="A121" i="17"/>
  <c r="A122" i="17" s="1"/>
  <c r="A123" i="17" s="1"/>
  <c r="A124" i="17" s="1"/>
  <c r="A125" i="17" s="1"/>
  <c r="A126" i="17" s="1"/>
  <c r="A127" i="17" s="1"/>
  <c r="A128" i="17" s="1"/>
  <c r="A129" i="17" s="1"/>
  <c r="A130" i="17" s="1"/>
  <c r="A131" i="17" s="1"/>
  <c r="A132" i="17" s="1"/>
  <c r="A133" i="17" s="1"/>
  <c r="A134" i="17" s="1"/>
  <c r="A135" i="17" s="1"/>
  <c r="A136" i="17" s="1"/>
  <c r="A137" i="17" s="1"/>
  <c r="A138" i="17" s="1"/>
  <c r="A139" i="17" s="1"/>
  <c r="A140" i="17" s="1"/>
  <c r="A141" i="17" s="1"/>
  <c r="A142" i="17" s="1"/>
  <c r="A143" i="17" s="1"/>
  <c r="A144" i="17" s="1"/>
  <c r="A145" i="17" s="1"/>
  <c r="A146" i="17" s="1"/>
  <c r="A147" i="17" s="1"/>
  <c r="A148" i="17" s="1"/>
  <c r="A149" i="17" s="1"/>
  <c r="B120" i="17"/>
  <c r="B117" i="17"/>
  <c r="B116" i="17"/>
  <c r="B115" i="17"/>
  <c r="B114" i="17"/>
  <c r="B113" i="17"/>
  <c r="B112" i="17"/>
  <c r="B111" i="17"/>
  <c r="B110" i="17"/>
  <c r="B109" i="17"/>
  <c r="B108" i="17"/>
  <c r="B106" i="17"/>
  <c r="B105" i="17"/>
  <c r="B104" i="17"/>
  <c r="B103" i="17"/>
  <c r="B102" i="17"/>
  <c r="B101" i="17"/>
  <c r="B100" i="17"/>
  <c r="B99" i="17"/>
  <c r="B98" i="17"/>
  <c r="B97" i="17"/>
  <c r="B96" i="17"/>
  <c r="B95" i="17"/>
  <c r="B94" i="17"/>
  <c r="B93" i="17"/>
  <c r="B92" i="17"/>
  <c r="B91" i="17"/>
  <c r="B90" i="17"/>
  <c r="B89" i="17"/>
  <c r="A89" i="17"/>
  <c r="A90" i="17" s="1"/>
  <c r="A91" i="17" s="1"/>
  <c r="A92" i="17" s="1"/>
  <c r="A93" i="17" s="1"/>
  <c r="A94" i="17" s="1"/>
  <c r="A95" i="17" s="1"/>
  <c r="A96" i="17" s="1"/>
  <c r="A97" i="17" s="1"/>
  <c r="A98" i="17" s="1"/>
  <c r="A99" i="17" s="1"/>
  <c r="A100" i="17" s="1"/>
  <c r="A101" i="17" s="1"/>
  <c r="A102" i="17" s="1"/>
  <c r="A103" i="17" s="1"/>
  <c r="A104" i="17" s="1"/>
  <c r="A105" i="17" s="1"/>
  <c r="A106" i="17" s="1"/>
  <c r="A107" i="17" s="1"/>
  <c r="A108" i="17" s="1"/>
  <c r="A109" i="17" s="1"/>
  <c r="A110" i="17" s="1"/>
  <c r="A111" i="17" s="1"/>
  <c r="A112" i="17" s="1"/>
  <c r="A113" i="17" s="1"/>
  <c r="A114" i="17" s="1"/>
  <c r="A115" i="17" s="1"/>
  <c r="A116" i="17" s="1"/>
  <c r="A117" i="17" s="1"/>
  <c r="B88" i="17"/>
  <c r="B85" i="17"/>
  <c r="B82" i="17"/>
  <c r="B81" i="17"/>
  <c r="B80" i="17"/>
  <c r="B79" i="17"/>
  <c r="B78" i="17"/>
  <c r="B77" i="17"/>
  <c r="B76" i="17"/>
  <c r="B75" i="17"/>
  <c r="B74" i="17"/>
  <c r="B73" i="17"/>
  <c r="B72" i="17"/>
  <c r="B70" i="17"/>
  <c r="B69" i="17"/>
  <c r="B66" i="17"/>
  <c r="A66" i="17"/>
  <c r="A67" i="17" s="1"/>
  <c r="A68" i="17" s="1"/>
  <c r="A69" i="17" s="1"/>
  <c r="A70" i="17" s="1"/>
  <c r="B65" i="17"/>
  <c r="B62" i="17"/>
  <c r="B61" i="17"/>
  <c r="B60" i="17"/>
  <c r="B59" i="17"/>
  <c r="B58" i="17"/>
  <c r="B57" i="17"/>
  <c r="B56" i="17"/>
  <c r="B55" i="17"/>
  <c r="B54" i="17"/>
  <c r="B53" i="17"/>
  <c r="B52" i="17"/>
  <c r="B51" i="17"/>
  <c r="B50" i="17"/>
  <c r="B49" i="17"/>
  <c r="B48" i="17"/>
  <c r="B47" i="17"/>
  <c r="B46" i="17"/>
  <c r="B45" i="17"/>
  <c r="B44" i="17"/>
  <c r="B43" i="17"/>
  <c r="B42" i="17"/>
  <c r="B40" i="17"/>
  <c r="B39" i="17"/>
  <c r="B38" i="17"/>
  <c r="B37" i="17"/>
  <c r="B36" i="17"/>
  <c r="B35" i="17"/>
  <c r="B34" i="17"/>
  <c r="B33" i="17"/>
  <c r="B32" i="17"/>
  <c r="B31" i="17"/>
  <c r="B30" i="17"/>
  <c r="B29" i="17"/>
  <c r="B28" i="17"/>
  <c r="B27" i="17"/>
  <c r="B26" i="17"/>
  <c r="B25" i="17"/>
  <c r="B24" i="17"/>
  <c r="B23" i="17"/>
  <c r="B22" i="17"/>
  <c r="B21" i="17"/>
  <c r="B20" i="17"/>
  <c r="B19" i="17"/>
  <c r="B18" i="17"/>
  <c r="B17" i="17"/>
  <c r="B16" i="17"/>
  <c r="B15" i="17"/>
  <c r="B14" i="17"/>
  <c r="B13" i="17"/>
  <c r="B12" i="17"/>
  <c r="B11" i="17"/>
  <c r="B10" i="17"/>
  <c r="B9" i="17"/>
  <c r="B8" i="17"/>
  <c r="B7" i="17"/>
  <c r="A7" i="17"/>
  <c r="A8" i="17" s="1"/>
  <c r="A9" i="17" s="1"/>
  <c r="A10" i="17" s="1"/>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5" i="17" s="1"/>
  <c r="A56" i="17" s="1"/>
  <c r="A57" i="17" s="1"/>
  <c r="A58" i="17" s="1"/>
  <c r="A59" i="17" s="1"/>
  <c r="A60" i="17" s="1"/>
  <c r="A61" i="17" s="1"/>
  <c r="A62" i="17" s="1"/>
  <c r="B6" i="17"/>
  <c r="M49" i="7"/>
  <c r="M47" i="7"/>
  <c r="M46" i="7"/>
  <c r="M45" i="7"/>
  <c r="M44" i="7"/>
  <c r="M43" i="7"/>
  <c r="M42" i="7"/>
  <c r="M41" i="7"/>
  <c r="M40" i="7"/>
  <c r="M39" i="7"/>
  <c r="M38" i="7"/>
  <c r="A36" i="7"/>
  <c r="M34" i="7"/>
  <c r="M33" i="7"/>
  <c r="M32" i="7"/>
  <c r="M31" i="7"/>
  <c r="M30" i="7"/>
  <c r="M29" i="7"/>
  <c r="M28" i="7"/>
  <c r="M24" i="7"/>
  <c r="M23" i="7"/>
  <c r="M22" i="7"/>
  <c r="M21" i="7"/>
  <c r="M20" i="7"/>
  <c r="M19" i="7"/>
  <c r="M18" i="7"/>
  <c r="M17" i="7"/>
  <c r="M16" i="7"/>
  <c r="M15" i="7"/>
  <c r="M14" i="7"/>
  <c r="M13" i="7"/>
  <c r="M12" i="7"/>
  <c r="M11" i="7"/>
  <c r="M10" i="7"/>
  <c r="M9" i="7"/>
  <c r="M8" i="7"/>
  <c r="M7" i="7"/>
  <c r="M6" i="7"/>
  <c r="M5" i="7"/>
  <c r="X114" i="15"/>
  <c r="T114" i="15"/>
  <c r="P114" i="15"/>
  <c r="L114" i="15"/>
  <c r="G114" i="15"/>
  <c r="B114" i="15" s="1"/>
  <c r="X113" i="15"/>
  <c r="T113" i="15"/>
  <c r="P113" i="15"/>
  <c r="L113" i="15"/>
  <c r="G113" i="15"/>
  <c r="X112" i="15"/>
  <c r="T112" i="15"/>
  <c r="P112" i="15"/>
  <c r="L112" i="15"/>
  <c r="G112" i="15"/>
  <c r="X111" i="15"/>
  <c r="T111" i="15"/>
  <c r="P111" i="15"/>
  <c r="L111" i="15"/>
  <c r="G111" i="15"/>
  <c r="X110" i="15"/>
  <c r="T110" i="15"/>
  <c r="P110" i="15"/>
  <c r="L110" i="15"/>
  <c r="G110" i="15"/>
  <c r="X109" i="15"/>
  <c r="T109" i="15"/>
  <c r="P109" i="15"/>
  <c r="L109" i="15"/>
  <c r="D109" i="15"/>
  <c r="G109" i="15" s="1"/>
  <c r="X108" i="15"/>
  <c r="T108" i="15"/>
  <c r="P108" i="15"/>
  <c r="L108" i="15"/>
  <c r="D108" i="15"/>
  <c r="G108" i="15" s="1"/>
  <c r="B108" i="15" s="1"/>
  <c r="B44" i="7" s="1"/>
  <c r="X107" i="15"/>
  <c r="T107" i="15"/>
  <c r="P107" i="15"/>
  <c r="L107" i="15"/>
  <c r="D107" i="15"/>
  <c r="G107" i="15" s="1"/>
  <c r="X106" i="15"/>
  <c r="T106" i="15"/>
  <c r="P106" i="15"/>
  <c r="L106" i="15"/>
  <c r="D106" i="15"/>
  <c r="G106" i="15" s="1"/>
  <c r="D105" i="15"/>
  <c r="G105" i="15" s="1"/>
  <c r="E56" i="17" s="1"/>
  <c r="G56" i="17" s="1"/>
  <c r="X104" i="15"/>
  <c r="T104" i="15"/>
  <c r="P104" i="15"/>
  <c r="L104" i="15"/>
  <c r="D104" i="15"/>
  <c r="G104" i="15" s="1"/>
  <c r="E55" i="17" s="1"/>
  <c r="G55" i="17" s="1"/>
  <c r="D103" i="15"/>
  <c r="G103" i="15" s="1"/>
  <c r="X102" i="15"/>
  <c r="T102" i="15"/>
  <c r="P102" i="15"/>
  <c r="L102" i="15"/>
  <c r="D102" i="15"/>
  <c r="G102" i="15" s="1"/>
  <c r="B102" i="15" s="1"/>
  <c r="B38" i="7" s="1"/>
  <c r="J38" i="7" s="1"/>
  <c r="X101" i="15"/>
  <c r="T101" i="15"/>
  <c r="P101" i="15"/>
  <c r="L101" i="15"/>
  <c r="D101" i="15"/>
  <c r="G101" i="15" s="1"/>
  <c r="B101" i="15" s="1"/>
  <c r="B37" i="7" s="1"/>
  <c r="F37" i="7" s="1"/>
  <c r="P99" i="15"/>
  <c r="E117" i="17" s="1"/>
  <c r="G117" i="17" s="1"/>
  <c r="X98" i="15"/>
  <c r="T98" i="15"/>
  <c r="E149" i="17" s="1"/>
  <c r="G149" i="17" s="1"/>
  <c r="P98" i="15"/>
  <c r="E116" i="17" s="1"/>
  <c r="G116" i="17" s="1"/>
  <c r="L98" i="15"/>
  <c r="G98" i="15"/>
  <c r="X97" i="15"/>
  <c r="R97" i="15"/>
  <c r="T97" i="15" s="1"/>
  <c r="E148" i="17" s="1"/>
  <c r="G148" i="17" s="1"/>
  <c r="P97" i="15"/>
  <c r="E115" i="17" s="1"/>
  <c r="G115" i="17" s="1"/>
  <c r="L97" i="15"/>
  <c r="D97" i="15"/>
  <c r="G97" i="15" s="1"/>
  <c r="X96" i="15"/>
  <c r="T96" i="15"/>
  <c r="E147" i="17" s="1"/>
  <c r="G147" i="17" s="1"/>
  <c r="P96" i="15"/>
  <c r="E114" i="17" s="1"/>
  <c r="G114" i="17" s="1"/>
  <c r="L96" i="15"/>
  <c r="D96" i="15"/>
  <c r="G96" i="15" s="1"/>
  <c r="X95" i="15"/>
  <c r="R95" i="15"/>
  <c r="T95" i="15" s="1"/>
  <c r="P95" i="15"/>
  <c r="E113" i="17" s="1"/>
  <c r="G113" i="17" s="1"/>
  <c r="L95" i="15"/>
  <c r="D95" i="15"/>
  <c r="G95" i="15" s="1"/>
  <c r="E50" i="17" s="1"/>
  <c r="G50" i="17" s="1"/>
  <c r="D94" i="15"/>
  <c r="G94" i="15" s="1"/>
  <c r="E49" i="17" s="1"/>
  <c r="G49" i="17" s="1"/>
  <c r="P93" i="15"/>
  <c r="E112" i="17" s="1"/>
  <c r="G112" i="17" s="1"/>
  <c r="L93" i="15"/>
  <c r="D93" i="15"/>
  <c r="G93" i="15" s="1"/>
  <c r="X92" i="15"/>
  <c r="T92" i="15"/>
  <c r="P92" i="15"/>
  <c r="E111" i="17" s="1"/>
  <c r="G111" i="17" s="1"/>
  <c r="L92" i="15"/>
  <c r="G92" i="15"/>
  <c r="E47" i="17" s="1"/>
  <c r="G47" i="17" s="1"/>
  <c r="X91" i="15"/>
  <c r="T91" i="15"/>
  <c r="P91" i="15"/>
  <c r="E110" i="17" s="1"/>
  <c r="G110" i="17" s="1"/>
  <c r="L91" i="15"/>
  <c r="G91" i="15"/>
  <c r="E46" i="17" s="1"/>
  <c r="G46" i="17" s="1"/>
  <c r="X90" i="15"/>
  <c r="T90" i="15"/>
  <c r="N90" i="15"/>
  <c r="P90" i="15" s="1"/>
  <c r="E109" i="17" s="1"/>
  <c r="G109" i="17" s="1"/>
  <c r="L90" i="15"/>
  <c r="G90" i="15"/>
  <c r="E45" i="17" s="1"/>
  <c r="G45" i="17" s="1"/>
  <c r="X89" i="15"/>
  <c r="T89" i="15"/>
  <c r="P89" i="15"/>
  <c r="E108" i="17" s="1"/>
  <c r="G108" i="17" s="1"/>
  <c r="I89" i="15"/>
  <c r="L89" i="15" s="1"/>
  <c r="E85" i="17" s="1"/>
  <c r="G85" i="17" s="1"/>
  <c r="G89" i="15"/>
  <c r="E44" i="17" s="1"/>
  <c r="G44" i="17" s="1"/>
  <c r="X85" i="15"/>
  <c r="T85" i="15"/>
  <c r="E145" i="17" s="1"/>
  <c r="G145" i="17" s="1"/>
  <c r="P85" i="15"/>
  <c r="L85" i="15"/>
  <c r="D85" i="15"/>
  <c r="G85" i="15" s="1"/>
  <c r="E43" i="17" s="1"/>
  <c r="G43" i="17" s="1"/>
  <c r="X84" i="15"/>
  <c r="T84" i="15"/>
  <c r="P84" i="15"/>
  <c r="L84" i="15"/>
  <c r="D84" i="15"/>
  <c r="G84" i="15" s="1"/>
  <c r="E42" i="17" s="1"/>
  <c r="G42" i="17" s="1"/>
  <c r="D83" i="15"/>
  <c r="G83" i="15" s="1"/>
  <c r="Y83" i="15" s="1"/>
  <c r="X82" i="15"/>
  <c r="T82" i="15"/>
  <c r="E144" i="17" s="1"/>
  <c r="G144" i="17" s="1"/>
  <c r="P82" i="15"/>
  <c r="D82" i="15"/>
  <c r="G82" i="15" s="1"/>
  <c r="E40" i="17" s="1"/>
  <c r="G40" i="17" s="1"/>
  <c r="X81" i="15"/>
  <c r="T81" i="15"/>
  <c r="E143" i="17" s="1"/>
  <c r="P81" i="15"/>
  <c r="E107" i="17" s="1"/>
  <c r="G107" i="17" s="1"/>
  <c r="I81" i="15"/>
  <c r="L81" i="15" s="1"/>
  <c r="E83" i="17" s="1"/>
  <c r="D81" i="15"/>
  <c r="G81" i="15" s="1"/>
  <c r="L88" i="15"/>
  <c r="D88" i="15"/>
  <c r="G88" i="15" s="1"/>
  <c r="E38" i="17" s="1"/>
  <c r="G38" i="17" s="1"/>
  <c r="D87" i="15"/>
  <c r="G87" i="15" s="1"/>
  <c r="E37" i="17" s="1"/>
  <c r="G37" i="17" s="1"/>
  <c r="X86" i="15"/>
  <c r="T86" i="15"/>
  <c r="P86" i="15"/>
  <c r="L86" i="15"/>
  <c r="D86" i="15"/>
  <c r="G86" i="15" s="1"/>
  <c r="X79" i="15"/>
  <c r="T79" i="15"/>
  <c r="P79" i="15"/>
  <c r="L79" i="15"/>
  <c r="G79" i="15"/>
  <c r="X78" i="15"/>
  <c r="T78" i="15"/>
  <c r="P78" i="15"/>
  <c r="E106" i="17" s="1"/>
  <c r="G106" i="17" s="1"/>
  <c r="L78" i="15"/>
  <c r="D78" i="15"/>
  <c r="G78" i="15" s="1"/>
  <c r="E35" i="17" s="1"/>
  <c r="G35" i="17" s="1"/>
  <c r="X77" i="15"/>
  <c r="T77" i="15"/>
  <c r="P77" i="15"/>
  <c r="L77" i="15"/>
  <c r="G77" i="15"/>
  <c r="X76" i="15"/>
  <c r="T76" i="15"/>
  <c r="P76" i="15"/>
  <c r="L76" i="15"/>
  <c r="D76" i="15"/>
  <c r="G76" i="15" s="1"/>
  <c r="E34" i="17" s="1"/>
  <c r="G34" i="17" s="1"/>
  <c r="X75" i="15"/>
  <c r="T75" i="15"/>
  <c r="P75" i="15"/>
  <c r="E105" i="17" s="1"/>
  <c r="G105" i="17" s="1"/>
  <c r="L75" i="15"/>
  <c r="D75" i="15"/>
  <c r="G75" i="15" s="1"/>
  <c r="X74" i="15"/>
  <c r="T74" i="15"/>
  <c r="P74" i="15"/>
  <c r="L74" i="15"/>
  <c r="G74" i="15"/>
  <c r="X73" i="15"/>
  <c r="T73" i="15"/>
  <c r="P73" i="15"/>
  <c r="L73" i="15"/>
  <c r="D73" i="15"/>
  <c r="G73" i="15" s="1"/>
  <c r="E32" i="17" s="1"/>
  <c r="G32" i="17" s="1"/>
  <c r="X72" i="15"/>
  <c r="T72" i="15"/>
  <c r="P72" i="15"/>
  <c r="E104" i="17" s="1"/>
  <c r="G104" i="17" s="1"/>
  <c r="L72" i="15"/>
  <c r="D72" i="15"/>
  <c r="G72" i="15" s="1"/>
  <c r="E31" i="17" s="1"/>
  <c r="G31" i="17" s="1"/>
  <c r="X71" i="15"/>
  <c r="T71" i="15"/>
  <c r="P71" i="15"/>
  <c r="E103" i="17" s="1"/>
  <c r="L71" i="15"/>
  <c r="D71" i="15"/>
  <c r="G71" i="15" s="1"/>
  <c r="I68" i="15"/>
  <c r="L68" i="15" s="1"/>
  <c r="E82" i="17" s="1"/>
  <c r="G82" i="17" s="1"/>
  <c r="G68" i="15"/>
  <c r="T67" i="15"/>
  <c r="E142" i="17" s="1"/>
  <c r="G142" i="17" s="1"/>
  <c r="I67" i="15"/>
  <c r="L67" i="15" s="1"/>
  <c r="E81" i="17" s="1"/>
  <c r="G81" i="17" s="1"/>
  <c r="G67" i="15"/>
  <c r="P66" i="15"/>
  <c r="E102" i="17" s="1"/>
  <c r="G102" i="17" s="1"/>
  <c r="P65" i="15"/>
  <c r="E101" i="17" s="1"/>
  <c r="G101" i="17" s="1"/>
  <c r="P64" i="15"/>
  <c r="E100" i="17" s="1"/>
  <c r="G100" i="17" s="1"/>
  <c r="P63" i="15"/>
  <c r="E99" i="17" s="1"/>
  <c r="G99" i="17" s="1"/>
  <c r="P62" i="15"/>
  <c r="E98" i="17" s="1"/>
  <c r="G98" i="17" s="1"/>
  <c r="P61" i="15"/>
  <c r="E97" i="17" s="1"/>
  <c r="G97" i="17" s="1"/>
  <c r="I10" i="15"/>
  <c r="L10" i="15" s="1"/>
  <c r="E68" i="17" s="1"/>
  <c r="P60" i="15"/>
  <c r="E96" i="17" s="1"/>
  <c r="G96" i="17" s="1"/>
  <c r="I60" i="15"/>
  <c r="L60" i="15" s="1"/>
  <c r="T59" i="15"/>
  <c r="E141" i="17" s="1"/>
  <c r="G141" i="17" s="1"/>
  <c r="P58" i="15"/>
  <c r="E95" i="17" s="1"/>
  <c r="G95" i="17" s="1"/>
  <c r="I58" i="15"/>
  <c r="L58" i="15" s="1"/>
  <c r="E79" i="17" s="1"/>
  <c r="G79" i="17" s="1"/>
  <c r="T57" i="15"/>
  <c r="E140" i="17" s="1"/>
  <c r="G140" i="17" s="1"/>
  <c r="P57" i="15"/>
  <c r="E94" i="17" s="1"/>
  <c r="G94" i="17" s="1"/>
  <c r="T56" i="15"/>
  <c r="E139" i="17" s="1"/>
  <c r="G139" i="17" s="1"/>
  <c r="T55" i="15"/>
  <c r="E138" i="17" s="1"/>
  <c r="G138" i="17" s="1"/>
  <c r="T53" i="15"/>
  <c r="E136" i="17" s="1"/>
  <c r="G136" i="17" s="1"/>
  <c r="T54" i="15"/>
  <c r="E137" i="17" s="1"/>
  <c r="G137" i="17" s="1"/>
  <c r="I53" i="15"/>
  <c r="L53" i="15" s="1"/>
  <c r="D52" i="15"/>
  <c r="G52" i="15" s="1"/>
  <c r="E29" i="17" s="1"/>
  <c r="G29" i="17" s="1"/>
  <c r="I51" i="15"/>
  <c r="L51" i="15" s="1"/>
  <c r="E77" i="17" s="1"/>
  <c r="G77" i="17" s="1"/>
  <c r="G51" i="15"/>
  <c r="X50" i="15"/>
  <c r="T50" i="15"/>
  <c r="P50" i="15"/>
  <c r="I50" i="15"/>
  <c r="L50" i="15" s="1"/>
  <c r="E76" i="17" s="1"/>
  <c r="G76" i="17" s="1"/>
  <c r="G50" i="15"/>
  <c r="T49" i="15"/>
  <c r="P48" i="15"/>
  <c r="E93" i="17" s="1"/>
  <c r="G93" i="17" s="1"/>
  <c r="P47" i="15"/>
  <c r="E92" i="17" s="1"/>
  <c r="P46" i="15"/>
  <c r="E91" i="17" s="1"/>
  <c r="G91" i="17" s="1"/>
  <c r="I46" i="15"/>
  <c r="L46" i="15" s="1"/>
  <c r="E75" i="17" s="1"/>
  <c r="G75" i="17" s="1"/>
  <c r="G46" i="15"/>
  <c r="X45" i="15"/>
  <c r="I45" i="15"/>
  <c r="L45" i="15" s="1"/>
  <c r="E74" i="17" s="1"/>
  <c r="G74" i="17" s="1"/>
  <c r="G45" i="15"/>
  <c r="I44" i="15"/>
  <c r="L44" i="15" s="1"/>
  <c r="E73" i="17" s="1"/>
  <c r="G73" i="17" s="1"/>
  <c r="G44" i="15"/>
  <c r="L42" i="15"/>
  <c r="G42" i="15"/>
  <c r="X41" i="15"/>
  <c r="T41" i="15"/>
  <c r="P41" i="15"/>
  <c r="L41" i="15"/>
  <c r="X40" i="15"/>
  <c r="L40" i="15"/>
  <c r="D40" i="15"/>
  <c r="G40" i="15" s="1"/>
  <c r="E28" i="17" s="1"/>
  <c r="G28" i="17" s="1"/>
  <c r="X39" i="15"/>
  <c r="T39" i="15"/>
  <c r="L39" i="15"/>
  <c r="D39" i="15"/>
  <c r="G39" i="15" s="1"/>
  <c r="E27" i="17" s="1"/>
  <c r="G27" i="17" s="1"/>
  <c r="T37" i="15"/>
  <c r="D38" i="15"/>
  <c r="G38" i="15" s="1"/>
  <c r="E26" i="17" s="1"/>
  <c r="G26" i="17" s="1"/>
  <c r="P38" i="15"/>
  <c r="E90" i="17" s="1"/>
  <c r="G90" i="17" s="1"/>
  <c r="D37" i="15"/>
  <c r="G37" i="15" s="1"/>
  <c r="G36" i="15"/>
  <c r="E24" i="17" s="1"/>
  <c r="G24" i="17" s="1"/>
  <c r="G35" i="15"/>
  <c r="E23" i="17" s="1"/>
  <c r="G23" i="17" s="1"/>
  <c r="D34" i="15"/>
  <c r="G34" i="15" s="1"/>
  <c r="E22" i="17" s="1"/>
  <c r="G22" i="17" s="1"/>
  <c r="X33" i="15"/>
  <c r="P33" i="15"/>
  <c r="G33" i="15"/>
  <c r="P32" i="15"/>
  <c r="D32" i="15"/>
  <c r="G32" i="15" s="1"/>
  <c r="E21" i="17" s="1"/>
  <c r="G21" i="17" s="1"/>
  <c r="X31" i="15"/>
  <c r="T31" i="15"/>
  <c r="E131" i="17" s="1"/>
  <c r="G131" i="17" s="1"/>
  <c r="P31" i="15"/>
  <c r="E89" i="17" s="1"/>
  <c r="G89" i="17" s="1"/>
  <c r="D31" i="15"/>
  <c r="G31" i="15" s="1"/>
  <c r="E20" i="17" s="1"/>
  <c r="G20" i="17" s="1"/>
  <c r="L30" i="15"/>
  <c r="D30" i="15"/>
  <c r="G30" i="15" s="1"/>
  <c r="E19" i="17" s="1"/>
  <c r="G19" i="17" s="1"/>
  <c r="X29" i="15"/>
  <c r="T29" i="15"/>
  <c r="P29" i="15"/>
  <c r="L29" i="15"/>
  <c r="D29" i="15"/>
  <c r="G29" i="15" s="1"/>
  <c r="E18" i="17" s="1"/>
  <c r="G18" i="17" s="1"/>
  <c r="X28" i="15"/>
  <c r="P28" i="15"/>
  <c r="L28" i="15"/>
  <c r="D28" i="15"/>
  <c r="G28" i="15" s="1"/>
  <c r="G27" i="15"/>
  <c r="E16" i="17" s="1"/>
  <c r="G16" i="17" s="1"/>
  <c r="G26" i="15"/>
  <c r="E15" i="17" s="1"/>
  <c r="G15" i="17" s="1"/>
  <c r="X25" i="15"/>
  <c r="T25" i="15"/>
  <c r="P25" i="15"/>
  <c r="E88" i="17" s="1"/>
  <c r="L25" i="15"/>
  <c r="D25" i="15"/>
  <c r="G25" i="15" s="1"/>
  <c r="X24" i="15"/>
  <c r="T24" i="15"/>
  <c r="P24" i="15"/>
  <c r="L24" i="15"/>
  <c r="D24" i="15"/>
  <c r="G24" i="15" s="1"/>
  <c r="E13" i="17" s="1"/>
  <c r="G13" i="17" s="1"/>
  <c r="X23" i="15"/>
  <c r="T23" i="15"/>
  <c r="E129" i="17" s="1"/>
  <c r="G129" i="17" s="1"/>
  <c r="P23" i="15"/>
  <c r="L23" i="15"/>
  <c r="D23" i="15"/>
  <c r="G23" i="15" s="1"/>
  <c r="E12" i="17" s="1"/>
  <c r="G12" i="17" s="1"/>
  <c r="D22" i="15"/>
  <c r="G22" i="15" s="1"/>
  <c r="E11" i="17" s="1"/>
  <c r="G11" i="17" s="1"/>
  <c r="X21" i="15"/>
  <c r="T21" i="15"/>
  <c r="E127" i="17" s="1"/>
  <c r="G127" i="17" s="1"/>
  <c r="P21" i="15"/>
  <c r="L21" i="15"/>
  <c r="D21" i="15"/>
  <c r="G21" i="15" s="1"/>
  <c r="E10" i="17" s="1"/>
  <c r="G10" i="17" s="1"/>
  <c r="X20" i="15"/>
  <c r="T20" i="15"/>
  <c r="E126" i="17" s="1"/>
  <c r="G126" i="17" s="1"/>
  <c r="P20" i="15"/>
  <c r="L20" i="15"/>
  <c r="D20" i="15"/>
  <c r="G20" i="15" s="1"/>
  <c r="X18" i="15"/>
  <c r="R18" i="15"/>
  <c r="T18" i="15" s="1"/>
  <c r="E125" i="17" s="1"/>
  <c r="G125" i="17" s="1"/>
  <c r="P18" i="15"/>
  <c r="L18" i="15"/>
  <c r="X17" i="15"/>
  <c r="R17" i="15"/>
  <c r="T17" i="15" s="1"/>
  <c r="E124" i="17" s="1"/>
  <c r="G124" i="17" s="1"/>
  <c r="P17" i="15"/>
  <c r="G17" i="15"/>
  <c r="X16" i="15"/>
  <c r="T16" i="15"/>
  <c r="E123" i="17" s="1"/>
  <c r="G16" i="15"/>
  <c r="T14" i="15"/>
  <c r="E122" i="17" s="1"/>
  <c r="G122" i="17" s="1"/>
  <c r="I14" i="15"/>
  <c r="L14" i="15" s="1"/>
  <c r="E70" i="17" s="1"/>
  <c r="G70" i="17" s="1"/>
  <c r="X13" i="15"/>
  <c r="T13" i="15"/>
  <c r="E121" i="17" s="1"/>
  <c r="G121" i="17" s="1"/>
  <c r="P13" i="15"/>
  <c r="I13" i="15"/>
  <c r="L13" i="15" s="1"/>
  <c r="G13" i="15"/>
  <c r="X12" i="15"/>
  <c r="T12" i="15"/>
  <c r="P12" i="15"/>
  <c r="L12" i="15"/>
  <c r="D12" i="15"/>
  <c r="G12" i="15" s="1"/>
  <c r="E8" i="17" s="1"/>
  <c r="G8" i="17" s="1"/>
  <c r="X11" i="15"/>
  <c r="T11" i="15"/>
  <c r="E120" i="17" s="1"/>
  <c r="P11" i="15"/>
  <c r="L11" i="15"/>
  <c r="D11" i="15"/>
  <c r="G11" i="15" s="1"/>
  <c r="E7" i="17" s="1"/>
  <c r="G7" i="17" s="1"/>
  <c r="I8" i="15"/>
  <c r="L8" i="15" s="1"/>
  <c r="X7" i="15"/>
  <c r="T7" i="15"/>
  <c r="P7" i="15"/>
  <c r="I7" i="15"/>
  <c r="L7" i="15" s="1"/>
  <c r="D7" i="15"/>
  <c r="G7" i="15" s="1"/>
  <c r="F2" i="15"/>
  <c r="E156" i="17"/>
  <c r="B49" i="7"/>
  <c r="H49" i="7" s="1"/>
  <c r="B14" i="19"/>
  <c r="B22" i="18" s="1"/>
  <c r="G88" i="17" l="1"/>
  <c r="C164" i="17"/>
  <c r="G103" i="17"/>
  <c r="D164" i="17"/>
  <c r="G83" i="17"/>
  <c r="G143" i="17"/>
  <c r="G156" i="17"/>
  <c r="E180" i="17"/>
  <c r="G123" i="17"/>
  <c r="C178" i="17"/>
  <c r="G68" i="17"/>
  <c r="B49" i="15"/>
  <c r="A71" i="17"/>
  <c r="A72" i="17" s="1"/>
  <c r="A73" i="17" s="1"/>
  <c r="A74" i="17" s="1"/>
  <c r="A75" i="17" s="1"/>
  <c r="A76" i="17" s="1"/>
  <c r="A77" i="17" s="1"/>
  <c r="A78" i="17" s="1"/>
  <c r="A79" i="17" s="1"/>
  <c r="A80" i="17" s="1"/>
  <c r="A81" i="17" s="1"/>
  <c r="A82" i="17" s="1"/>
  <c r="A83" i="17" s="1"/>
  <c r="A84" i="17" s="1"/>
  <c r="A85" i="17" s="1"/>
  <c r="C22" i="18"/>
  <c r="G120" i="17"/>
  <c r="E62" i="17"/>
  <c r="G62" i="17" s="1"/>
  <c r="B13" i="15"/>
  <c r="B67" i="15"/>
  <c r="B23" i="7" s="1"/>
  <c r="J23" i="7" s="1"/>
  <c r="E61" i="17"/>
  <c r="E59" i="17"/>
  <c r="G59" i="17" s="1"/>
  <c r="D49" i="7"/>
  <c r="B7" i="15"/>
  <c r="B104" i="15"/>
  <c r="B40" i="7" s="1"/>
  <c r="F40" i="7" s="1"/>
  <c r="E52" i="17"/>
  <c r="G52" i="17" s="1"/>
  <c r="B105" i="15"/>
  <c r="B41" i="7" s="1"/>
  <c r="D41" i="7" s="1"/>
  <c r="B7" i="19"/>
  <c r="D7" i="19" s="1"/>
  <c r="B68" i="15"/>
  <c r="B24" i="7" s="1"/>
  <c r="L24" i="7" s="1"/>
  <c r="F38" i="7"/>
  <c r="D14" i="19"/>
  <c r="Y85" i="15"/>
  <c r="Y84" i="15"/>
  <c r="B110" i="15"/>
  <c r="P118" i="15"/>
  <c r="T118" i="15"/>
  <c r="B44" i="15"/>
  <c r="B15" i="7" s="1"/>
  <c r="B53" i="15"/>
  <c r="B19" i="7" s="1"/>
  <c r="J19" i="7" s="1"/>
  <c r="E78" i="17"/>
  <c r="G78" i="17" s="1"/>
  <c r="E14" i="17"/>
  <c r="G14" i="17" s="1"/>
  <c r="B25" i="15"/>
  <c r="B11" i="7" s="1"/>
  <c r="H11" i="7" s="1"/>
  <c r="E146" i="17"/>
  <c r="G146" i="17" s="1"/>
  <c r="B95" i="15"/>
  <c r="B34" i="7" s="1"/>
  <c r="H34" i="7" s="1"/>
  <c r="J44" i="7"/>
  <c r="L44" i="7"/>
  <c r="E6" i="17"/>
  <c r="B86" i="15"/>
  <c r="B32" i="7" s="1"/>
  <c r="J32" i="7" s="1"/>
  <c r="E36" i="17"/>
  <c r="G36" i="17" s="1"/>
  <c r="B13" i="19"/>
  <c r="D13" i="19" s="1"/>
  <c r="B47" i="7"/>
  <c r="F47" i="7" s="1"/>
  <c r="B109" i="15"/>
  <c r="B45" i="7" s="1"/>
  <c r="D45" i="7" s="1"/>
  <c r="B11" i="19"/>
  <c r="D11" i="19" s="1"/>
  <c r="B46" i="15"/>
  <c r="B16" i="7" s="1"/>
  <c r="J16" i="7" s="1"/>
  <c r="B57" i="15"/>
  <c r="B20" i="7" s="1"/>
  <c r="E41" i="17"/>
  <c r="G41" i="17" s="1"/>
  <c r="B37" i="15"/>
  <c r="B14" i="7" s="1"/>
  <c r="J14" i="7" s="1"/>
  <c r="B17" i="7"/>
  <c r="D17" i="7" s="1"/>
  <c r="B58" i="15"/>
  <c r="B21" i="7" s="1"/>
  <c r="J21" i="7" s="1"/>
  <c r="B10" i="19"/>
  <c r="D10" i="19" s="1"/>
  <c r="E51" i="17"/>
  <c r="G51" i="17" s="1"/>
  <c r="H38" i="7"/>
  <c r="B11" i="15"/>
  <c r="B6" i="7" s="1"/>
  <c r="F6" i="7" s="1"/>
  <c r="J49" i="7"/>
  <c r="L49" i="7"/>
  <c r="L118" i="15"/>
  <c r="B16" i="15"/>
  <c r="B8" i="7" s="1"/>
  <c r="D8" i="7" s="1"/>
  <c r="F49" i="7"/>
  <c r="J37" i="7"/>
  <c r="G65" i="17"/>
  <c r="G118" i="15"/>
  <c r="E80" i="17"/>
  <c r="G80" i="17" s="1"/>
  <c r="B60" i="15"/>
  <c r="B22" i="7" s="1"/>
  <c r="B71" i="15"/>
  <c r="E39" i="17"/>
  <c r="G39" i="17" s="1"/>
  <c r="B81" i="15"/>
  <c r="B9" i="19"/>
  <c r="D9" i="19" s="1"/>
  <c r="E54" i="17"/>
  <c r="G54" i="17" s="1"/>
  <c r="E69" i="17"/>
  <c r="G69" i="17" s="1"/>
  <c r="B7" i="7"/>
  <c r="B107" i="15"/>
  <c r="B43" i="7" s="1"/>
  <c r="E58" i="17"/>
  <c r="G58" i="17" s="1"/>
  <c r="L37" i="7"/>
  <c r="E30" i="17"/>
  <c r="B31" i="15"/>
  <c r="B13" i="7" s="1"/>
  <c r="H44" i="7"/>
  <c r="D44" i="7"/>
  <c r="F44" i="7"/>
  <c r="E72" i="17"/>
  <c r="G72" i="17" s="1"/>
  <c r="B103" i="15"/>
  <c r="E66" i="17"/>
  <c r="G66" i="17" s="1"/>
  <c r="G92" i="17"/>
  <c r="E118" i="17"/>
  <c r="B13" i="18" s="1"/>
  <c r="C13" i="18" s="1"/>
  <c r="B75" i="15"/>
  <c r="B29" i="7" s="1"/>
  <c r="E33" i="17"/>
  <c r="G33" i="17" s="1"/>
  <c r="E84" i="17"/>
  <c r="G84" i="17" s="1"/>
  <c r="Y82" i="15"/>
  <c r="E17" i="17"/>
  <c r="G17" i="17" s="1"/>
  <c r="B28" i="15"/>
  <c r="B12" i="7" s="1"/>
  <c r="H37" i="7"/>
  <c r="D37" i="7"/>
  <c r="B78" i="15"/>
  <c r="B30" i="7" s="1"/>
  <c r="E25" i="17"/>
  <c r="G25" i="17" s="1"/>
  <c r="L38" i="7"/>
  <c r="D38" i="7"/>
  <c r="B50" i="15"/>
  <c r="B18" i="7" s="1"/>
  <c r="B89" i="15"/>
  <c r="B33" i="7" s="1"/>
  <c r="E48" i="17"/>
  <c r="G48" i="17" s="1"/>
  <c r="B121" i="15"/>
  <c r="E53" i="17"/>
  <c r="G53" i="17" s="1"/>
  <c r="G115" i="15"/>
  <c r="B8" i="19"/>
  <c r="B106" i="15"/>
  <c r="B42" i="7" s="1"/>
  <c r="E57" i="17"/>
  <c r="B23" i="15"/>
  <c r="B10" i="7" s="1"/>
  <c r="Y81" i="15"/>
  <c r="E60" i="17"/>
  <c r="G60" i="17" s="1"/>
  <c r="B120" i="15"/>
  <c r="G2" i="15"/>
  <c r="E9" i="17"/>
  <c r="G9" i="17" s="1"/>
  <c r="B20" i="15"/>
  <c r="E164" i="17" l="1"/>
  <c r="G57" i="17"/>
  <c r="D179" i="17"/>
  <c r="D178" i="17"/>
  <c r="E178" i="17" s="1"/>
  <c r="D163" i="17"/>
  <c r="G61" i="17"/>
  <c r="C179" i="17"/>
  <c r="E179" i="17" s="1"/>
  <c r="C163" i="17"/>
  <c r="G30" i="17"/>
  <c r="D162" i="17"/>
  <c r="C162" i="17"/>
  <c r="G118" i="17"/>
  <c r="H41" i="7"/>
  <c r="L41" i="7"/>
  <c r="F23" i="7"/>
  <c r="D23" i="7"/>
  <c r="E150" i="17"/>
  <c r="G6" i="17"/>
  <c r="E63" i="17"/>
  <c r="G150" i="17"/>
  <c r="E86" i="17"/>
  <c r="H23" i="7"/>
  <c r="L23" i="7"/>
  <c r="P122" i="15"/>
  <c r="F14" i="7"/>
  <c r="J40" i="7"/>
  <c r="L34" i="7"/>
  <c r="F41" i="7"/>
  <c r="L40" i="7"/>
  <c r="D40" i="7"/>
  <c r="H40" i="7"/>
  <c r="F11" i="7"/>
  <c r="L11" i="7"/>
  <c r="H24" i="7"/>
  <c r="J41" i="7"/>
  <c r="J24" i="7"/>
  <c r="L14" i="7"/>
  <c r="F24" i="7"/>
  <c r="D24" i="7"/>
  <c r="L32" i="7"/>
  <c r="F21" i="7"/>
  <c r="J6" i="7"/>
  <c r="F19" i="7"/>
  <c r="J34" i="7"/>
  <c r="H21" i="7"/>
  <c r="L6" i="7"/>
  <c r="L19" i="7"/>
  <c r="D32" i="7"/>
  <c r="H19" i="7"/>
  <c r="H32" i="7"/>
  <c r="F45" i="7"/>
  <c r="F34" i="7"/>
  <c r="H6" i="7"/>
  <c r="L21" i="7"/>
  <c r="D16" i="7"/>
  <c r="B46" i="7"/>
  <c r="B12" i="19"/>
  <c r="D12" i="19" s="1"/>
  <c r="Z85" i="15"/>
  <c r="D14" i="7"/>
  <c r="D21" i="7"/>
  <c r="D6" i="7"/>
  <c r="L16" i="7"/>
  <c r="H14" i="7"/>
  <c r="D19" i="7"/>
  <c r="D34" i="7"/>
  <c r="F16" i="7"/>
  <c r="J45" i="7"/>
  <c r="B43" i="15"/>
  <c r="F20" i="7"/>
  <c r="D20" i="7"/>
  <c r="J20" i="7"/>
  <c r="L20" i="7"/>
  <c r="H20" i="7"/>
  <c r="H47" i="7"/>
  <c r="D47" i="7"/>
  <c r="J47" i="7"/>
  <c r="L47" i="7"/>
  <c r="J17" i="7"/>
  <c r="L17" i="7"/>
  <c r="H17" i="7"/>
  <c r="L45" i="7"/>
  <c r="F32" i="7"/>
  <c r="H16" i="7"/>
  <c r="H45" i="7"/>
  <c r="F17" i="7"/>
  <c r="J11" i="7"/>
  <c r="D11" i="7"/>
  <c r="H8" i="7"/>
  <c r="L8" i="7"/>
  <c r="J8" i="7"/>
  <c r="D8" i="19"/>
  <c r="H12" i="7"/>
  <c r="F12" i="7"/>
  <c r="D12" i="7"/>
  <c r="J12" i="7"/>
  <c r="L12" i="7"/>
  <c r="B5" i="7"/>
  <c r="B6" i="15"/>
  <c r="B31" i="7"/>
  <c r="B80" i="15"/>
  <c r="H15" i="7"/>
  <c r="J15" i="7"/>
  <c r="L15" i="7"/>
  <c r="D15" i="7"/>
  <c r="H10" i="7"/>
  <c r="F10" i="7"/>
  <c r="J10" i="7"/>
  <c r="L10" i="7"/>
  <c r="D10" i="7"/>
  <c r="F33" i="7"/>
  <c r="D33" i="7"/>
  <c r="H33" i="7"/>
  <c r="J33" i="7"/>
  <c r="L33" i="7"/>
  <c r="J29" i="7"/>
  <c r="F29" i="7"/>
  <c r="H29" i="7"/>
  <c r="L29" i="7"/>
  <c r="D29" i="7"/>
  <c r="J43" i="7"/>
  <c r="H43" i="7"/>
  <c r="D43" i="7"/>
  <c r="L43" i="7"/>
  <c r="F43" i="7"/>
  <c r="D7" i="7"/>
  <c r="L7" i="7"/>
  <c r="J7" i="7"/>
  <c r="H7" i="7"/>
  <c r="F7" i="7"/>
  <c r="G86" i="17"/>
  <c r="M118" i="15" s="1"/>
  <c r="B122" i="15"/>
  <c r="H18" i="7"/>
  <c r="F18" i="7"/>
  <c r="D18" i="7"/>
  <c r="L18" i="7"/>
  <c r="J18" i="7"/>
  <c r="F30" i="7"/>
  <c r="J30" i="7"/>
  <c r="D30" i="7"/>
  <c r="H30" i="7"/>
  <c r="L30" i="7"/>
  <c r="B70" i="15"/>
  <c r="B28" i="7"/>
  <c r="B19" i="15"/>
  <c r="B9" i="7"/>
  <c r="H42" i="7"/>
  <c r="F42" i="7"/>
  <c r="D42" i="7"/>
  <c r="J42" i="7"/>
  <c r="L42" i="7"/>
  <c r="B39" i="7"/>
  <c r="B100" i="15"/>
  <c r="J13" i="7"/>
  <c r="H13" i="7"/>
  <c r="F13" i="7"/>
  <c r="L13" i="7"/>
  <c r="D13" i="7"/>
  <c r="J22" i="7"/>
  <c r="D22" i="7"/>
  <c r="H22" i="7"/>
  <c r="F22" i="7"/>
  <c r="L22" i="7"/>
  <c r="G63" i="17" l="1"/>
  <c r="G155" i="17" s="1"/>
  <c r="G157" i="17" s="1"/>
  <c r="D181" i="17"/>
  <c r="E163" i="17"/>
  <c r="E162" i="17"/>
  <c r="C181" i="17"/>
  <c r="E155" i="17"/>
  <c r="E157" i="17" s="1"/>
  <c r="B12" i="18"/>
  <c r="C12" i="18" s="1"/>
  <c r="B11" i="18"/>
  <c r="C11" i="18" s="1"/>
  <c r="B6" i="19"/>
  <c r="D6" i="19" s="1"/>
  <c r="J46" i="7"/>
  <c r="H46" i="7"/>
  <c r="F46" i="7"/>
  <c r="L46" i="7"/>
  <c r="D46" i="7"/>
  <c r="B14" i="18"/>
  <c r="C14" i="18" s="1"/>
  <c r="B69" i="15"/>
  <c r="B5" i="19" s="1"/>
  <c r="D5" i="19" s="1"/>
  <c r="F39" i="7"/>
  <c r="L39" i="7"/>
  <c r="H39" i="7"/>
  <c r="J39" i="7"/>
  <c r="D39" i="7"/>
  <c r="B48" i="7"/>
  <c r="D31" i="7"/>
  <c r="J31" i="7"/>
  <c r="F31" i="7"/>
  <c r="H31" i="7"/>
  <c r="L31" i="7"/>
  <c r="L9" i="7"/>
  <c r="F9" i="7"/>
  <c r="H9" i="7"/>
  <c r="D9" i="7"/>
  <c r="J9" i="7"/>
  <c r="H5" i="7"/>
  <c r="F5" i="7"/>
  <c r="B4" i="7"/>
  <c r="L5" i="7"/>
  <c r="L4" i="7" s="1"/>
  <c r="J5" i="7"/>
  <c r="L28" i="7"/>
  <c r="F28" i="7"/>
  <c r="H28" i="7"/>
  <c r="D28" i="7"/>
  <c r="J28" i="7"/>
  <c r="B27" i="7"/>
  <c r="B5" i="15"/>
  <c r="E181" i="17" l="1"/>
  <c r="B21" i="18"/>
  <c r="C21" i="18"/>
  <c r="D48" i="7"/>
  <c r="B20" i="18"/>
  <c r="C20" i="18" s="1"/>
  <c r="J48" i="7"/>
  <c r="L48" i="7"/>
  <c r="C15" i="18"/>
  <c r="H48" i="7"/>
  <c r="F48" i="7"/>
  <c r="F27" i="7"/>
  <c r="E27" i="7" s="1"/>
  <c r="B15" i="18"/>
  <c r="H27" i="7"/>
  <c r="G27" i="7" s="1"/>
  <c r="H4" i="7"/>
  <c r="K4" i="7"/>
  <c r="J27" i="7"/>
  <c r="I27" i="7" s="1"/>
  <c r="L27" i="7"/>
  <c r="K27" i="7" s="1"/>
  <c r="B2" i="7"/>
  <c r="B51" i="7" s="1"/>
  <c r="B1" i="15"/>
  <c r="B4" i="19"/>
  <c r="D27" i="7"/>
  <c r="C27" i="7" s="1"/>
  <c r="J4" i="7"/>
  <c r="F4" i="7"/>
  <c r="H2" i="7" l="1"/>
  <c r="H51" i="7" s="1"/>
  <c r="G4" i="7"/>
  <c r="L2" i="7"/>
  <c r="K2" i="7" s="1"/>
  <c r="G25" i="19" s="1"/>
  <c r="G23" i="19" s="1"/>
  <c r="I4" i="7"/>
  <c r="J2" i="7"/>
  <c r="B3" i="19"/>
  <c r="B15" i="19" s="1"/>
  <c r="D4" i="19"/>
  <c r="B19" i="18"/>
  <c r="B23" i="18" s="1"/>
  <c r="E4" i="7"/>
  <c r="F2" i="7"/>
  <c r="G2" i="7" l="1"/>
  <c r="E25" i="19" s="1"/>
  <c r="E23" i="19" s="1"/>
  <c r="L51" i="7"/>
  <c r="C19" i="18"/>
  <c r="C23" i="18" s="1"/>
  <c r="F51" i="7"/>
  <c r="E2" i="7"/>
  <c r="D25" i="19" s="1"/>
  <c r="D23" i="19" s="1"/>
  <c r="J51" i="7"/>
  <c r="I2" i="7"/>
  <c r="F25" i="19" s="1"/>
  <c r="F23" i="19" s="1"/>
  <c r="D3" i="19"/>
  <c r="D15" i="19"/>
  <c r="E4" i="19" s="1"/>
  <c r="G22" i="19"/>
  <c r="G24" i="19" s="1"/>
  <c r="E22" i="19" l="1"/>
  <c r="E24" i="19" s="1"/>
  <c r="E3" i="19"/>
  <c r="F22" i="19"/>
  <c r="F24" i="19" s="1"/>
  <c r="D22" i="19"/>
  <c r="D24" i="19" s="1"/>
  <c r="C16" i="19"/>
  <c r="E14" i="19"/>
  <c r="E7" i="19"/>
  <c r="E15" i="19"/>
  <c r="E11" i="19"/>
  <c r="E13" i="19"/>
  <c r="E12" i="19"/>
  <c r="E10" i="19"/>
  <c r="E9" i="19"/>
  <c r="E8" i="19"/>
  <c r="E5" i="19"/>
  <c r="E6" i="19"/>
  <c r="B16" i="19"/>
  <c r="D16" i="19" l="1"/>
  <c r="D4" i="7"/>
  <c r="C4" i="7"/>
  <c r="M4" i="7" s="1"/>
  <c r="D2" i="7" l="1"/>
  <c r="D51" i="7" s="1"/>
  <c r="C2" i="7" l="1"/>
  <c r="M2" i="7" s="1"/>
  <c r="C25" i="19" l="1"/>
  <c r="H25" i="19" s="1"/>
  <c r="C23" i="19" l="1"/>
  <c r="H23" i="19" s="1"/>
  <c r="C22" i="19"/>
  <c r="H22" i="19"/>
  <c r="C24" i="19" l="1"/>
  <c r="H24" i="19"/>
  <c r="I23" i="19" s="1"/>
  <c r="I22" i="19" l="1"/>
</calcChain>
</file>

<file path=xl/comments1.xml><?xml version="1.0" encoding="utf-8"?>
<comments xmlns="http://schemas.openxmlformats.org/spreadsheetml/2006/main">
  <authors>
    <author>Ana B Rodriguez A</author>
  </authors>
  <commentList>
    <comment ref="B28" authorId="0" shapeId="0">
      <text>
        <r>
          <rPr>
            <b/>
            <sz val="9"/>
            <color indexed="81"/>
            <rFont val="Tahoma"/>
            <family val="2"/>
          </rPr>
          <t>Ana B Rodriguez A:</t>
        </r>
        <r>
          <rPr>
            <sz val="9"/>
            <color indexed="81"/>
            <rFont val="Tahoma"/>
            <family val="2"/>
          </rPr>
          <t xml:space="preserve">
primero hay que crear el nuevo departamento en 
T-2</t>
        </r>
      </text>
    </comment>
    <comment ref="B29" authorId="0" shapeId="0">
      <text>
        <r>
          <rPr>
            <b/>
            <sz val="9"/>
            <color indexed="81"/>
            <rFont val="Tahoma"/>
            <family val="2"/>
          </rPr>
          <t>Ana B Rodriguez A:</t>
        </r>
        <r>
          <rPr>
            <sz val="9"/>
            <color indexed="81"/>
            <rFont val="Tahoma"/>
            <family val="2"/>
          </rPr>
          <t xml:space="preserve">
se contrataria una consultoria local por hora para hacer esta actividad</t>
        </r>
      </text>
    </comment>
    <comment ref="C34" authorId="0" shapeId="0">
      <text>
        <r>
          <rPr>
            <b/>
            <sz val="9"/>
            <color indexed="81"/>
            <rFont val="Tahoma"/>
            <family val="2"/>
          </rPr>
          <t>Ana B Rodriguez A:</t>
        </r>
        <r>
          <rPr>
            <sz val="9"/>
            <color indexed="81"/>
            <rFont val="Tahoma"/>
            <family val="2"/>
          </rPr>
          <t xml:space="preserve">
depende del programa de remodelacion de la Gerencia Administrativa y Financiera. </t>
        </r>
      </text>
    </comment>
  </commentList>
</comments>
</file>

<file path=xl/sharedStrings.xml><?xml version="1.0" encoding="utf-8"?>
<sst xmlns="http://schemas.openxmlformats.org/spreadsheetml/2006/main" count="1137" uniqueCount="461">
  <si>
    <t>Total Project</t>
  </si>
  <si>
    <t>Productos</t>
  </si>
  <si>
    <t>Consultorías individuales</t>
  </si>
  <si>
    <t>Firmas Consultoras</t>
  </si>
  <si>
    <t>Bienes</t>
  </si>
  <si>
    <t>Servicios diferentes de \Consultorías</t>
  </si>
  <si>
    <t>Obras</t>
  </si>
  <si>
    <t>Descripción</t>
  </si>
  <si>
    <t>Unitario Monto</t>
  </si>
  <si>
    <t>Cantidad Meses</t>
  </si>
  <si>
    <t>Especialistas</t>
  </si>
  <si>
    <t>Total</t>
  </si>
  <si>
    <t>Unidad Monto</t>
  </si>
  <si>
    <t>Cantidad</t>
  </si>
  <si>
    <t>M2</t>
  </si>
  <si>
    <t>Total Componente I</t>
  </si>
  <si>
    <t>Componente I - Fortalecimiento de la AT</t>
  </si>
  <si>
    <t>a. Marco Normativo y Organizacional</t>
  </si>
  <si>
    <t xml:space="preserve"> </t>
  </si>
  <si>
    <t>1.1 Estructura Organizacional de la DGII actualizada e implementada</t>
  </si>
  <si>
    <t>Consultoría especializada para el acompañamiento de la implementación del nuevo modelo de estructura organizacional de la DGII, con una clara separación de niveles estratégicos, operativos y de control.</t>
  </si>
  <si>
    <t>Consultoria especializada para revision procesos operativos</t>
  </si>
  <si>
    <t xml:space="preserve">1.2 Marco Normativo e instrumentos de soporte ajustados </t>
  </si>
  <si>
    <t>Consultoría especializada para la actualización del Marco Normativo y de la jurisprudencia (Ver Lista de normas en la Matriz de Resultados)</t>
  </si>
  <si>
    <t>Eventos y seminarios de discusión y diseminación de los cambios normativos</t>
  </si>
  <si>
    <t>Diseño y Desarrollo de una aplicación para la consulta a la normativa</t>
  </si>
  <si>
    <t>1.3 Programa de apoyo a la gestión de cambio de la DGII implantado</t>
  </si>
  <si>
    <t>Asistencia técnica para la implantación de un programa que minimice los efectos del cambio institucional, a través de seminarios, eventos, capacitación, etc.</t>
  </si>
  <si>
    <t>Seminarios y talleres de difusión del conocimiento sobre los estudios de evaluación de impacto</t>
  </si>
  <si>
    <t>1.4 Programa de fortalecimiento de los recursos humanos de la DGII implantado</t>
  </si>
  <si>
    <t>b. Procesos operativos de la AT</t>
  </si>
  <si>
    <t>1.5 Nuevo modelo del Registro Nacional de Contribuyentes (RNC) implementado y automatizado</t>
  </si>
  <si>
    <t>Consultoría especializada para el modelo de datos y la estrategia de actualización del Registro del Contribuyentes</t>
  </si>
  <si>
    <t>Consultoría local de apoyo a la depuración de la información existente</t>
  </si>
  <si>
    <t>Censo para el relevamiento de empresas</t>
  </si>
  <si>
    <t>Desarrollo e implementación de la aplicación de gestión del registro de contribuyentes, incluyendo las interfaces con otras entidades públicas y privadas.</t>
  </si>
  <si>
    <t>1.6 Modelo funcional de la cuenta corriente de los contribuyentes implantado y automatizado</t>
  </si>
  <si>
    <t xml:space="preserve">Consultoría especializada para el diseño funcional y tecnológico de la cuenta corriente de los contribuyentes.  </t>
  </si>
  <si>
    <t>Talleres de concientización del personal interno y campañas para los contribuyentes sobre el nuevo modelo procesamiento de la Cuenta corriente</t>
  </si>
  <si>
    <t>Desarrollo e implementación de la cuenta corriente en el sistema Integrado de Administración Tributaria</t>
  </si>
  <si>
    <t xml:space="preserve">1.7 Nuevo Modelo operativo de servicio al contribuyente y de educación tributaria implementado y facilidades para los contribuyentes automatizadas </t>
  </si>
  <si>
    <t>Herramienta Chat-Bot y su integración con los diferentes sistemas internos y Comunidad de Ayuda</t>
  </si>
  <si>
    <t xml:space="preserve">Consultoría especializada para la  actualización del Modelo conceptual de Control de Facturación </t>
  </si>
  <si>
    <t>Desarrollo e implementación del modelo lógico de facturación</t>
  </si>
  <si>
    <t>Desarrollo e implantación de la factura electrónica en los grandes contribuyentes Nacionales y Locales</t>
  </si>
  <si>
    <t>1.9 Modelo de Cobranza y Recaudación actualizado e implantado y procesos automatizados</t>
  </si>
  <si>
    <t>Consultoría para desarrollar la estrategia y coordinar la Digitalización de los Expedientes Cobranzas (sistema aplicativo está en el sub-componente c13)</t>
  </si>
  <si>
    <t>Desarrollo e implementación de la aplicación de cobranza y ejecución del cobro coactivo</t>
  </si>
  <si>
    <t>1.10 Modelo de Fiscalización revisado e implantado y procesos automatizados</t>
  </si>
  <si>
    <t>Consultoría especializada para la  actualización e implementación del Modelo de Fiscalización preventiva, masiva, selectiva, investigación de fraude y delito tributario.</t>
  </si>
  <si>
    <t>Herramienta analítica de riesgos (incluye las licencia)</t>
  </si>
  <si>
    <t>Herramienta para la implementación del FATCA (Acuerdo de intercambio de información con USA)</t>
  </si>
  <si>
    <t>c. Sistemas e infraestructura tecnológica</t>
  </si>
  <si>
    <t>1.11 Servicios y seguridad de la Oficina Virtual (OFV) para los contribuyentes ampliado (I01) 
0bj1.-Incrementar la productividad de los procedimientos de trabajo</t>
  </si>
  <si>
    <t>Contratación de servicios para realizar una auditoría de seguridad de la OFV con especial atención a la fortaleza frente a ataques externos. (M002)</t>
  </si>
  <si>
    <t>Contratación de consultoría y servicios para la implantación de la infraestructura de clave pública (PKI) para la gestión de los certificados digitales de grandes contribuyentes. (M008)</t>
  </si>
  <si>
    <t>1.12 Sistema de gestión de procesos operativos (workflow) implantado  (I02) 
0bj1.-Incrementar la productividad de los procedimientos de trabajo</t>
  </si>
  <si>
    <t>Contratación de servicios de desarrollo de software para desarrollar un aplicativo para la elaboración de informes y herramientas de consulta avanzadas para el personal directivo. (M017)</t>
  </si>
  <si>
    <t>Adquisición de licencias y/o contratación de servicios para la implantación de un sistema de gestión de flujos de trabajo (componente de gestión de casos).(M012)</t>
  </si>
  <si>
    <t>Adquisición de licencias y/o contratación de servicios para la implantación de un sistema de gestión de flujos de trabajo (componente de gestión de documentos). (M013)</t>
  </si>
  <si>
    <t>Adquisición de licencias de herramientas de análisis tipo (IDEA o ACL) para el personal de fiscalización externa. (M028)</t>
  </si>
  <si>
    <t>1.13 Almacén de datos corporativo (Datawarehouse) implementado (I03)
0bj2.- Aumentar la capacidad para dotarse de soluciones informáticas.</t>
  </si>
  <si>
    <t>1.14 Arquitectura institucional de S/TI implantada (I04)
0bj2.- Aumentar la capacidad para dotarse de soluciones informáticas.</t>
  </si>
  <si>
    <t>Contratación de un proyecto de “external mentoring” para la elaboración de una versión final de arquitectura empresarial de información. (M043)</t>
  </si>
  <si>
    <t>Contratación de un proyecto de “external mentoring” para la elaboración de una versión básica de arquitectura del sistema de información que incida fundamentalmente en los aspectos de arquitectura del software. (M041)</t>
  </si>
  <si>
    <t>Consultoría para la mejora del diseño y rendimiento de la bases de datos corporativas. (M042)</t>
  </si>
  <si>
    <t>Contratación de servicios de transferencia del conocimiento en el que un grupo de expertos en diferentes campos (desarrollo ágil, diseño de bases de datos, etc.) trabajan en estrecha colaboración con técnicos de la DGII para el desarrollo de la aplicación de FISCALIZACIÓN MASIVA. (M048)</t>
  </si>
  <si>
    <t>Adquisición y formación en diversas herramientas de soporte a las tareas de ingeniería del software. (M050)</t>
  </si>
  <si>
    <t>Otras acciones de formación no explicitadas en el PETI. (M047)</t>
  </si>
  <si>
    <t>Servicios de formación y certificación en desarrollo ágil de aplicaciones (tipo metodología SCRUM). (M051)</t>
  </si>
  <si>
    <t>Formación y certificación en ingeniería de requisitos. (M053)</t>
  </si>
  <si>
    <t>1.16 Aplicación (off-the-Shelf) para la gestión administrativa y de RRHH implantado (I07)
0bj2.- Aumentar la capacidad para dotarse de soluciones informáticas.</t>
  </si>
  <si>
    <t>Adquisición (en su caso) de las licencias del nuevo ERP. Servicios de desarrollo y/o implantación de la solución para las Gerencias de RRHH y Administrativa. (M056)</t>
  </si>
  <si>
    <t>Servicios de formación para permitir que la Gerencia TIC tenga un mayor control sobre los productos y servicios contratados.(M055)</t>
  </si>
  <si>
    <t>Consultoría para la implantación de una solución de control de accesos directos a las bases de datos corporativas.(M064)</t>
  </si>
  <si>
    <t>Adquisición e implantación de una herramienta de IAM (Identity and Access manager).(M063)</t>
  </si>
  <si>
    <t>Formación en herramientas, procedimientos y tecnologías de seguridad de la información. (M068)</t>
  </si>
  <si>
    <t>1.18 Plan de actualización de la Infraestructura tecnológica implantado (I11)
0bj3.- Mejorar la seguridad del sistema de información.</t>
  </si>
  <si>
    <t>Consultoría técnica para el diseño de una arquitectura de infraestructura tecnológica distribuida en configuración activo/activo. (M075)</t>
  </si>
  <si>
    <t>Actualización de las instalaciones de cableado de red y sistema de alimentación eléctrica ininterrumpida de las administraciones locales.(M079)</t>
  </si>
  <si>
    <t>Actualización de la infraestructura de almacenamiento del CPD principal y de respaldo.(M081)</t>
  </si>
  <si>
    <t>Reemplazo de infraestructura de respaldo por solución de respaldo a disco. (M083)</t>
  </si>
  <si>
    <t>Renovación de portátiles y estaciones de trabajo para usuarios finales. (M084)</t>
  </si>
  <si>
    <t>1.19 Nueva Estructura de gobernanza de las TIC implantada (I12)
0bj4.- Fortalecer el Gobierno y Gestión de las TIC.</t>
  </si>
  <si>
    <t>Contratación de consultoría técnica para la implantación de un sistema de gobierno corporativo de las TIC. (M093)</t>
  </si>
  <si>
    <t>Servicios de formación en gobierno corporativo TIC.(M089)</t>
  </si>
  <si>
    <t>1.20 Sistema de gestión de las TIC implantado (I13)
0bj4.- Fortalecer el Gobierno y Gestión de las TIC.</t>
  </si>
  <si>
    <t>Contratación de consultoría con el enfoque de external-mentoring técnica para la implantación de un sistema de gestión de las TIC basado en ITIL. (M094-M100)</t>
  </si>
  <si>
    <t>Total Componente II</t>
  </si>
  <si>
    <t>Componente II - Mejora en la planificación y gestión de las finanzas públicas</t>
  </si>
  <si>
    <t>a. Planificación macro fiscal</t>
  </si>
  <si>
    <t>2.1 Modelo de programación financiera completado</t>
  </si>
  <si>
    <t xml:space="preserve">Consultoría especializada para la Consolidación del Marco Fiscal de Mediano Plazo </t>
  </si>
  <si>
    <t>Herramienta informática de apoyo a la gestión de la programación financiera</t>
  </si>
  <si>
    <t>Equipos para la implementación de la herramienta informática</t>
  </si>
  <si>
    <t>Consultoría especializada para desarrollar e implantar el modelo de consistencia macro económica</t>
  </si>
  <si>
    <t>2.2 Marco de Gasto de Mediano Plazo implantado (Política de Presupuesto Plurianual)</t>
  </si>
  <si>
    <t>Consultoría especializada para el desarrollo e implantación del Marco de Gasto de Mediano Plazo</t>
  </si>
  <si>
    <t>Herramienta informática de apoyo a la gestión del Marco de Gasto de Mediano Plazo</t>
  </si>
  <si>
    <t>Consultoría especializada para la elaboración de estudios de reingeniería de las entidades que gestionan recursos presupuestarios (104 entidades del sector publico no financiero)</t>
  </si>
  <si>
    <t>2.3 Modelo de tratamiento de información de la Unidad de Estadísticas Fiscales actualizado</t>
  </si>
  <si>
    <t xml:space="preserve">Consultoría especializada para definir el modelo de tratamiento y publicación de información estadística fiscal </t>
  </si>
  <si>
    <t>Herramienta de minería de datos para la generación de información estadísticas consolidadas</t>
  </si>
  <si>
    <t>b. Ajustes del SIGEF y mejora en los procesos de ejecución presupuestaria</t>
  </si>
  <si>
    <t>2.4 Modelo de negocios de la Tesorería, incluyendo consolidación de la CUT y fortalecimiento de la programación de caja, implantado</t>
  </si>
  <si>
    <t>Consultoría especializada para la revisión e implantación del modelo de negocios de la Tesorería, incluyendo la evaluación de riesgos operacionales</t>
  </si>
  <si>
    <t>Consultoría especializada en gestión de cambio institucional</t>
  </si>
  <si>
    <t>Consultoría especializada para la apoyar la consolidación de la CUT, incluye: (i) el desarrollo e implantación de un modelo de pago a través de tarjetas de débito para compras gubernamentales pequeñas para reducir el mecanismo de anticipos financieros; y (ii) la incorporación de los poderes Legislativo y Judicial a la CUT.</t>
  </si>
  <si>
    <t>Consultoría para la implementación de SIRIT</t>
  </si>
  <si>
    <t>Plan de divulgación y capacitación para el uso de la CUT</t>
  </si>
  <si>
    <t>Consultoría especializa para desarrollar el modelo de gestión de los recursos externos (UEPEX)</t>
  </si>
  <si>
    <t>Consultoría especializada para fortalecer la programación financiera incluyendo desarrollo del modelo de gestión de caja.</t>
  </si>
  <si>
    <t>Plan de capacitación para funcionarios vinculados al modelo de Programación de caja</t>
  </si>
  <si>
    <t xml:space="preserve">2.5 Sistema de gestión de cuentas por cobrar y pagar implantado </t>
  </si>
  <si>
    <t>Consultoría Internacional para definición conceptual y funcional del módulo de Cuentas por Cobrar y Pagar</t>
  </si>
  <si>
    <t>Consultoría Internacional para revisión del marco conceptual del SIGEF y definición de una ruta critica para el desarrollo de los productos a financiar, incluyo revisión de la matriz contable, estados de flujo de efectivo y cambios en el patrimonio.</t>
  </si>
  <si>
    <t>Consultoría Internacional para definición conceptual y funcional de la interface SIGADE / SIGEF</t>
  </si>
  <si>
    <t>2.6 Sistema de gestión de bienes públicos implantado</t>
  </si>
  <si>
    <t>Consultoría especializada para apoyar el procesos de titulación (agrimensores)</t>
  </si>
  <si>
    <t>Desarrollo del módulo de gestión de Bienes, incluyendo la interface con catastro, compras y Contabilidad.</t>
  </si>
  <si>
    <t>GPS para la titulación</t>
  </si>
  <si>
    <t>Consultoría especializada para apoyar el procesos de titulación (auxiliares)</t>
  </si>
  <si>
    <t>Laptops para titulación  (15) y inventario (30)</t>
  </si>
  <si>
    <t>Consultoría especializada para apoyar el procesos de inventario (inspectores)</t>
  </si>
  <si>
    <t>Estaciones Totales (instrumento de información topográfica)</t>
  </si>
  <si>
    <t>Consultoría especializada para apoyar el procesos de inventario (digitalizadores)</t>
  </si>
  <si>
    <t>Scanner de alta velocidad</t>
  </si>
  <si>
    <t>Asesoría Técnica para desarrollar e implantar la estrategia de titulación e inventario</t>
  </si>
  <si>
    <t>Lectoras de Código de Barra</t>
  </si>
  <si>
    <t>Consultoría Internacional para definición conceptual, funcional y operativa del módulo para Registro de Bienes Inmuebles y de Inventarios  (incluye normativa)</t>
  </si>
  <si>
    <t>2.7 Plan de fortalecimiento del Catastro Nacional implantado</t>
  </si>
  <si>
    <t>Consultoría especializada para apoyar el desarrollo de las normas técnicas catastrales</t>
  </si>
  <si>
    <t>Real Time Cinemática (RTK)</t>
  </si>
  <si>
    <t>Visita de la delegación de la Dirección de Catastro a Bogotá</t>
  </si>
  <si>
    <t>GPS para la levantamiento de información</t>
  </si>
  <si>
    <t>Recursos de logística para el Programa de Capacitación</t>
  </si>
  <si>
    <t>Servidor Virtual (capacitación / operación)</t>
  </si>
  <si>
    <t>Asistencia técnica de los especialista del Catastro de Bogotá (hotel e viáticos)</t>
  </si>
  <si>
    <t>Laptops / Tablets</t>
  </si>
  <si>
    <t>Desktops</t>
  </si>
  <si>
    <t>Total Coordinación del Proyecto</t>
  </si>
  <si>
    <t>Administración Proyecto</t>
  </si>
  <si>
    <t>Asesor Técnico del Componente I</t>
  </si>
  <si>
    <t>Especialistas de alto nivel</t>
  </si>
  <si>
    <t>Coordinador Componente I</t>
  </si>
  <si>
    <t>Oficial fiduciario-administrativos Componente I</t>
  </si>
  <si>
    <t>Experto Adquisiciones Componente I</t>
  </si>
  <si>
    <t>Monitoreo Componente I</t>
  </si>
  <si>
    <t>Coordinador Componente II</t>
  </si>
  <si>
    <t>Oficial fiduciario-administrativos Componente II</t>
  </si>
  <si>
    <t>Experto Adquisiciones Componente II</t>
  </si>
  <si>
    <t>Monitoreo Componente II</t>
  </si>
  <si>
    <t>Evaluación</t>
  </si>
  <si>
    <t>Reflexiva</t>
  </si>
  <si>
    <t>Económica expost</t>
  </si>
  <si>
    <t>Impacto expost</t>
  </si>
  <si>
    <t>PCR</t>
  </si>
  <si>
    <t>Auditoría</t>
  </si>
  <si>
    <t>Uno por año</t>
  </si>
  <si>
    <t xml:space="preserve">Total </t>
  </si>
  <si>
    <t>Contingencia</t>
  </si>
  <si>
    <t>Pre-inversión</t>
  </si>
  <si>
    <t>Unidad Ejecutora</t>
  </si>
  <si>
    <t>Reconocimiento de gastos</t>
  </si>
  <si>
    <t>Plan de Ejecución Plurianual (PEP)</t>
  </si>
  <si>
    <t>Projecto Total</t>
  </si>
  <si>
    <t>Componente I - Fortalecimiento de la Dirección General de Ingresos Internos</t>
  </si>
  <si>
    <t>Total Producto</t>
  </si>
  <si>
    <t>%</t>
  </si>
  <si>
    <t>Año 1</t>
  </si>
  <si>
    <t>Año 2</t>
  </si>
  <si>
    <t>Año 3</t>
  </si>
  <si>
    <t>Año 4</t>
  </si>
  <si>
    <t>Año 5</t>
  </si>
  <si>
    <t>Incluye FATCA</t>
  </si>
  <si>
    <t>Componente II - Mejora de la Gestión del Gasto</t>
  </si>
  <si>
    <t>Plan de Adquisiciones  2017-2021</t>
  </si>
  <si>
    <t xml:space="preserve">Fechas </t>
  </si>
  <si>
    <t>N.o</t>
  </si>
  <si>
    <t>Adquisiciones / actividades</t>
  </si>
  <si>
    <t>Lote/Proceso No</t>
  </si>
  <si>
    <t>Método de Revisión</t>
  </si>
  <si>
    <t>Monto IDB</t>
  </si>
  <si>
    <t>Monto  Contraparte</t>
  </si>
  <si>
    <t>Monto Total</t>
  </si>
  <si>
    <t>Componente</t>
  </si>
  <si>
    <t>Agencia Ejecutora</t>
  </si>
  <si>
    <t>Método de Adquisición/Contratacion**</t>
  </si>
  <si>
    <t>Fecha de Publicación</t>
  </si>
  <si>
    <t>Termino del Contrato</t>
  </si>
  <si>
    <t>Descripcion</t>
  </si>
  <si>
    <t>CONSULTORIAS INDIVIDUALES</t>
  </si>
  <si>
    <t>N/A</t>
  </si>
  <si>
    <t>Exante</t>
  </si>
  <si>
    <t>DGII</t>
  </si>
  <si>
    <t>NICQ</t>
  </si>
  <si>
    <t>IICC</t>
  </si>
  <si>
    <t>FIRMAS DE CONSULTORAS</t>
  </si>
  <si>
    <t>QCBS</t>
  </si>
  <si>
    <t>CQS</t>
  </si>
  <si>
    <t>BIENES</t>
  </si>
  <si>
    <t>ICB</t>
  </si>
  <si>
    <t>Otros Servicios Diferentes de Consultorías</t>
  </si>
  <si>
    <t>OBRAS</t>
  </si>
  <si>
    <t>Contingency</t>
  </si>
  <si>
    <t>1. Plan de Adquisiciones Sintético</t>
  </si>
  <si>
    <t>Fecha</t>
  </si>
  <si>
    <t>De</t>
  </si>
  <si>
    <t>Hasta</t>
  </si>
  <si>
    <t>Plan de Adquisiciones Cobertura:</t>
  </si>
  <si>
    <t>2. Plan de Adquisiciones Detallado</t>
  </si>
  <si>
    <t>3.Montos por Categoría de Inversión</t>
  </si>
  <si>
    <t>Categoría de Inversión</t>
  </si>
  <si>
    <t>Montos Financiados por el Banco</t>
  </si>
  <si>
    <t>Montos Totales (incluyendo contrapartida)</t>
  </si>
  <si>
    <t>Consultores Individuales</t>
  </si>
  <si>
    <t>Firmas de Consultoria</t>
  </si>
  <si>
    <t>Otros Servicios diferente de Consultorías</t>
  </si>
  <si>
    <t>4. Componentes</t>
  </si>
  <si>
    <t>Componentes del Proyecto</t>
  </si>
  <si>
    <t>Montos Totales  (incluyendo contrapartida)</t>
  </si>
  <si>
    <t>Table 2.1. Presupuesto del Proyecto (US$)</t>
  </si>
  <si>
    <t>Categories</t>
  </si>
  <si>
    <t>BID</t>
  </si>
  <si>
    <t>Local</t>
  </si>
  <si>
    <t>1.    Costos Directo</t>
  </si>
  <si>
    <t>2.   Costos Administrativos</t>
  </si>
  <si>
    <t>Coordinadores de Componentes</t>
  </si>
  <si>
    <t>Fiduciarios Administrativos</t>
  </si>
  <si>
    <t>Adquisiciones</t>
  </si>
  <si>
    <t>Monitoreo</t>
  </si>
  <si>
    <t>Auditoria</t>
  </si>
  <si>
    <t>3. Contingencia</t>
  </si>
  <si>
    <t>Table 2.2.Disbursement Timetable (US$ millons)</t>
  </si>
  <si>
    <t>Source</t>
  </si>
  <si>
    <t>Year 1</t>
  </si>
  <si>
    <t>Year 2</t>
  </si>
  <si>
    <t>Year 3</t>
  </si>
  <si>
    <t>Year 4</t>
  </si>
  <si>
    <t>Year 5</t>
  </si>
  <si>
    <t>IDB</t>
  </si>
  <si>
    <t>Rates</t>
  </si>
  <si>
    <t>Per diem and Tickets</t>
  </si>
  <si>
    <t>Taxes</t>
  </si>
  <si>
    <t>International Consultancy</t>
  </si>
  <si>
    <t>Local consultancy</t>
  </si>
  <si>
    <t>Consultant Firm Int</t>
  </si>
  <si>
    <t>International Lawyer</t>
  </si>
  <si>
    <t>National Lawyer</t>
  </si>
  <si>
    <t>Training consultancy</t>
  </si>
  <si>
    <t>Consultant Firm Local</t>
  </si>
  <si>
    <t>Construction / Remodeling M2</t>
  </si>
  <si>
    <t>Data Base Servers</t>
  </si>
  <si>
    <t>Oracle License</t>
  </si>
  <si>
    <t>By processor</t>
  </si>
  <si>
    <t>Storage type San</t>
  </si>
  <si>
    <t>Rack support Server</t>
  </si>
  <si>
    <t>Communication Servers</t>
  </si>
  <si>
    <t>Lan Network and Core</t>
  </si>
  <si>
    <t>Communication Server WS</t>
  </si>
  <si>
    <t>by point</t>
  </si>
  <si>
    <t>Offices Communication</t>
  </si>
  <si>
    <t>Applications Server</t>
  </si>
  <si>
    <t>Security Platform</t>
  </si>
  <si>
    <t>Contingency Platform</t>
  </si>
  <si>
    <t>Business Intelligence</t>
  </si>
  <si>
    <t>Electronic Document Management Platform</t>
  </si>
  <si>
    <t>Computers (Thin Client)</t>
  </si>
  <si>
    <t>Integrated System for inventory Management and Human Resources Management</t>
  </si>
  <si>
    <t>Noc Room (Network Operating Center)</t>
  </si>
  <si>
    <t>Laptops</t>
  </si>
  <si>
    <t>Rack for Servers</t>
  </si>
  <si>
    <t>UPS 5 kva</t>
  </si>
  <si>
    <t xml:space="preserve">Printers </t>
  </si>
  <si>
    <t>Art an Diagram Services</t>
  </si>
  <si>
    <t>Per diem</t>
  </si>
  <si>
    <t>Training Seminars</t>
  </si>
  <si>
    <t>Accessories for Rack</t>
  </si>
  <si>
    <t>iniciativa estratégica</t>
  </si>
  <si>
    <t xml:space="preserve">Medidas </t>
  </si>
  <si>
    <t>Concepto</t>
  </si>
  <si>
    <t>Consultorias individuales</t>
  </si>
  <si>
    <t>Servicios distintos de consultorías</t>
  </si>
  <si>
    <t>0bj1.-Incrementar la productividad de los procedimientos de trabajo</t>
  </si>
  <si>
    <t>I01.- Potenciar el uso de la OFV como medio de relación con el contribuyente</t>
  </si>
  <si>
    <t>M002.- AUDITORIA DE SEGURIDAD DE LA OFV</t>
  </si>
  <si>
    <t>Contratación de servicios para realizar una auditoría de seguridad de la OFV con especial atención a la fortaleza frente a ataques externos.</t>
  </si>
  <si>
    <t>M008.- CONSOLIDACIÓN DE LOS MECANISMOS DE AUTENTICACIÓN DE LA OFV (II)</t>
  </si>
  <si>
    <t>Contratación de consultoría y servicios para la implantación de la infraestructura de clave pública (PKI) para la gestión de los certificados digitales de grandes contribuyentes.</t>
  </si>
  <si>
    <t>I02.- Redefinición y automatización de los procedimientos de trabajo</t>
  </si>
  <si>
    <t>M012.- DESARROLLO DEL COMPONENTE DE “GESTIÓN DE CASOS”</t>
  </si>
  <si>
    <t>Adquisición de licencias y/o contratación de servicios para la implantación de un sistema de gestión de flujos de trabajo.</t>
  </si>
  <si>
    <t>M013.- DESARROLLO DEL COMPONENTE DE “GESTIÓN DE EXPEDIENTES Y DOCUMENTOS”</t>
  </si>
  <si>
    <t>M017.- APLICACIÓN DE INFORMACIÓN PARA LA DIRECCIÓN y GERENCIA (INFO)</t>
  </si>
  <si>
    <t>Contratación de servicios de desarrollo de software para desarrollar un aplicativo para la elaboración de informes y herramientas de consulta avanzadas para el personal directivo.</t>
  </si>
  <si>
    <t>M028.- HERRAMIENTAS DE ANÁLISIS PARA AUDITORES</t>
  </si>
  <si>
    <t>Adquisición de licencias de herramientas de análisis tipo (IDEA o ACL) para el personal de fiscalización externa</t>
  </si>
  <si>
    <t>0bj2.- Aumentar la capacidad para dotarse de soluciones informáticas.</t>
  </si>
  <si>
    <t>I03.- Incrementar la cantidad y calidad de la base de información utilizada en los procesos internos de la DGII y su grado de integración en los mismos</t>
  </si>
  <si>
    <t>M038.- IMPLANTACIÓN DE UN DATAWAREHOUSE CORPORATIVO</t>
  </si>
  <si>
    <t>Adquisición de licencias de software y contratación de prestación de servicios para la implantación de un datawarehouse corporativo.</t>
  </si>
  <si>
    <t>I04.- Definición de la arquitectura institucional de S/TI</t>
  </si>
  <si>
    <t>M041.- DEFINICIÓN DE UNA PRIMERA VERSIÓN BÁSICA DE ARQUITECTURA</t>
  </si>
  <si>
    <t>Contratación de un proyecto de “external mentoring” para la elaboración de una versión básica de arquitectura del sistema de información que incida fundamentalmente en los aspectos de arquitectura del software.</t>
  </si>
  <si>
    <t>M042.- REVISION DEL DISEÑO DE LA BD PARA RESOLVER LOS PROBLEMAS DE RENDIMIENTO</t>
  </si>
  <si>
    <t>Contratación de servicios de consultoría para la mejora del diseño y rendimiento de la base de datos corporativa.</t>
  </si>
  <si>
    <t>M043.- DEFINICIÓN DE LA ARQUITECTURA EMPRESARIAL DE INFORMACIÓN DE LA DGII</t>
  </si>
  <si>
    <t>Contratación de un proyecto de “external mentoring” para la elaboración de una versión final de arquitectura empresarial de información.</t>
  </si>
  <si>
    <t>I06.- Mejora de los procedimientos, capacidades, metodologías y herramientas del área TIC, en especial del área de desarrollo</t>
  </si>
  <si>
    <t>M047.- PLAN DE FORMACIÓN DEL ÁREA TIC</t>
  </si>
  <si>
    <t>Otras acciones de formación no explicitadas en el PETI.</t>
  </si>
  <si>
    <t>M048.- DESARROLLO DE LA APLICACIÓN PARA FISCALIZACIÓN MASIVA BAJO EL ESQUEMA DE “MENTORES EXTERNOS”</t>
  </si>
  <si>
    <t>Contratación de servicios de transferencia del conocimiento en el que un grupo de expertos en diferentes campos (desarrollo ágil, diseño de bases de datos, etc.) trabajan en estrecha colaboración con técnicos de la DGII para el desarrollo de la aplicación de FISCALIZACIÓN MASIVA.</t>
  </si>
  <si>
    <t>M050.- ADQUISICIÓN Y FORMACIÓN EN DIVERSAS HERRAMIENTAS DE INGENIERÍA DEL SOFTWARE</t>
  </si>
  <si>
    <t>Adquisición y formación en diversas herramientas de soporte a las tareas de ingeniería del software</t>
  </si>
  <si>
    <t>M051.- CERTIFICACION EN METODOLOGIA SCRUM</t>
  </si>
  <si>
    <t>Servicios de formación y certificación en metodología SCRUM.</t>
  </si>
  <si>
    <t>M053.- FORMACIÓN EN INGENIERÍA DE REQUISITOS</t>
  </si>
  <si>
    <t>Servicios de formación y certificación en análisis de requisitos.</t>
  </si>
  <si>
    <t>I07.- Replanteamiento de la externalización</t>
  </si>
  <si>
    <t>M055.- FORMACIÓN EN “GESTIÓN DE PROVEEDORES TIC: EXTERNALIZACIÓN DE SERVICIOS Y PROYECTOS. GESTIÓN DE ACUERDOS DE NIVEL DE SERVICIO (ANS) EN ENTORNOS TIC.”</t>
  </si>
  <si>
    <t>Servicios de formación para permitir que la Gerencia TIC tenga un mayor control sobre los productos y servicios contratados.</t>
  </si>
  <si>
    <t>M056.- IMPLANTAR, DE ACUERDO A LA DECISIÓN ADOPTADA EN LA MEDIDA M054.- , EL SISTEMA DE RRHH Y ADIMINISTRACIÓN</t>
  </si>
  <si>
    <t>Adquisición (en su caso) de las licencias del nuevo ERP. Servicios de desarrollo y/o implantación de la solución para las Gerencias de RRHH y Administrativa</t>
  </si>
  <si>
    <t>0bj3.- Mejorar la seguridad del sistema de información.</t>
  </si>
  <si>
    <t>I08.- Redefinición de la cuenta corriente del contribuyente</t>
  </si>
  <si>
    <t>M057.- DISEÑO DEL NUEVO MÉTODO CONTABLE</t>
  </si>
  <si>
    <t>Consultoría técnica para el diseño de la nueva CCC.</t>
  </si>
  <si>
    <t>I09.- Implantar un sistema de control de accesos efectivo</t>
  </si>
  <si>
    <t>M063.- DESARROLLO DE LA PLATAFORMA TECNOLÓGICA PARA EL CONTROL DE ACCESSOS</t>
  </si>
  <si>
    <t>Adquisición e implantación de una herramienta de IAM (Identity and Access manager).</t>
  </si>
  <si>
    <t>M064.- DESARROLLO DE LA SOLUCIÓN ESPECÍFICA PARA EL CONTROL DE ACCESSOS DIRECTOS A LAS BASES DE DATOS</t>
  </si>
  <si>
    <t>Consultoría para la implantación de una solución de control de accesos directos a las bases de datos corporativas.</t>
  </si>
  <si>
    <t>I10.- Redefinición de la Organización de Seguridad de la Información</t>
  </si>
  <si>
    <t>M068.- IMPLANTACIÓN DE LA ESTRUCTURA ORGANIZATIVA DE SEGURIDAD DE LA INFORMACIÓN</t>
  </si>
  <si>
    <t>Formación en herramientas, procedimientos y tecnologías de seguridad de la información</t>
  </si>
  <si>
    <t>I11.- Actualización de la infraestructura tecnológica con el objetivo de conseguir una solución de alta disponibilidad de la información</t>
  </si>
  <si>
    <t>M075.- DISEÑO DE UNA ARQUITECTURA DE ALTA DISPONIBILIDAD DISTRIBUIDA ACTIVO/ACTIVO</t>
  </si>
  <si>
    <t>Consultoría técnica para el diseño de una arquitectura de infraestructura tecnológica distribuida en configuración activo/activo.</t>
  </si>
  <si>
    <t>M076.- ACTUALIZACIÓN DE LOS PLANES DE CONTINUIDAD DEL NEGOCIO Y DE RECUPERACIÓN ANTE DESASTRES</t>
  </si>
  <si>
    <t>Consultoría técnica para la elaboración de los planes de continuidad de negocio y de recuperación antes desastres.</t>
  </si>
  <si>
    <t>M078.- MEJORA DE LAS INSTALACIONES DEL CPD PRINCIPAL</t>
  </si>
  <si>
    <t>Actualización de las instalaciones de aire acondicionado y sistema de alimentación eléctrica ininterrumpida del CPD</t>
  </si>
  <si>
    <t>M079.- MEJORA DE LAS INSTALACIONES DE LAS ADMINISTRACIONES LOCALES</t>
  </si>
  <si>
    <t>Actualización de las instalaciones de cableado de red y sistema de alimentación eléctrica ininterrumpida de las administraciones locales.</t>
  </si>
  <si>
    <t>M080.- ACTUALIZACIÓN DE LA RED DE COMUNICACIONES DE LA DGII</t>
  </si>
  <si>
    <t>Actualización de los conmutadores de la red de comunicaciones de la DGII. Reemplazo de Core de Comunicaciones del Datacenter. Reemplazo de Infraestructura de Telefonia IP, Contact Center. Reemplazo de Infraestructura de Firewalls para apoyo tanto al site primario como al de contingencia y al servicio de VPN.</t>
  </si>
  <si>
    <t>M081.- ACTUALIZACIÓN DE LA INFRAESTRUCTURA DE ALMACENAMIENTO</t>
  </si>
  <si>
    <t>Actualización de la infraestructura de almacenamiento del CPD principal y de respaldo.</t>
  </si>
  <si>
    <t>M082.- ACTUALIZACIÓN DE LA INFRAESTRUCTURA FÍSICA Y LÓGICA DE SERVIDORES. CONSOLIDACIÓN DE SERVIDORES.</t>
  </si>
  <si>
    <t>Expansion o Actualizacion Capacidad de Procesamiento Centralizado. Alta Disponibilidad en Clusters Activo - Activo Base de Datos Oracle. Expansion o Actualizacion Capacidad de Procesamiento Centralizado. Alta Disponibilida en Clusters Activo - Activo Para Virtualizacion , Servidores de Aplicaciones, Bases de Datos, etc</t>
  </si>
  <si>
    <t>M083.- ACTUALIZACIÓN DE LA INFRAESTRUCTURA DE BACKUP.</t>
  </si>
  <si>
    <t>Reemplazo de infraestructura de respaldo por solución de respaldo a disco</t>
  </si>
  <si>
    <t>M084.- ACTUALIZACIÓN DE LOS EQUIPOS DE USUARIOS FINALES.</t>
  </si>
  <si>
    <t>Renovación de portátiles y estaciones de trabajo para usuarios finales.</t>
  </si>
  <si>
    <t>0bj4.- Fortalecer el Gobierno y Gestión de las TIC.</t>
  </si>
  <si>
    <t>I12.- Establecimiento de una estructura de gobernanza de las TIC</t>
  </si>
  <si>
    <t>M089.- DEFINIR Y EJECUTAR ACCIONES FORMATIVAS EN GOBIERNO TIC</t>
  </si>
  <si>
    <t>Servicios de formación en gobierno corporativo TIC.</t>
  </si>
  <si>
    <t>M093.- PROYECTO DE IMPLANTACIÓN DE UN ESQUEMA FORMAL DE GOBIERNO DE LA TIC</t>
  </si>
  <si>
    <t>Contratación de consultoría técnica para la implantación de un sistema de gobierno corporativo de las TIC.</t>
  </si>
  <si>
    <t>I13.- Evolución del modelo de gestión de las TIC</t>
  </si>
  <si>
    <t>Medidas M094.- a M0100.- : PROYECTO IMPLANTACIÓN ITIL</t>
  </si>
  <si>
    <t>Contratación de consultoría con el enfoque de external-mentoring técnica para la implantación de un sistema de gestión de las TIC basado en ITIL.</t>
  </si>
  <si>
    <t>Seminarios y eventos de diseminación de los cambios a ser implementados, con la participación de todos los actores involucrados en la modernización.</t>
  </si>
  <si>
    <t>1.17 Sistema de seguridad fortalecido (I09) y (I10)
0bj3.- Mejorar la seguridad del sistema de información.</t>
  </si>
  <si>
    <t>1.15 Plan de mejora de los Procedimientos, capacidades, metodologías y herramientas del área TIC, en especial, de desarrollo,  implantado (I06)
0bj2.- Aumentar la capacidad para dotarse de soluciones informáticas.</t>
  </si>
  <si>
    <t>Actividades Planificadas 2017</t>
  </si>
  <si>
    <t>Actividades</t>
  </si>
  <si>
    <t>Periodo</t>
  </si>
  <si>
    <t>Total Componente I  Fortalecimiento de la Dirección General de Ingresos Internos</t>
  </si>
  <si>
    <t>T2</t>
  </si>
  <si>
    <t>Plan de Capacitacion del Programa Trainee</t>
  </si>
  <si>
    <t>Pasantias</t>
  </si>
  <si>
    <t>T3-T4</t>
  </si>
  <si>
    <t>Plan de Capacitacion, incluyendo Programa Trainee</t>
  </si>
  <si>
    <t>T2-T4</t>
  </si>
  <si>
    <t>1.5 Nuevo modelo del Registro Nacional de Contribuyentes (RNC) implementado</t>
  </si>
  <si>
    <t>1.6 Modelo funcional de la cuenta corriente de los contribuyentes implantado</t>
  </si>
  <si>
    <t>T3</t>
  </si>
  <si>
    <t>1.8 Modelo de Facturación revisado y actualizado (confirmar con Ivan)</t>
  </si>
  <si>
    <t>1.9 Modelo de Cobranza y Recaudación revisado y actualizadoe implantado</t>
  </si>
  <si>
    <t>Compra equipo almacenamiento</t>
  </si>
  <si>
    <t>Servicios de digitalizacion expedientes</t>
  </si>
  <si>
    <t>Consultoría especializada para la  Modernización del modelo de Cobranza, incluyendo la cobranza coactiva.</t>
  </si>
  <si>
    <t>1.10 Modelo de Fiscalización revisado e implantado</t>
  </si>
  <si>
    <t>1.11 Servicios y seguridad de la Oficina Virtual (OFV) para los contribuyentes ampliado</t>
  </si>
  <si>
    <t>Auditoria de seguridad de la OFV</t>
  </si>
  <si>
    <t xml:space="preserve">1.17 Sistema de control de accesos implantado </t>
  </si>
  <si>
    <t>Adquisición e implementación de herramienta IAM</t>
  </si>
  <si>
    <t>Implantacion de la Estructura Organizativa de Seguridad de la Informacion</t>
  </si>
  <si>
    <t>1.12 Sistema de gestión de procesos operativos (workflow) implantad</t>
  </si>
  <si>
    <t>Herramientas de analisis para Auditores</t>
  </si>
  <si>
    <t>1.14 Arquitectura institucional de S/TI implantada</t>
  </si>
  <si>
    <t>Definicion de una primera version basica de arquitectura</t>
  </si>
  <si>
    <t>Revision del diseno de la BD para resolver los problemas de rendimiento</t>
  </si>
  <si>
    <t>1.15 Plan de mejora de los Procedimientos, capacidades, metodologías y herramientas del área TIC implantado</t>
  </si>
  <si>
    <t xml:space="preserve">Plan de Formación del área TIC </t>
  </si>
  <si>
    <t xml:space="preserve">Formacion en ingenieria de requisitos </t>
  </si>
  <si>
    <t>T3 -T4</t>
  </si>
  <si>
    <t>1.16 Aplicación (off-the-Shelf) para la gestión administrativa y de RRHH implantado</t>
  </si>
  <si>
    <t>Implatantar de acuerdo a la decision adapotada en la medida M054 el sistema de RHH, Financiero y GPE (primer pago en 2017, 20% de un millón)</t>
  </si>
  <si>
    <t>1.18 Plan de actualización de la Infraestructura tecnológica implantado</t>
  </si>
  <si>
    <t>Actualizacion planes de continuidad</t>
  </si>
  <si>
    <t>T2 2017 -T2 2018</t>
  </si>
  <si>
    <t>Mejoras de las instalaciones de las administraciones locales (6 adms. Locales)</t>
  </si>
  <si>
    <t>1.19 Nueva Estructura de gobernanza de las TIC implantada</t>
  </si>
  <si>
    <t>definir y ejecutar acciones formativas en gobierno TIC</t>
  </si>
  <si>
    <t>T4</t>
  </si>
  <si>
    <t>Consultoría especializada para el desarrollo del manual de funciones, perfiles de competencia genéricas y técnicas y carga de trabajo, y preparación de términos de referencia para contratar un programa de capacitación</t>
  </si>
  <si>
    <t>Plan de capacitación y desarrollo de competencias técnicas y administrativas, incluyendo Programa trainees</t>
  </si>
  <si>
    <t>Servicios para la implementación de la estrategia de migración del registro</t>
  </si>
  <si>
    <t>Consultoría técnica para la revisión y actualización de los planes de continuidad de negocio y de recuperación antes desastres. (M076 del PETI)</t>
  </si>
  <si>
    <t>Asistencias técnicas para la preparación de estudios para la evaluación de impacto en el marco del programa.</t>
  </si>
  <si>
    <t>Asistencias técnicas para la preparación e implementación de estudio de clima organizacional (línea de base y fin de proyecto)</t>
  </si>
  <si>
    <t>Revisión, ajuste e implementación de los sub-sistemas de la gestión de Recursos Humanos, con un enfoque género sensitivo: reclutamiento y selección, relaciones laborales (beneficios, gestión de novedades y gestión de conflictos), riesgo y salud laboral, capacitación y desarrollo, desarrollo organizacional, evaluación del desempeño individual.</t>
  </si>
  <si>
    <t>Campaña de difusión y educación sobre el cumplimiento con requerimientos del registro, incluyendo el cumplimiento de los estándares de cumplimiento de la OECD (UBO)</t>
  </si>
  <si>
    <t>Consultoría para la implementación de la ampliación de servicios vía Oficina Virtual (OFV)</t>
  </si>
  <si>
    <r>
      <t xml:space="preserve">1.8 Modelo de Facturación actualizado </t>
    </r>
    <r>
      <rPr>
        <sz val="11"/>
        <rFont val="Calibri"/>
        <family val="2"/>
        <scheme val="minor"/>
      </rPr>
      <t>(confirmar con Iván)</t>
    </r>
  </si>
  <si>
    <t>Equipamiento de almacenamiento (30 tera)</t>
  </si>
  <si>
    <t>Servicio de Digitalización Expedientes (40,000 expedientes 1 millón de hojas)</t>
  </si>
  <si>
    <t>Consultoría para el diseño e implementación de la Unidad de Riesgo y el diseño del modelo de análisis de riesgo</t>
  </si>
  <si>
    <t>Actualización de los conmutadores de la red de comunicaciones de la DGII. Reemplazo de Core de Comunicaciones del Datacenter. Reemplazo de Infraestructura de Telefonía IP, Contact Center. Reemplazo de Infraestructura de Firewalls para apoyo tanto al site primario como al de contingencia y al servicio de VPN.(M080)</t>
  </si>
  <si>
    <t>Expansión o Actualización Capacidad de Procesamiento Centralizado. Alta Disponibilidad en Clúster Activo - Activo Base de Datos Oracle. Expansión o Actualización Capacidad de Procesamiento Centralizado. Alta Disponibilidad en Clúster Activo - Activo Para Virtualización , Servidores de Aplicaciones, Bases de Datos, etc. (M082)</t>
  </si>
  <si>
    <t>Servidor de datos para backups de la información de los sistemas internos de la Tesorería</t>
  </si>
  <si>
    <t>Capacitaciones relacionadas al Fortalecimiento Institucional, Desarrollo de competencias, Gestión de Calidad y riesgos operacionales</t>
  </si>
  <si>
    <t>Consultoría para diseñar el modelo conceptual de los diversos pagos en moneda extranjera (excluyendo la deuda)</t>
  </si>
  <si>
    <t>Consultoría especializada para apoyar el desarrollo de la aplicación de georreferenciación (GIS) en una herramienta open source</t>
  </si>
  <si>
    <t>Capacitación técnica en temas catastrales</t>
  </si>
  <si>
    <t>Plan de desvinculación voluntaria de personal, como resultado del proceso de reorganización institucional y de la evaluación de competencias</t>
  </si>
  <si>
    <t>MH</t>
  </si>
  <si>
    <t xml:space="preserve">Apoyo a la implementación del modelo de cobranza </t>
  </si>
  <si>
    <t>Consultoría para desarrollar la estrategia y coordinar la Digitalización de los Expedientes Cobranzas (incluye sistema documental dentro del producto 1.12)</t>
  </si>
  <si>
    <t>Difusión sobre el nuevo modelo de compensaciones y devoluciones con actores relevantes</t>
  </si>
  <si>
    <t>Consultoría especializada para el diseño e implantación de la unidad de análisis y evaluación de la recaudación</t>
  </si>
  <si>
    <t>Consultoría especializada para la  actualización e implementación del Modelo de Fiscalización (masiva, selectiva, investigación de fraude y delito tributario), basado en un enfoque de riesgo.(actualización de criterios de selección, revisión de manuales, fuentes y de cruces de información)</t>
  </si>
  <si>
    <t xml:space="preserve">Consultoría especializada para la  actualización del Modelo conceptual de Control de Facturación (incluye sistema de gestión de comprobantes fiscales mejorado: algoritmo de autorización y asignación de secuencia y vencimiento de la autorización, formato de factura, relanzamiento de modelo de comprobante fiscal, solicitud a través de OFV y traspaso del proceso de alta a las AL en caso de que no se pueda hacer OFV). </t>
  </si>
  <si>
    <t xml:space="preserve">Rediseño y actualización de la aplicación de fiscalización (interfaces del Sistema de Control de Auditoría-SCA, que es un sistema de seguimiento). </t>
  </si>
  <si>
    <t>Reforzar la Unidad de auditoría internacional (precios de transferencia, intercambio de información automático, a requerimiento y UBO -conocimiento del beneficiario final)</t>
  </si>
  <si>
    <t>Programa de pasantías internacionales (fiscalidad internacional, cobranza, facturación, transparencia y otros)</t>
  </si>
  <si>
    <t>Herramienta para la implementación del FATCA (Acuerdo de intercambio de información con USA), incluye consultoría para capacitación</t>
  </si>
  <si>
    <t>Plan de capacitación (incluido en producto 1.4)</t>
  </si>
  <si>
    <t xml:space="preserve">Consultoría para ampliación del alcance y la calidad de los programas de educación tributaria de DGII y para diseño de nuevas y modernas herramientas de educación tributaria para diferentes grupos de contribuyentes </t>
  </si>
  <si>
    <t>Comp. II</t>
  </si>
  <si>
    <t>Comp. I</t>
  </si>
  <si>
    <t>Imprevistos</t>
  </si>
  <si>
    <t>Costos Administrativos</t>
  </si>
  <si>
    <t>1.4 Programa de fortalecimiento de los recursos humanos de la DGII, con enfoque de género, implantado</t>
  </si>
  <si>
    <t xml:space="preserve">2.2 Marco de Gasto de Mediano Plazo implantado </t>
  </si>
  <si>
    <t>Expost</t>
  </si>
  <si>
    <t>NBC</t>
  </si>
  <si>
    <t>PC</t>
  </si>
  <si>
    <t>Consultoría especializada para desarrollar e implantar los módulos del sector real y externo del modelo de la programación financiera</t>
  </si>
  <si>
    <t>Consultoría especializada para revisión procesos operativos</t>
  </si>
  <si>
    <t xml:space="preserve">Asistencia técnica para diseñar e implementar un sistema de evaluación  de competencias, incluyendo evaluación de línea de base (ejecutado por RRHH con apoyo de la firma) y de un programa de capacitación y desarrollo del personal de la DGII. </t>
  </si>
  <si>
    <t>Consultoría especializada para la actualización del modelo de servicio al contribuyente  (call center, asistencia electrónica y redes sociales, estudios de opinión, área regional de servicios, área de calidad del servicio, oficina virtual, atención presencial)</t>
  </si>
  <si>
    <t>Talleres de concientización del personal interno y campañas para los contribuyentes sobre el nuevo modelo de facturación</t>
  </si>
  <si>
    <t>Consultoría especializada para la  Modernización del modelo de Cobranza (incluye revisión de marco normativo, proceso de cobranza y controles, revisión de estructura organizacional y roles, diseño de sistemas y tecnología y aplicación del sistema de cobranza e implementación del modelo de cobranza)</t>
  </si>
  <si>
    <t>Consultoría especializada para la actualización e implementación del modelo de devoluciones y compensaciones -regímenes especiales (incluye revisión de marco normativo, proceso de cobranza y controles, revisión de estructura organizacional y roles, diseño de sistemas y tecnología y aplicación del sistema de cobranza e implementación del modelo de cobranza)</t>
  </si>
  <si>
    <t>Adquisición de licencias de software y contratación de prestación de servicios para la implantación de un Datawarehouse corporativo. (M038)</t>
  </si>
  <si>
    <t>Actualización de las instalaciones de aire acondicionado y sistema de alimentación eléctrica ininterrumpida del CPD. (M078)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</si>
</sst>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_);[Red]\(&quot;$&quot;#,##0\)"/>
    <numFmt numFmtId="43" formatCode="_(* #,##0.00_);_(* \(#,##0.00\);_(* &quot;-&quot;??_);_(@_)"/>
    <numFmt numFmtId="164" formatCode="_(* #,##0_);_(* \(#,##0\);_(* &quot;-&quot;??_);_(@_)"/>
    <numFmt numFmtId="165" formatCode="#,##0.00000000"/>
    <numFmt numFmtId="166" formatCode="0.0%"/>
    <numFmt numFmtId="167" formatCode="[$-409]dd\-mmm\-yy;@"/>
    <numFmt numFmtId="168" formatCode="[$USD]\ #,##0"/>
    <numFmt numFmtId="169" formatCode="[$USD]\ #,##0.00"/>
    <numFmt numFmtId="170" formatCode="#,##0.0"/>
  </numFmts>
  <fonts count="67"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name val="Calibri"/>
      <family val="2"/>
      <scheme val="minor"/>
    </font>
    <font>
      <sz val="12"/>
      <color theme="1"/>
      <name val="Calibri"/>
      <family val="2"/>
      <scheme val="minor"/>
    </font>
    <font>
      <b/>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rgb="FF000000"/>
      <name val="Calibri"/>
      <family val="2"/>
      <charset val="1"/>
    </font>
    <font>
      <sz val="11"/>
      <name val="Calibri"/>
      <family val="2"/>
      <scheme val="minor"/>
    </font>
    <font>
      <b/>
      <sz val="11"/>
      <color theme="0"/>
      <name val="Calibri"/>
      <family val="2"/>
      <scheme val="minor"/>
    </font>
    <font>
      <sz val="11"/>
      <color rgb="FFFF0000"/>
      <name val="Calibri"/>
      <family val="2"/>
      <scheme val="minor"/>
    </font>
    <font>
      <b/>
      <sz val="11"/>
      <color theme="1"/>
      <name val="Calibri"/>
      <scheme val="minor"/>
    </font>
    <font>
      <sz val="11"/>
      <color theme="0"/>
      <name val="Calibri"/>
      <family val="2"/>
      <scheme val="minor"/>
    </font>
    <font>
      <b/>
      <sz val="12"/>
      <color theme="1"/>
      <name val="Calibri"/>
      <family val="2"/>
      <scheme val="minor"/>
    </font>
    <font>
      <b/>
      <sz val="12"/>
      <color theme="0"/>
      <name val="Calibri"/>
      <family val="2"/>
      <scheme val="minor"/>
    </font>
    <font>
      <b/>
      <sz val="14"/>
      <color theme="0"/>
      <name val="Calibri"/>
      <family val="2"/>
      <scheme val="minor"/>
    </font>
    <font>
      <sz val="12"/>
      <color rgb="FF000000"/>
      <name val="Calibri"/>
      <family val="2"/>
      <scheme val="minor"/>
    </font>
    <font>
      <b/>
      <sz val="12"/>
      <color rgb="FF000000"/>
      <name val="Calibri"/>
      <family val="2"/>
      <scheme val="minor"/>
    </font>
    <font>
      <sz val="12"/>
      <name val="Calibri"/>
      <family val="2"/>
      <scheme val="minor"/>
    </font>
    <font>
      <sz val="12"/>
      <color rgb="FFFF0000"/>
      <name val="Calibri"/>
      <family val="2"/>
      <scheme val="minor"/>
    </font>
    <font>
      <b/>
      <sz val="16"/>
      <color theme="1"/>
      <name val="Calibri"/>
      <family val="2"/>
      <scheme val="minor"/>
    </font>
    <font>
      <sz val="16"/>
      <color theme="1"/>
      <name val="Calibri"/>
      <family val="2"/>
      <scheme val="minor"/>
    </font>
    <font>
      <b/>
      <sz val="16"/>
      <name val="Calibri"/>
      <family val="2"/>
      <scheme val="minor"/>
    </font>
    <font>
      <b/>
      <sz val="12"/>
      <name val="Calibri"/>
      <family val="2"/>
      <scheme val="minor"/>
    </font>
    <font>
      <b/>
      <sz val="12"/>
      <color indexed="9"/>
      <name val="Calibri"/>
      <family val="2"/>
      <scheme val="minor"/>
    </font>
    <font>
      <b/>
      <sz val="10"/>
      <name val="Calibri"/>
      <family val="2"/>
      <scheme val="minor"/>
    </font>
    <font>
      <sz val="10"/>
      <name val="Calibri"/>
      <family val="2"/>
      <scheme val="minor"/>
    </font>
    <font>
      <b/>
      <sz val="9"/>
      <color theme="1"/>
      <name val="Times New Roman"/>
      <family val="1"/>
    </font>
    <font>
      <sz val="9"/>
      <color theme="1"/>
      <name val="Times New Roman"/>
      <family val="1"/>
    </font>
    <font>
      <b/>
      <sz val="9"/>
      <color rgb="FF000000"/>
      <name val="Times New Roman"/>
      <family val="1"/>
    </font>
    <font>
      <sz val="9"/>
      <color rgb="FF000000"/>
      <name val="Times New Roman"/>
      <family val="1"/>
    </font>
    <font>
      <b/>
      <sz val="10"/>
      <color theme="1"/>
      <name val="Times New Roman"/>
      <family val="1"/>
    </font>
    <font>
      <sz val="10"/>
      <color theme="1"/>
      <name val="Times New Roman"/>
      <family val="1"/>
    </font>
    <font>
      <sz val="8"/>
      <color theme="1"/>
      <name val="Times New Roman"/>
      <family val="1"/>
    </font>
    <font>
      <sz val="11"/>
      <name val="Calibri"/>
      <scheme val="minor"/>
    </font>
    <font>
      <b/>
      <sz val="9"/>
      <color indexed="81"/>
      <name val="Tahoma"/>
      <family val="2"/>
    </font>
    <font>
      <sz val="9"/>
      <color indexed="81"/>
      <name val="Tahoma"/>
      <family val="2"/>
    </font>
    <font>
      <b/>
      <sz val="10"/>
      <name val="Calibri"/>
      <scheme val="minor"/>
    </font>
    <font>
      <sz val="8"/>
      <name val="Calibri"/>
      <family val="2"/>
      <scheme val="minor"/>
    </font>
  </fonts>
  <fills count="46">
    <fill>
      <patternFill patternType="none"/>
    </fill>
    <fill>
      <patternFill patternType="gray125"/>
    </fill>
    <fill>
      <patternFill patternType="solid">
        <fgColor theme="5" tint="0.39997558519241921"/>
        <bgColor indexed="64"/>
      </patternFill>
    </fill>
    <fill>
      <patternFill patternType="solid">
        <fgColor theme="4" tint="0.39997558519241921"/>
        <bgColor indexed="64"/>
      </patternFill>
    </fill>
    <fill>
      <patternFill patternType="solid">
        <fgColor rgb="FF92D05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59999389629810485"/>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9"/>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C000"/>
        <bgColor indexed="64"/>
      </patternFill>
    </fill>
    <fill>
      <patternFill patternType="solid">
        <fgColor rgb="FF00B0F0"/>
        <bgColor indexed="64"/>
      </patternFill>
    </fill>
    <fill>
      <patternFill patternType="solid">
        <fgColor theme="0"/>
        <bgColor indexed="64"/>
      </patternFill>
    </fill>
    <fill>
      <patternFill patternType="solid">
        <fgColor theme="2"/>
        <bgColor indexed="64"/>
      </patternFill>
    </fill>
    <fill>
      <patternFill patternType="solid">
        <fgColor rgb="FFC0C0C0"/>
        <bgColor indexed="64"/>
      </patternFill>
    </fill>
    <fill>
      <patternFill patternType="solid">
        <fgColor theme="0" tint="-0.249977111117893"/>
        <bgColor indexed="64"/>
      </patternFill>
    </fill>
    <fill>
      <patternFill patternType="solid">
        <fgColor rgb="FFFFFFFF"/>
        <bgColor indexed="64"/>
      </patternFill>
    </fill>
    <fill>
      <patternFill patternType="solid">
        <fgColor rgb="FFBFBFBF"/>
        <bgColor indexed="64"/>
      </patternFill>
    </fill>
    <fill>
      <patternFill patternType="solid">
        <fgColor theme="8" tint="0.79998168889431442"/>
        <bgColor indexed="64"/>
      </patternFill>
    </fill>
  </fills>
  <borders count="71">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right/>
      <top/>
      <bottom style="double">
        <color indexed="64"/>
      </bottom>
      <diagonal/>
    </border>
    <border>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style="thin">
        <color auto="1"/>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diagonal/>
    </border>
    <border>
      <left/>
      <right/>
      <top style="thin">
        <color auto="1"/>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medium">
        <color indexed="64"/>
      </left>
      <right style="medium">
        <color indexed="64"/>
      </right>
      <top style="thin">
        <color auto="1"/>
      </top>
      <bottom style="thin">
        <color auto="1"/>
      </bottom>
      <diagonal/>
    </border>
    <border>
      <left style="medium">
        <color indexed="64"/>
      </left>
      <right style="thin">
        <color indexed="64"/>
      </right>
      <top style="thin">
        <color indexed="64"/>
      </top>
      <bottom/>
      <diagonal/>
    </border>
  </borders>
  <cellStyleXfs count="151">
    <xf numFmtId="0" fontId="0" fillId="0" borderId="0"/>
    <xf numFmtId="0" fontId="14" fillId="0" borderId="0"/>
    <xf numFmtId="0" fontId="14" fillId="0" borderId="0"/>
    <xf numFmtId="0" fontId="13" fillId="0" borderId="0"/>
    <xf numFmtId="0" fontId="12" fillId="0" borderId="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1" fillId="23" borderId="4" applyNumberFormat="0" applyAlignment="0" applyProtection="0"/>
    <xf numFmtId="0" fontId="21" fillId="23" borderId="4" applyNumberFormat="0" applyAlignment="0" applyProtection="0"/>
    <xf numFmtId="0" fontId="21" fillId="23" borderId="4" applyNumberFormat="0" applyAlignment="0" applyProtection="0"/>
    <xf numFmtId="0" fontId="22" fillId="24" borderId="5" applyNumberFormat="0" applyAlignment="0" applyProtection="0"/>
    <xf numFmtId="0" fontId="22" fillId="24" borderId="5" applyNumberFormat="0" applyAlignment="0" applyProtection="0"/>
    <xf numFmtId="0" fontId="22" fillId="24" borderId="5" applyNumberFormat="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10" borderId="4" applyNumberFormat="0" applyAlignment="0" applyProtection="0"/>
    <xf numFmtId="0" fontId="28" fillId="10" borderId="4" applyNumberFormat="0" applyAlignment="0" applyProtection="0"/>
    <xf numFmtId="0" fontId="28" fillId="10" borderId="4" applyNumberFormat="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14" fillId="0" borderId="0"/>
    <xf numFmtId="0" fontId="14" fillId="0" borderId="0"/>
    <xf numFmtId="0" fontId="14" fillId="0" borderId="0"/>
    <xf numFmtId="0" fontId="14" fillId="0" borderId="0"/>
    <xf numFmtId="0" fontId="14" fillId="26" borderId="10" applyNumberFormat="0" applyFont="0" applyAlignment="0" applyProtection="0"/>
    <xf numFmtId="0" fontId="14" fillId="26" borderId="10" applyNumberFormat="0" applyFont="0" applyAlignment="0" applyProtection="0"/>
    <xf numFmtId="0" fontId="14" fillId="26" borderId="10" applyNumberFormat="0" applyFont="0" applyAlignment="0" applyProtection="0"/>
    <xf numFmtId="0" fontId="31" fillId="23" borderId="11" applyNumberFormat="0" applyAlignment="0" applyProtection="0"/>
    <xf numFmtId="0" fontId="31" fillId="23" borderId="11" applyNumberFormat="0" applyAlignment="0" applyProtection="0"/>
    <xf numFmtId="0" fontId="31" fillId="23" borderId="11"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1" fillId="0" borderId="0"/>
    <xf numFmtId="0" fontId="35" fillId="0" borderId="0"/>
    <xf numFmtId="43" fontId="16" fillId="0" borderId="0" applyFont="0" applyFill="0" applyBorder="0" applyAlignment="0" applyProtection="0"/>
    <xf numFmtId="0" fontId="9" fillId="0" borderId="0"/>
    <xf numFmtId="43" fontId="8" fillId="0" borderId="0" applyFont="0" applyFill="0" applyBorder="0" applyAlignment="0" applyProtection="0"/>
    <xf numFmtId="0" fontId="8" fillId="0" borderId="0"/>
    <xf numFmtId="43" fontId="7" fillId="0" borderId="0" applyFont="0" applyFill="0" applyBorder="0" applyAlignment="0" applyProtection="0"/>
    <xf numFmtId="0" fontId="7" fillId="0" borderId="0"/>
    <xf numFmtId="0" fontId="6" fillId="0" borderId="0"/>
    <xf numFmtId="43" fontId="6" fillId="0" borderId="0" applyFont="0" applyFill="0" applyBorder="0" applyAlignment="0" applyProtection="0"/>
    <xf numFmtId="9" fontId="16" fillId="0" borderId="0" applyFont="0" applyFill="0" applyBorder="0" applyAlignment="0" applyProtection="0"/>
    <xf numFmtId="0" fontId="5" fillId="0" borderId="0"/>
    <xf numFmtId="0" fontId="5" fillId="0" borderId="0"/>
    <xf numFmtId="0" fontId="4" fillId="0" borderId="0"/>
    <xf numFmtId="43" fontId="4"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3" fillId="0" borderId="0"/>
  </cellStyleXfs>
  <cellXfs count="495">
    <xf numFmtId="0" fontId="0" fillId="0" borderId="0" xfId="0"/>
    <xf numFmtId="0" fontId="36" fillId="0" borderId="1" xfId="3" applyFont="1" applyBorder="1" applyProtection="1">
      <protection locked="0"/>
    </xf>
    <xf numFmtId="0" fontId="36" fillId="0" borderId="0" xfId="3" applyFont="1" applyProtection="1">
      <protection locked="0"/>
    </xf>
    <xf numFmtId="43" fontId="36" fillId="0" borderId="0" xfId="3" applyNumberFormat="1" applyFont="1" applyProtection="1">
      <protection locked="0"/>
    </xf>
    <xf numFmtId="0" fontId="10" fillId="0" borderId="0" xfId="0" applyFont="1"/>
    <xf numFmtId="0" fontId="36" fillId="0" borderId="13" xfId="3" applyFont="1" applyBorder="1" applyProtection="1">
      <protection locked="0"/>
    </xf>
    <xf numFmtId="0" fontId="36" fillId="0" borderId="18" xfId="3" applyFont="1" applyBorder="1" applyProtection="1">
      <protection locked="0"/>
    </xf>
    <xf numFmtId="0" fontId="8" fillId="0" borderId="0" xfId="4" applyFont="1" applyProtection="1">
      <protection locked="0"/>
    </xf>
    <xf numFmtId="0" fontId="17" fillId="4" borderId="15" xfId="4" applyFont="1" applyFill="1" applyBorder="1" applyAlignment="1" applyProtection="1">
      <alignment horizontal="center"/>
      <protection locked="0"/>
    </xf>
    <xf numFmtId="0" fontId="8" fillId="0" borderId="0" xfId="4" applyFont="1" applyFill="1" applyProtection="1">
      <protection locked="0"/>
    </xf>
    <xf numFmtId="0" fontId="7" fillId="0" borderId="0" xfId="139"/>
    <xf numFmtId="164" fontId="37" fillId="36" borderId="3" xfId="138" applyNumberFormat="1" applyFont="1" applyFill="1" applyBorder="1" applyAlignment="1">
      <alignment horizontal="center" vertical="center" wrapText="1"/>
    </xf>
    <xf numFmtId="164" fontId="0" fillId="0" borderId="0" xfId="138" applyNumberFormat="1" applyFont="1" applyAlignment="1">
      <alignment wrapText="1"/>
    </xf>
    <xf numFmtId="0" fontId="7" fillId="0" borderId="0" xfId="139" applyAlignment="1">
      <alignment horizontal="center" vertical="center" wrapText="1"/>
    </xf>
    <xf numFmtId="0" fontId="7" fillId="0" borderId="0" xfId="139" applyAlignment="1">
      <alignment horizontal="left" vertical="center" wrapText="1"/>
    </xf>
    <xf numFmtId="0" fontId="7" fillId="0" borderId="0" xfId="139" applyAlignment="1">
      <alignment wrapText="1"/>
    </xf>
    <xf numFmtId="0" fontId="36" fillId="0" borderId="27" xfId="3" applyFont="1" applyBorder="1" applyProtection="1">
      <protection locked="0"/>
    </xf>
    <xf numFmtId="164" fontId="16" fillId="0" borderId="0" xfId="138" applyNumberFormat="1" applyFont="1" applyAlignment="1">
      <alignment wrapText="1"/>
    </xf>
    <xf numFmtId="164" fontId="40" fillId="36" borderId="3" xfId="138" applyNumberFormat="1" applyFont="1" applyFill="1" applyBorder="1" applyAlignment="1">
      <alignment horizontal="center" vertical="center" wrapText="1"/>
    </xf>
    <xf numFmtId="0" fontId="17" fillId="0" borderId="28" xfId="139" applyFont="1" applyFill="1" applyBorder="1" applyAlignment="1">
      <alignment horizontal="left" vertical="center" wrapText="1"/>
    </xf>
    <xf numFmtId="0" fontId="17" fillId="0" borderId="29" xfId="139" applyFont="1" applyFill="1" applyBorder="1" applyAlignment="1">
      <alignment wrapText="1"/>
    </xf>
    <xf numFmtId="164" fontId="41" fillId="0" borderId="30" xfId="138" applyNumberFormat="1" applyFont="1" applyFill="1" applyBorder="1" applyAlignment="1">
      <alignment wrapText="1"/>
    </xf>
    <xf numFmtId="0" fontId="17" fillId="0" borderId="23" xfId="139" applyFont="1" applyFill="1" applyBorder="1" applyAlignment="1">
      <alignment horizontal="left" vertical="center" wrapText="1"/>
    </xf>
    <xf numFmtId="0" fontId="17" fillId="0" borderId="23" xfId="139" applyFont="1" applyFill="1" applyBorder="1" applyAlignment="1">
      <alignment wrapText="1"/>
    </xf>
    <xf numFmtId="164" fontId="41" fillId="0" borderId="23" xfId="138" applyNumberFormat="1" applyFont="1" applyFill="1" applyBorder="1" applyAlignment="1">
      <alignment wrapText="1"/>
    </xf>
    <xf numFmtId="0" fontId="17" fillId="0" borderId="24" xfId="139" applyFont="1" applyBorder="1" applyAlignment="1">
      <alignment horizontal="center" vertical="center" wrapText="1"/>
    </xf>
    <xf numFmtId="0" fontId="17" fillId="0" borderId="24" xfId="139" applyFont="1" applyBorder="1" applyAlignment="1">
      <alignment horizontal="left" vertical="center" wrapText="1"/>
    </xf>
    <xf numFmtId="0" fontId="17" fillId="0" borderId="25" xfId="139" applyFont="1" applyBorder="1" applyAlignment="1">
      <alignment wrapText="1"/>
    </xf>
    <xf numFmtId="164" fontId="17" fillId="0" borderId="25" xfId="139" applyNumberFormat="1" applyFont="1" applyBorder="1" applyAlignment="1">
      <alignment wrapText="1"/>
    </xf>
    <xf numFmtId="0" fontId="36" fillId="0" borderId="30" xfId="3" applyFont="1" applyBorder="1" applyProtection="1">
      <protection locked="0"/>
    </xf>
    <xf numFmtId="3" fontId="36" fillId="30" borderId="26" xfId="0" applyNumberFormat="1" applyFont="1" applyFill="1" applyBorder="1" applyAlignment="1" applyProtection="1">
      <alignment horizontal="right" vertical="center" wrapText="1"/>
      <protection locked="0"/>
    </xf>
    <xf numFmtId="3" fontId="36" fillId="30" borderId="26" xfId="3" applyNumberFormat="1" applyFont="1" applyFill="1" applyBorder="1" applyAlignment="1" applyProtection="1">
      <alignment horizontal="right" vertical="center" wrapText="1"/>
    </xf>
    <xf numFmtId="0" fontId="36" fillId="0" borderId="26" xfId="3" applyFont="1" applyFill="1" applyBorder="1" applyAlignment="1" applyProtection="1">
      <alignment horizontal="left" vertical="center" wrapText="1"/>
      <protection locked="0"/>
    </xf>
    <xf numFmtId="3" fontId="36" fillId="0" borderId="26" xfId="0" applyNumberFormat="1" applyFont="1" applyFill="1" applyBorder="1" applyAlignment="1" applyProtection="1">
      <alignment horizontal="right" vertical="center" wrapText="1"/>
      <protection locked="0"/>
    </xf>
    <xf numFmtId="3" fontId="36" fillId="0" borderId="26" xfId="3" applyNumberFormat="1" applyFont="1" applyFill="1" applyBorder="1" applyAlignment="1" applyProtection="1">
      <alignment horizontal="right" vertical="center" wrapText="1"/>
    </xf>
    <xf numFmtId="0" fontId="36" fillId="30" borderId="26" xfId="3" applyFont="1" applyFill="1" applyBorder="1" applyAlignment="1" applyProtection="1">
      <alignment horizontal="left" vertical="center" wrapText="1"/>
      <protection locked="0"/>
    </xf>
    <xf numFmtId="0" fontId="36" fillId="30" borderId="3" xfId="0" applyFont="1" applyFill="1" applyBorder="1" applyAlignment="1" applyProtection="1">
      <alignment horizontal="left" vertical="center" wrapText="1"/>
      <protection locked="0"/>
    </xf>
    <xf numFmtId="3" fontId="36" fillId="30" borderId="3" xfId="0" applyNumberFormat="1" applyFont="1" applyFill="1" applyBorder="1" applyAlignment="1" applyProtection="1">
      <alignment horizontal="right" vertical="center" wrapText="1"/>
      <protection locked="0"/>
    </xf>
    <xf numFmtId="3" fontId="36" fillId="30" borderId="3" xfId="3" applyNumberFormat="1" applyFont="1" applyFill="1" applyBorder="1" applyAlignment="1" applyProtection="1">
      <alignment horizontal="right" vertical="center" wrapText="1"/>
    </xf>
    <xf numFmtId="0" fontId="36" fillId="0" borderId="3" xfId="3" applyFont="1" applyFill="1" applyBorder="1" applyAlignment="1" applyProtection="1">
      <alignment horizontal="left" vertical="center" wrapText="1"/>
      <protection locked="0"/>
    </xf>
    <xf numFmtId="3" fontId="36" fillId="0" borderId="3" xfId="0" applyNumberFormat="1" applyFont="1" applyFill="1" applyBorder="1" applyAlignment="1" applyProtection="1">
      <alignment horizontal="right" vertical="center" wrapText="1"/>
      <protection locked="0"/>
    </xf>
    <xf numFmtId="3" fontId="36" fillId="0" borderId="3" xfId="3" applyNumberFormat="1" applyFont="1" applyFill="1" applyBorder="1" applyAlignment="1" applyProtection="1">
      <alignment horizontal="right" vertical="center" wrapText="1"/>
    </xf>
    <xf numFmtId="0" fontId="36" fillId="30" borderId="3" xfId="3" applyFont="1" applyFill="1" applyBorder="1" applyAlignment="1" applyProtection="1">
      <alignment horizontal="left" vertical="center" wrapText="1"/>
      <protection locked="0"/>
    </xf>
    <xf numFmtId="3" fontId="15" fillId="34" borderId="32" xfId="0" applyNumberFormat="1" applyFont="1" applyFill="1" applyBorder="1" applyAlignment="1"/>
    <xf numFmtId="0" fontId="36" fillId="34" borderId="32" xfId="0" applyFont="1" applyFill="1" applyBorder="1" applyAlignment="1"/>
    <xf numFmtId="0" fontId="36" fillId="34" borderId="33" xfId="0" applyFont="1" applyFill="1" applyBorder="1" applyAlignment="1"/>
    <xf numFmtId="0" fontId="36" fillId="30" borderId="28" xfId="0" applyFont="1" applyFill="1" applyBorder="1" applyAlignment="1" applyProtection="1">
      <alignment horizontal="left" vertical="center" wrapText="1"/>
      <protection locked="0"/>
    </xf>
    <xf numFmtId="3" fontId="36" fillId="30" borderId="29" xfId="0" applyNumberFormat="1" applyFont="1" applyFill="1" applyBorder="1" applyAlignment="1" applyProtection="1">
      <alignment horizontal="right" vertical="center" wrapText="1"/>
      <protection locked="0"/>
    </xf>
    <xf numFmtId="3" fontId="36" fillId="30" borderId="29" xfId="3" applyNumberFormat="1" applyFont="1" applyFill="1" applyBorder="1" applyAlignment="1" applyProtection="1">
      <alignment horizontal="right" vertical="center" wrapText="1"/>
    </xf>
    <xf numFmtId="0" fontId="36" fillId="0" borderId="29" xfId="3" applyFont="1" applyFill="1" applyBorder="1" applyAlignment="1" applyProtection="1">
      <alignment horizontal="left" vertical="center" wrapText="1"/>
      <protection locked="0"/>
    </xf>
    <xf numFmtId="3" fontId="36" fillId="0" borderId="29" xfId="0" applyNumberFormat="1" applyFont="1" applyFill="1" applyBorder="1" applyAlignment="1" applyProtection="1">
      <alignment horizontal="right" vertical="center" wrapText="1"/>
      <protection locked="0"/>
    </xf>
    <xf numFmtId="3" fontId="36" fillId="0" borderId="29" xfId="3" applyNumberFormat="1" applyFont="1" applyFill="1" applyBorder="1" applyAlignment="1" applyProtection="1">
      <alignment horizontal="right" vertical="center" wrapText="1"/>
    </xf>
    <xf numFmtId="0" fontId="36" fillId="30" borderId="29" xfId="3" applyFont="1" applyFill="1" applyBorder="1" applyAlignment="1" applyProtection="1">
      <alignment horizontal="left" vertical="center" wrapText="1"/>
      <protection locked="0"/>
    </xf>
    <xf numFmtId="3" fontId="36" fillId="30" borderId="30" xfId="3" applyNumberFormat="1" applyFont="1" applyFill="1" applyBorder="1" applyAlignment="1" applyProtection="1">
      <alignment horizontal="right" vertical="center" wrapText="1"/>
    </xf>
    <xf numFmtId="0" fontId="17" fillId="4" borderId="3" xfId="139" applyFont="1" applyFill="1" applyBorder="1" applyAlignment="1">
      <alignment horizontal="left" vertical="center" wrapText="1"/>
    </xf>
    <xf numFmtId="0" fontId="36" fillId="0" borderId="34" xfId="3" applyFont="1" applyBorder="1" applyProtection="1">
      <protection locked="0"/>
    </xf>
    <xf numFmtId="0" fontId="15" fillId="34" borderId="19" xfId="0" applyFont="1" applyFill="1" applyBorder="1" applyAlignment="1" applyProtection="1">
      <alignment horizontal="left" vertical="top" wrapText="1"/>
      <protection locked="0"/>
    </xf>
    <xf numFmtId="0" fontId="15" fillId="34" borderId="31" xfId="0" applyFont="1" applyFill="1" applyBorder="1" applyAlignment="1" applyProtection="1">
      <alignment horizontal="left" wrapText="1"/>
      <protection locked="0"/>
    </xf>
    <xf numFmtId="0" fontId="15" fillId="0" borderId="0" xfId="3" applyFont="1" applyAlignment="1" applyProtection="1">
      <alignment horizontal="left"/>
      <protection locked="0"/>
    </xf>
    <xf numFmtId="0" fontId="5" fillId="0" borderId="0" xfId="4" applyFont="1" applyProtection="1">
      <protection locked="0"/>
    </xf>
    <xf numFmtId="3" fontId="17" fillId="4" borderId="30" xfId="4" applyNumberFormat="1" applyFont="1" applyFill="1" applyBorder="1" applyProtection="1"/>
    <xf numFmtId="3" fontId="17" fillId="28" borderId="30" xfId="4" applyNumberFormat="1" applyFont="1" applyFill="1" applyBorder="1" applyAlignment="1" applyProtection="1">
      <alignment horizontal="center"/>
      <protection locked="0"/>
    </xf>
    <xf numFmtId="3" fontId="17" fillId="0" borderId="30" xfId="4" applyNumberFormat="1" applyFont="1" applyBorder="1" applyProtection="1"/>
    <xf numFmtId="0" fontId="5" fillId="0" borderId="0" xfId="4" applyFont="1" applyAlignment="1" applyProtection="1">
      <alignment horizontal="center"/>
      <protection locked="0"/>
    </xf>
    <xf numFmtId="0" fontId="42" fillId="38" borderId="28" xfId="2" applyFont="1" applyFill="1" applyBorder="1" applyAlignment="1">
      <alignment horizontal="center" vertical="center" wrapText="1"/>
    </xf>
    <xf numFmtId="0" fontId="42" fillId="38" borderId="30" xfId="2" applyFont="1" applyFill="1" applyBorder="1" applyAlignment="1">
      <alignment horizontal="center" vertical="center" wrapText="1"/>
    </xf>
    <xf numFmtId="6" fontId="44" fillId="0" borderId="35" xfId="0" applyNumberFormat="1" applyFont="1" applyFill="1" applyBorder="1" applyAlignment="1">
      <alignment horizontal="right" vertical="center" wrapText="1"/>
    </xf>
    <xf numFmtId="0" fontId="16" fillId="0" borderId="35" xfId="0" applyFont="1" applyFill="1" applyBorder="1" applyAlignment="1">
      <alignment horizontal="center" vertical="center" wrapText="1"/>
    </xf>
    <xf numFmtId="6" fontId="44" fillId="0" borderId="35" xfId="0" applyNumberFormat="1" applyFont="1" applyFill="1" applyBorder="1" applyAlignment="1">
      <alignment horizontal="center" vertical="center" wrapText="1"/>
    </xf>
    <xf numFmtId="0" fontId="16" fillId="0" borderId="36" xfId="0" applyFont="1" applyFill="1" applyBorder="1" applyAlignment="1">
      <alignment horizontal="center" vertical="center" wrapText="1"/>
    </xf>
    <xf numFmtId="6" fontId="44" fillId="0" borderId="3" xfId="0" applyNumberFormat="1" applyFont="1" applyFill="1" applyBorder="1" applyAlignment="1">
      <alignment horizontal="right" vertical="center" wrapText="1"/>
    </xf>
    <xf numFmtId="0" fontId="16" fillId="0" borderId="3" xfId="0" applyFont="1" applyFill="1" applyBorder="1" applyAlignment="1">
      <alignment horizontal="center" vertical="center" wrapText="1"/>
    </xf>
    <xf numFmtId="6" fontId="44" fillId="0" borderId="3" xfId="0" applyNumberFormat="1" applyFont="1" applyFill="1" applyBorder="1" applyAlignment="1">
      <alignment horizontal="center" vertical="center" wrapText="1"/>
    </xf>
    <xf numFmtId="0" fontId="44" fillId="0" borderId="3" xfId="0" applyFont="1" applyFill="1" applyBorder="1" applyAlignment="1">
      <alignment horizontal="left" vertical="center" wrapText="1"/>
    </xf>
    <xf numFmtId="0" fontId="44" fillId="0" borderId="35" xfId="0" applyFont="1" applyFill="1" applyBorder="1" applyAlignment="1">
      <alignment horizontal="left" vertical="center" wrapText="1"/>
    </xf>
    <xf numFmtId="6" fontId="44" fillId="0" borderId="36" xfId="0" applyNumberFormat="1" applyFont="1" applyFill="1" applyBorder="1" applyAlignment="1">
      <alignment horizontal="right" vertical="center" wrapText="1"/>
    </xf>
    <xf numFmtId="6" fontId="45" fillId="39" borderId="22" xfId="0" applyNumberFormat="1" applyFont="1" applyFill="1" applyBorder="1" applyAlignment="1">
      <alignment horizontal="right" vertical="center" wrapText="1"/>
    </xf>
    <xf numFmtId="0" fontId="16" fillId="0" borderId="22" xfId="0" applyFont="1" applyBorder="1" applyAlignment="1">
      <alignment horizontal="center" vertical="center" wrapText="1"/>
    </xf>
    <xf numFmtId="0" fontId="46" fillId="39" borderId="22" xfId="0" applyFont="1" applyFill="1" applyBorder="1" applyAlignment="1">
      <alignment horizontal="center" wrapText="1"/>
    </xf>
    <xf numFmtId="0" fontId="46" fillId="0" borderId="21" xfId="0" applyFont="1" applyBorder="1" applyAlignment="1">
      <alignment horizontal="center" vertical="center" wrapText="1"/>
    </xf>
    <xf numFmtId="0" fontId="16" fillId="0" borderId="0" xfId="0" applyFont="1" applyBorder="1" applyAlignment="1">
      <alignment wrapText="1"/>
    </xf>
    <xf numFmtId="0" fontId="16" fillId="0" borderId="0" xfId="0" applyFont="1" applyBorder="1" applyAlignment="1">
      <alignment horizontal="center" wrapText="1"/>
    </xf>
    <xf numFmtId="0" fontId="16" fillId="0" borderId="38" xfId="0" applyFont="1" applyBorder="1" applyAlignment="1">
      <alignment wrapText="1"/>
    </xf>
    <xf numFmtId="6" fontId="45" fillId="39" borderId="29" xfId="0" applyNumberFormat="1" applyFont="1" applyFill="1" applyBorder="1" applyAlignment="1">
      <alignment horizontal="right" vertical="center" wrapText="1"/>
    </xf>
    <xf numFmtId="6" fontId="44" fillId="0" borderId="29" xfId="0" applyNumberFormat="1" applyFont="1" applyFill="1" applyBorder="1" applyAlignment="1">
      <alignment horizontal="right" vertical="center" wrapText="1"/>
    </xf>
    <xf numFmtId="0" fontId="16" fillId="0" borderId="29" xfId="0" applyFont="1" applyBorder="1" applyAlignment="1">
      <alignment horizontal="center" vertical="center" wrapText="1"/>
    </xf>
    <xf numFmtId="6" fontId="44" fillId="39" borderId="29" xfId="0" applyNumberFormat="1" applyFont="1" applyFill="1" applyBorder="1" applyAlignment="1">
      <alignment horizontal="center" vertical="center" wrapText="1"/>
    </xf>
    <xf numFmtId="6" fontId="46" fillId="39" borderId="29" xfId="0" applyNumberFormat="1" applyFont="1" applyFill="1" applyBorder="1" applyAlignment="1">
      <alignment horizontal="center" vertical="center" wrapText="1"/>
    </xf>
    <xf numFmtId="3" fontId="44" fillId="39" borderId="30" xfId="0" applyNumberFormat="1" applyFont="1" applyFill="1" applyBorder="1" applyAlignment="1">
      <alignment horizontal="left" vertical="center" wrapText="1"/>
    </xf>
    <xf numFmtId="6" fontId="47" fillId="39" borderId="29" xfId="0" applyNumberFormat="1" applyFont="1" applyFill="1" applyBorder="1" applyAlignment="1">
      <alignment horizontal="center" vertical="center" wrapText="1"/>
    </xf>
    <xf numFmtId="0" fontId="46" fillId="39" borderId="29" xfId="0" applyFont="1" applyFill="1" applyBorder="1" applyAlignment="1">
      <alignment horizontal="center" wrapText="1"/>
    </xf>
    <xf numFmtId="0" fontId="46" fillId="0" borderId="30" xfId="0" applyFont="1" applyBorder="1" applyAlignment="1">
      <alignment horizontal="center" vertical="center" wrapText="1"/>
    </xf>
    <xf numFmtId="6" fontId="46" fillId="39" borderId="29" xfId="0" applyNumberFormat="1" applyFont="1" applyFill="1" applyBorder="1" applyAlignment="1">
      <alignment horizontal="center" wrapText="1"/>
    </xf>
    <xf numFmtId="0" fontId="46" fillId="40" borderId="40" xfId="0" applyFont="1" applyFill="1" applyBorder="1" applyAlignment="1">
      <alignment horizontal="center" vertical="center" wrapText="1"/>
    </xf>
    <xf numFmtId="0" fontId="16" fillId="0" borderId="41" xfId="0" applyFont="1" applyFill="1" applyBorder="1" applyAlignment="1">
      <alignment horizontal="center" vertical="center" wrapText="1"/>
    </xf>
    <xf numFmtId="0" fontId="46" fillId="0" borderId="35"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46" fillId="39" borderId="14" xfId="0" applyFont="1" applyFill="1" applyBorder="1" applyAlignment="1">
      <alignment horizontal="center" vertical="center" wrapText="1"/>
    </xf>
    <xf numFmtId="0" fontId="44" fillId="39" borderId="22" xfId="0" applyFont="1" applyFill="1" applyBorder="1" applyAlignment="1">
      <alignment horizontal="left" vertical="center" wrapText="1"/>
    </xf>
    <xf numFmtId="0" fontId="46" fillId="39" borderId="0" xfId="0" applyFont="1" applyFill="1" applyBorder="1" applyAlignment="1">
      <alignment wrapText="1"/>
    </xf>
    <xf numFmtId="0" fontId="46" fillId="39" borderId="28" xfId="0" applyFont="1" applyFill="1" applyBorder="1" applyAlignment="1">
      <alignment horizontal="center" vertical="center" wrapText="1"/>
    </xf>
    <xf numFmtId="0" fontId="44" fillId="39" borderId="29" xfId="0" applyFont="1" applyFill="1" applyBorder="1" applyAlignment="1">
      <alignment horizontal="left" vertical="center" wrapText="1"/>
    </xf>
    <xf numFmtId="0" fontId="51" fillId="39" borderId="28" xfId="0" applyFont="1" applyFill="1" applyBorder="1" applyAlignment="1">
      <alignment horizontal="center" vertical="center" wrapText="1"/>
    </xf>
    <xf numFmtId="169" fontId="0" fillId="0" borderId="0" xfId="0" applyNumberFormat="1"/>
    <xf numFmtId="0" fontId="5" fillId="0" borderId="0" xfId="144"/>
    <xf numFmtId="0" fontId="55" fillId="41" borderId="46" xfId="144" applyFont="1" applyFill="1" applyBorder="1" applyAlignment="1">
      <alignment horizontal="center" vertical="center" wrapText="1"/>
    </xf>
    <xf numFmtId="0" fontId="55" fillId="41" borderId="33" xfId="144" applyFont="1" applyFill="1" applyBorder="1" applyAlignment="1">
      <alignment horizontal="center" vertical="center" wrapText="1"/>
    </xf>
    <xf numFmtId="0" fontId="55" fillId="0" borderId="47" xfId="144" applyFont="1" applyBorder="1" applyAlignment="1">
      <alignment horizontal="left" vertical="center" wrapText="1" indent="1"/>
    </xf>
    <xf numFmtId="3" fontId="55" fillId="0" borderId="48" xfId="144" applyNumberFormat="1" applyFont="1" applyBorder="1" applyAlignment="1">
      <alignment horizontal="right" vertical="center" wrapText="1"/>
    </xf>
    <xf numFmtId="4" fontId="57" fillId="0" borderId="48" xfId="144" applyNumberFormat="1" applyFont="1" applyBorder="1" applyAlignment="1">
      <alignment horizontal="center" vertical="center" wrapText="1"/>
    </xf>
    <xf numFmtId="0" fontId="56" fillId="0" borderId="47" xfId="144" applyFont="1" applyBorder="1" applyAlignment="1">
      <alignment horizontal="left" vertical="center" wrapText="1" indent="4"/>
    </xf>
    <xf numFmtId="3" fontId="56" fillId="0" borderId="48" xfId="144" applyNumberFormat="1" applyFont="1" applyBorder="1" applyAlignment="1">
      <alignment horizontal="right" vertical="center" wrapText="1"/>
    </xf>
    <xf numFmtId="0" fontId="56" fillId="0" borderId="48" xfId="144" applyFont="1" applyBorder="1" applyAlignment="1">
      <alignment horizontal="right" vertical="center" wrapText="1"/>
    </xf>
    <xf numFmtId="4" fontId="58" fillId="0" borderId="48" xfId="144" applyNumberFormat="1" applyFont="1" applyBorder="1" applyAlignment="1">
      <alignment horizontal="center" vertical="center" wrapText="1"/>
    </xf>
    <xf numFmtId="0" fontId="55" fillId="0" borderId="48" xfId="144" applyFont="1" applyBorder="1" applyAlignment="1">
      <alignment horizontal="right" vertical="center" wrapText="1"/>
    </xf>
    <xf numFmtId="0" fontId="55" fillId="41" borderId="47" xfId="144" applyFont="1" applyFill="1" applyBorder="1" applyAlignment="1">
      <alignment vertical="center" wrapText="1"/>
    </xf>
    <xf numFmtId="3" fontId="55" fillId="41" borderId="48" xfId="144" applyNumberFormat="1" applyFont="1" applyFill="1" applyBorder="1" applyAlignment="1">
      <alignment horizontal="right" vertical="center" wrapText="1"/>
    </xf>
    <xf numFmtId="4" fontId="57" fillId="42" borderId="48" xfId="144" applyNumberFormat="1" applyFont="1" applyFill="1" applyBorder="1" applyAlignment="1">
      <alignment horizontal="center" vertical="center" wrapText="1"/>
    </xf>
    <xf numFmtId="2" fontId="55" fillId="41" borderId="48" xfId="144" applyNumberFormat="1" applyFont="1" applyFill="1" applyBorder="1" applyAlignment="1">
      <alignment horizontal="center" vertical="center" wrapText="1"/>
    </xf>
    <xf numFmtId="3" fontId="5" fillId="0" borderId="0" xfId="144" applyNumberFormat="1"/>
    <xf numFmtId="0" fontId="59" fillId="42" borderId="50" xfId="144" applyFont="1" applyFill="1" applyBorder="1" applyAlignment="1">
      <alignment horizontal="center" vertical="center" wrapText="1"/>
    </xf>
    <xf numFmtId="3" fontId="17" fillId="42" borderId="35" xfId="144" applyNumberFormat="1" applyFont="1" applyFill="1" applyBorder="1" applyAlignment="1">
      <alignment horizontal="center"/>
    </xf>
    <xf numFmtId="0" fontId="59" fillId="42" borderId="51" xfId="144" applyFont="1" applyFill="1" applyBorder="1" applyAlignment="1">
      <alignment horizontal="center" vertical="center" wrapText="1"/>
    </xf>
    <xf numFmtId="0" fontId="59" fillId="42" borderId="52" xfId="144" applyFont="1" applyFill="1" applyBorder="1" applyAlignment="1">
      <alignment horizontal="center" vertical="center" wrapText="1"/>
    </xf>
    <xf numFmtId="0" fontId="59" fillId="0" borderId="53" xfId="144" applyFont="1" applyBorder="1" applyAlignment="1">
      <alignment horizontal="center" vertical="center" wrapText="1"/>
    </xf>
    <xf numFmtId="3" fontId="60" fillId="0" borderId="54" xfId="144" applyNumberFormat="1" applyFont="1" applyBorder="1" applyAlignment="1">
      <alignment horizontal="center" vertical="center" wrapText="1"/>
    </xf>
    <xf numFmtId="3" fontId="59" fillId="0" borderId="54" xfId="144" applyNumberFormat="1" applyFont="1" applyBorder="1" applyAlignment="1">
      <alignment horizontal="center" vertical="center" wrapText="1"/>
    </xf>
    <xf numFmtId="4" fontId="59" fillId="0" borderId="55" xfId="144" applyNumberFormat="1" applyFont="1" applyBorder="1" applyAlignment="1">
      <alignment horizontal="center" vertical="center" wrapText="1"/>
    </xf>
    <xf numFmtId="0" fontId="59" fillId="44" borderId="53" xfId="144" applyFont="1" applyFill="1" applyBorder="1" applyAlignment="1">
      <alignment horizontal="center" vertical="center" wrapText="1"/>
    </xf>
    <xf numFmtId="3" fontId="59" fillId="44" borderId="54" xfId="144" applyNumberFormat="1" applyFont="1" applyFill="1" applyBorder="1" applyAlignment="1">
      <alignment horizontal="center" vertical="center" wrapText="1"/>
    </xf>
    <xf numFmtId="0" fontId="59" fillId="44" borderId="55" xfId="144" applyFont="1" applyFill="1" applyBorder="1" applyAlignment="1">
      <alignment horizontal="center" vertical="center" wrapText="1"/>
    </xf>
    <xf numFmtId="0" fontId="59" fillId="44" borderId="56" xfId="144" applyFont="1" applyFill="1" applyBorder="1" applyAlignment="1">
      <alignment horizontal="center" vertical="center" wrapText="1"/>
    </xf>
    <xf numFmtId="0" fontId="59" fillId="44" borderId="48" xfId="144" applyFont="1" applyFill="1" applyBorder="1" applyAlignment="1">
      <alignment horizontal="center" vertical="center" wrapText="1"/>
    </xf>
    <xf numFmtId="0" fontId="61" fillId="0" borderId="0" xfId="144" applyFont="1" applyAlignment="1">
      <alignment vertical="center"/>
    </xf>
    <xf numFmtId="3" fontId="17" fillId="0" borderId="0" xfId="4" applyNumberFormat="1" applyFont="1" applyProtection="1">
      <protection locked="0"/>
    </xf>
    <xf numFmtId="3" fontId="36" fillId="0" borderId="0" xfId="3" applyNumberFormat="1" applyFont="1" applyProtection="1">
      <protection locked="0"/>
    </xf>
    <xf numFmtId="6" fontId="0" fillId="0" borderId="0" xfId="0" applyNumberFormat="1"/>
    <xf numFmtId="6" fontId="36" fillId="0" borderId="0" xfId="3" applyNumberFormat="1" applyFont="1" applyProtection="1">
      <protection locked="0"/>
    </xf>
    <xf numFmtId="3" fontId="0" fillId="0" borderId="0" xfId="0" applyNumberFormat="1"/>
    <xf numFmtId="0" fontId="41" fillId="0" borderId="0" xfId="0" applyFont="1"/>
    <xf numFmtId="6" fontId="41" fillId="0" borderId="0" xfId="0" applyNumberFormat="1" applyFont="1"/>
    <xf numFmtId="6" fontId="16" fillId="0" borderId="22" xfId="0" applyNumberFormat="1" applyFont="1" applyBorder="1" applyAlignment="1">
      <alignment horizontal="center" vertical="center" wrapText="1"/>
    </xf>
    <xf numFmtId="6" fontId="16" fillId="0" borderId="0" xfId="0" applyNumberFormat="1" applyFont="1" applyBorder="1" applyAlignment="1">
      <alignment wrapText="1"/>
    </xf>
    <xf numFmtId="6" fontId="16" fillId="0" borderId="29" xfId="0" applyNumberFormat="1" applyFont="1" applyBorder="1" applyAlignment="1">
      <alignment horizontal="center" vertical="center" wrapText="1"/>
    </xf>
    <xf numFmtId="43" fontId="5" fillId="0" borderId="0" xfId="134" applyFont="1" applyProtection="1">
      <protection locked="0"/>
    </xf>
    <xf numFmtId="4" fontId="59" fillId="44" borderId="57" xfId="144" applyNumberFormat="1" applyFont="1" applyFill="1" applyBorder="1" applyAlignment="1">
      <alignment horizontal="center" vertical="center" wrapText="1"/>
    </xf>
    <xf numFmtId="0" fontId="52" fillId="38" borderId="28" xfId="116" applyFont="1" applyFill="1" applyBorder="1" applyAlignment="1">
      <alignment horizontal="center" vertical="center" wrapText="1"/>
    </xf>
    <xf numFmtId="0" fontId="52" fillId="38" borderId="30" xfId="116" applyFont="1" applyFill="1" applyBorder="1" applyAlignment="1">
      <alignment horizontal="center" vertical="center" wrapText="1"/>
    </xf>
    <xf numFmtId="0" fontId="15" fillId="34" borderId="28" xfId="0" applyFont="1" applyFill="1" applyBorder="1" applyAlignment="1" applyProtection="1">
      <alignment horizontal="left" vertical="top" wrapText="1"/>
      <protection locked="0"/>
    </xf>
    <xf numFmtId="3" fontId="15" fillId="34" borderId="29" xfId="0" applyNumberFormat="1" applyFont="1" applyFill="1" applyBorder="1" applyAlignment="1">
      <alignment horizontal="right" vertical="top"/>
    </xf>
    <xf numFmtId="0" fontId="36" fillId="34" borderId="29" xfId="0" applyFont="1" applyFill="1" applyBorder="1" applyAlignment="1">
      <alignment horizontal="left" vertical="top"/>
    </xf>
    <xf numFmtId="0" fontId="36" fillId="34" borderId="30" xfId="0" applyFont="1" applyFill="1" applyBorder="1" applyAlignment="1">
      <alignment horizontal="left" vertical="top"/>
    </xf>
    <xf numFmtId="0" fontId="36" fillId="30" borderId="26" xfId="0" applyFont="1" applyFill="1" applyBorder="1" applyAlignment="1" applyProtection="1">
      <alignment horizontal="left" vertical="center" wrapText="1"/>
      <protection locked="0"/>
    </xf>
    <xf numFmtId="43" fontId="4" fillId="0" borderId="0" xfId="134" applyFont="1" applyProtection="1">
      <protection locked="0"/>
    </xf>
    <xf numFmtId="0" fontId="4" fillId="0" borderId="0" xfId="4" applyFont="1" applyProtection="1">
      <protection locked="0"/>
    </xf>
    <xf numFmtId="4" fontId="4" fillId="0" borderId="0" xfId="4" applyNumberFormat="1" applyFont="1" applyProtection="1">
      <protection locked="0"/>
    </xf>
    <xf numFmtId="3" fontId="4" fillId="0" borderId="0" xfId="4" applyNumberFormat="1" applyFont="1" applyProtection="1">
      <protection locked="0"/>
    </xf>
    <xf numFmtId="3" fontId="4" fillId="0" borderId="0" xfId="4" applyNumberFormat="1" applyFont="1" applyFill="1" applyProtection="1">
      <protection locked="0"/>
    </xf>
    <xf numFmtId="0" fontId="4" fillId="0" borderId="35" xfId="0" applyFont="1" applyFill="1" applyBorder="1" applyAlignment="1">
      <alignment vertical="top" wrapText="1"/>
    </xf>
    <xf numFmtId="0" fontId="4" fillId="0" borderId="37" xfId="0" applyFont="1" applyFill="1" applyBorder="1" applyAlignment="1">
      <alignment vertical="top" wrapText="1"/>
    </xf>
    <xf numFmtId="0" fontId="16" fillId="0" borderId="58" xfId="0" applyFont="1" applyFill="1" applyBorder="1" applyAlignment="1">
      <alignment horizontal="center" vertical="center" wrapText="1"/>
    </xf>
    <xf numFmtId="0" fontId="16" fillId="0" borderId="59" xfId="0" applyFont="1" applyFill="1" applyBorder="1" applyAlignment="1">
      <alignment horizontal="center" vertical="center" wrapText="1"/>
    </xf>
    <xf numFmtId="6" fontId="44" fillId="0" borderId="59" xfId="0" applyNumberFormat="1" applyFont="1" applyFill="1" applyBorder="1" applyAlignment="1">
      <alignment horizontal="right" vertical="center" wrapText="1"/>
    </xf>
    <xf numFmtId="6" fontId="44" fillId="0" borderId="59" xfId="0" applyNumberFormat="1" applyFont="1" applyFill="1" applyBorder="1" applyAlignment="1">
      <alignment horizontal="center" vertical="center" wrapText="1"/>
    </xf>
    <xf numFmtId="0" fontId="4" fillId="0" borderId="60" xfId="0" applyFont="1" applyFill="1" applyBorder="1" applyAlignment="1">
      <alignment vertical="top" wrapText="1"/>
    </xf>
    <xf numFmtId="0" fontId="44" fillId="0" borderId="61" xfId="0" applyFont="1" applyFill="1" applyBorder="1" applyAlignment="1">
      <alignment horizontal="left" vertical="center" wrapText="1"/>
    </xf>
    <xf numFmtId="0" fontId="44" fillId="0" borderId="59" xfId="0" applyFont="1" applyFill="1" applyBorder="1" applyAlignment="1">
      <alignment horizontal="left" vertical="center" wrapText="1"/>
    </xf>
    <xf numFmtId="43" fontId="44" fillId="0" borderId="61" xfId="0" applyNumberFormat="1" applyFont="1" applyFill="1" applyBorder="1" applyAlignment="1">
      <alignment horizontal="left" vertical="center" wrapText="1"/>
    </xf>
    <xf numFmtId="3" fontId="4" fillId="0" borderId="35" xfId="0" applyNumberFormat="1" applyFont="1" applyFill="1" applyBorder="1" applyAlignment="1">
      <alignment vertical="top" wrapText="1"/>
    </xf>
    <xf numFmtId="0" fontId="52" fillId="38" borderId="62" xfId="116" applyFont="1" applyFill="1" applyBorder="1" applyAlignment="1">
      <alignment horizontal="center" vertical="center" wrapText="1"/>
    </xf>
    <xf numFmtId="0" fontId="52" fillId="38" borderId="61" xfId="116" applyFont="1" applyFill="1" applyBorder="1" applyAlignment="1">
      <alignment horizontal="center" vertical="center" wrapText="1"/>
    </xf>
    <xf numFmtId="0" fontId="52" fillId="38" borderId="63" xfId="116" applyFont="1" applyFill="1" applyBorder="1" applyAlignment="1">
      <alignment horizontal="center" vertical="center" wrapText="1"/>
    </xf>
    <xf numFmtId="0" fontId="53" fillId="0" borderId="60" xfId="116" applyFont="1" applyFill="1" applyBorder="1" applyAlignment="1">
      <alignment horizontal="left" vertical="center" wrapText="1"/>
    </xf>
    <xf numFmtId="167" fontId="54" fillId="0" borderId="59" xfId="2" applyNumberFormat="1" applyFont="1" applyFill="1" applyBorder="1" applyAlignment="1">
      <alignment horizontal="center" vertical="center" wrapText="1"/>
    </xf>
    <xf numFmtId="0" fontId="53" fillId="0" borderId="60" xfId="2" applyFont="1" applyFill="1" applyBorder="1" applyAlignment="1">
      <alignment horizontal="left" vertical="center" wrapText="1"/>
    </xf>
    <xf numFmtId="0" fontId="54" fillId="0" borderId="62" xfId="116" applyFont="1" applyBorder="1" applyAlignment="1" applyProtection="1"/>
    <xf numFmtId="168" fontId="54" fillId="0" borderId="61" xfId="2" applyNumberFormat="1" applyFont="1" applyFill="1" applyBorder="1" applyAlignment="1">
      <alignment horizontal="right" vertical="center" wrapText="1"/>
    </xf>
    <xf numFmtId="0" fontId="54" fillId="0" borderId="62" xfId="2" applyFont="1" applyBorder="1" applyAlignment="1" applyProtection="1"/>
    <xf numFmtId="0" fontId="52" fillId="38" borderId="60" xfId="2" applyFont="1" applyFill="1" applyBorder="1" applyAlignment="1">
      <alignment horizontal="center" vertical="center" wrapText="1"/>
    </xf>
    <xf numFmtId="169" fontId="52" fillId="38" borderId="59" xfId="2" applyNumberFormat="1" applyFont="1" applyFill="1" applyBorder="1" applyAlignment="1">
      <alignment horizontal="right" vertical="center" wrapText="1"/>
    </xf>
    <xf numFmtId="169" fontId="52" fillId="38" borderId="64" xfId="2" applyNumberFormat="1" applyFont="1" applyFill="1" applyBorder="1" applyAlignment="1">
      <alignment horizontal="right" vertical="center" wrapText="1"/>
    </xf>
    <xf numFmtId="0" fontId="54" fillId="0" borderId="61" xfId="2" applyFont="1" applyBorder="1" applyAlignment="1" applyProtection="1">
      <alignment wrapText="1"/>
    </xf>
    <xf numFmtId="0" fontId="54" fillId="0" borderId="61" xfId="2" applyFont="1" applyBorder="1" applyAlignment="1" applyProtection="1"/>
    <xf numFmtId="0" fontId="17" fillId="30" borderId="61" xfId="0" applyFont="1" applyFill="1" applyBorder="1" applyAlignment="1">
      <alignment vertical="center"/>
    </xf>
    <xf numFmtId="0" fontId="17" fillId="30" borderId="61" xfId="0" applyFont="1" applyFill="1" applyBorder="1" applyAlignment="1">
      <alignment horizontal="center" vertical="center" wrapText="1"/>
    </xf>
    <xf numFmtId="0" fontId="4" fillId="0" borderId="0" xfId="0" applyFont="1"/>
    <xf numFmtId="3" fontId="4" fillId="0" borderId="0" xfId="0" applyNumberFormat="1" applyFont="1"/>
    <xf numFmtId="0" fontId="4" fillId="0" borderId="0" xfId="0" applyFont="1" applyAlignment="1">
      <alignment wrapText="1"/>
    </xf>
    <xf numFmtId="0" fontId="4" fillId="0" borderId="0" xfId="0" applyFont="1" applyBorder="1" applyAlignment="1">
      <alignment vertical="top" wrapText="1"/>
    </xf>
    <xf numFmtId="3" fontId="4" fillId="0" borderId="0" xfId="0" applyNumberFormat="1" applyFont="1" applyBorder="1" applyAlignment="1">
      <alignment vertical="center"/>
    </xf>
    <xf numFmtId="0" fontId="4" fillId="0" borderId="0" xfId="0" applyFont="1" applyBorder="1"/>
    <xf numFmtId="3" fontId="4" fillId="0" borderId="0" xfId="0" applyNumberFormat="1" applyFont="1" applyFill="1" applyBorder="1" applyAlignment="1">
      <alignment vertical="center"/>
    </xf>
    <xf numFmtId="0" fontId="4" fillId="0" borderId="0" xfId="0" applyFont="1" applyFill="1" applyBorder="1" applyAlignment="1">
      <alignment vertical="top" wrapText="1"/>
    </xf>
    <xf numFmtId="164" fontId="37" fillId="3" borderId="61" xfId="138" applyNumberFormat="1" applyFont="1" applyFill="1" applyBorder="1" applyAlignment="1">
      <alignment horizontal="center" vertical="center" wrapText="1"/>
    </xf>
    <xf numFmtId="164" fontId="40" fillId="3" borderId="61" xfId="138" applyNumberFormat="1" applyFont="1" applyFill="1" applyBorder="1" applyAlignment="1">
      <alignment horizontal="center" vertical="center" wrapText="1"/>
    </xf>
    <xf numFmtId="164" fontId="37" fillId="36" borderId="61" xfId="138" applyNumberFormat="1" applyFont="1" applyFill="1" applyBorder="1" applyAlignment="1">
      <alignment horizontal="center" vertical="center" wrapText="1"/>
    </xf>
    <xf numFmtId="164" fontId="40" fillId="36" borderId="61" xfId="138" applyNumberFormat="1" applyFont="1" applyFill="1" applyBorder="1" applyAlignment="1">
      <alignment horizontal="center" vertical="center" wrapText="1"/>
    </xf>
    <xf numFmtId="0" fontId="7" fillId="35" borderId="61" xfId="139" applyFill="1" applyBorder="1" applyAlignment="1">
      <alignment horizontal="left" wrapText="1"/>
    </xf>
    <xf numFmtId="164" fontId="0" fillId="0" borderId="61" xfId="138" applyNumberFormat="1" applyFont="1" applyBorder="1" applyAlignment="1">
      <alignment wrapText="1"/>
    </xf>
    <xf numFmtId="164" fontId="16" fillId="0" borderId="61" xfId="138" applyNumberFormat="1" applyFont="1" applyBorder="1" applyAlignment="1">
      <alignment wrapText="1"/>
    </xf>
    <xf numFmtId="0" fontId="7" fillId="35" borderId="61" xfId="139" applyFill="1" applyBorder="1" applyAlignment="1">
      <alignment wrapText="1"/>
    </xf>
    <xf numFmtId="0" fontId="4" fillId="35" borderId="61" xfId="139" applyFont="1" applyFill="1" applyBorder="1" applyAlignment="1">
      <alignment wrapText="1"/>
    </xf>
    <xf numFmtId="0" fontId="17" fillId="0" borderId="65" xfId="139" applyFont="1" applyFill="1" applyBorder="1" applyAlignment="1">
      <alignment horizontal="left" vertical="center" wrapText="1"/>
    </xf>
    <xf numFmtId="0" fontId="17" fillId="0" borderId="66" xfId="139" applyFont="1" applyFill="1" applyBorder="1" applyAlignment="1">
      <alignment wrapText="1"/>
    </xf>
    <xf numFmtId="164" fontId="41" fillId="0" borderId="67" xfId="138" applyNumberFormat="1" applyFont="1" applyFill="1" applyBorder="1" applyAlignment="1">
      <alignment wrapText="1"/>
    </xf>
    <xf numFmtId="0" fontId="4" fillId="0" borderId="61" xfId="139" applyFont="1" applyBorder="1" applyAlignment="1">
      <alignment horizontal="left" vertical="center" wrapText="1"/>
    </xf>
    <xf numFmtId="0" fontId="7" fillId="37" borderId="61" xfId="139" applyFill="1" applyBorder="1" applyAlignment="1">
      <alignment wrapText="1"/>
    </xf>
    <xf numFmtId="0" fontId="7" fillId="34" borderId="61" xfId="139" applyFill="1" applyBorder="1" applyAlignment="1">
      <alignment horizontal="left" vertical="center" wrapText="1"/>
    </xf>
    <xf numFmtId="0" fontId="7" fillId="34" borderId="61" xfId="139" applyFill="1" applyBorder="1" applyAlignment="1">
      <alignment wrapText="1"/>
    </xf>
    <xf numFmtId="164" fontId="0" fillId="34" borderId="61" xfId="138" applyNumberFormat="1" applyFont="1" applyFill="1" applyBorder="1" applyAlignment="1">
      <alignment wrapText="1"/>
    </xf>
    <xf numFmtId="164" fontId="16" fillId="34" borderId="61" xfId="138" applyNumberFormat="1" applyFont="1" applyFill="1" applyBorder="1" applyAlignment="1">
      <alignment wrapText="1"/>
    </xf>
    <xf numFmtId="0" fontId="7" fillId="0" borderId="61" xfId="139" applyBorder="1" applyAlignment="1">
      <alignment horizontal="left" vertical="center" wrapText="1"/>
    </xf>
    <xf numFmtId="0" fontId="17" fillId="0" borderId="68" xfId="139" applyFont="1" applyFill="1" applyBorder="1" applyAlignment="1">
      <alignment wrapText="1"/>
    </xf>
    <xf numFmtId="0" fontId="15" fillId="31" borderId="61" xfId="3" applyFont="1" applyFill="1" applyBorder="1" applyAlignment="1" applyProtection="1">
      <alignment horizontal="left" vertical="center" wrapText="1"/>
      <protection locked="0"/>
    </xf>
    <xf numFmtId="3" fontId="15" fillId="31" borderId="61" xfId="3" applyNumberFormat="1" applyFont="1" applyFill="1" applyBorder="1" applyAlignment="1" applyProtection="1">
      <alignment horizontal="center"/>
      <protection locked="0"/>
    </xf>
    <xf numFmtId="0" fontId="36" fillId="0" borderId="61" xfId="3" applyFont="1" applyBorder="1" applyProtection="1">
      <protection locked="0"/>
    </xf>
    <xf numFmtId="3" fontId="15" fillId="2" borderId="61" xfId="0" applyNumberFormat="1" applyFont="1" applyFill="1" applyBorder="1" applyAlignment="1" applyProtection="1">
      <alignment horizontal="center" wrapText="1"/>
      <protection locked="0"/>
    </xf>
    <xf numFmtId="0" fontId="15" fillId="2" borderId="61" xfId="3" applyFont="1" applyFill="1" applyBorder="1" applyAlignment="1" applyProtection="1">
      <alignment horizontal="center" vertical="center"/>
      <protection locked="0"/>
    </xf>
    <xf numFmtId="0" fontId="36" fillId="2" borderId="61" xfId="0" applyFont="1" applyFill="1" applyBorder="1" applyAlignment="1" applyProtection="1">
      <alignment horizontal="center" vertical="center"/>
      <protection locked="0"/>
    </xf>
    <xf numFmtId="0" fontId="15" fillId="3" borderId="61" xfId="3" applyFont="1" applyFill="1" applyBorder="1" applyAlignment="1" applyProtection="1">
      <alignment horizontal="center" vertical="center"/>
      <protection locked="0"/>
    </xf>
    <xf numFmtId="0" fontId="15" fillId="3" borderId="61" xfId="3" applyFont="1" applyFill="1" applyBorder="1" applyAlignment="1" applyProtection="1">
      <alignment horizontal="center" vertical="center" wrapText="1"/>
      <protection locked="0"/>
    </xf>
    <xf numFmtId="0" fontId="15" fillId="31" borderId="61" xfId="3" applyFont="1" applyFill="1" applyBorder="1" applyAlignment="1" applyProtection="1">
      <alignment horizontal="left"/>
      <protection locked="0"/>
    </xf>
    <xf numFmtId="3" fontId="36" fillId="0" borderId="61" xfId="3" applyNumberFormat="1" applyFont="1" applyBorder="1" applyProtection="1">
      <protection locked="0"/>
    </xf>
    <xf numFmtId="0" fontId="36" fillId="30" borderId="61" xfId="0" applyFont="1" applyFill="1" applyBorder="1" applyAlignment="1" applyProtection="1">
      <alignment horizontal="left" vertical="center" wrapText="1"/>
      <protection locked="0"/>
    </xf>
    <xf numFmtId="3" fontId="36" fillId="30" borderId="61" xfId="0" applyNumberFormat="1" applyFont="1" applyFill="1" applyBorder="1" applyAlignment="1" applyProtection="1">
      <alignment horizontal="right" vertical="center" wrapText="1"/>
      <protection locked="0"/>
    </xf>
    <xf numFmtId="3" fontId="36" fillId="30" borderId="61" xfId="3" applyNumberFormat="1" applyFont="1" applyFill="1" applyBorder="1" applyAlignment="1" applyProtection="1">
      <alignment horizontal="right" vertical="center" wrapText="1"/>
    </xf>
    <xf numFmtId="0" fontId="36" fillId="0" borderId="61" xfId="3" applyFont="1" applyFill="1" applyBorder="1" applyAlignment="1" applyProtection="1">
      <alignment horizontal="left" vertical="center" wrapText="1"/>
      <protection locked="0"/>
    </xf>
    <xf numFmtId="3" fontId="36" fillId="0" borderId="61" xfId="0" applyNumberFormat="1" applyFont="1" applyFill="1" applyBorder="1" applyAlignment="1" applyProtection="1">
      <alignment horizontal="right" vertical="center" wrapText="1"/>
      <protection locked="0"/>
    </xf>
    <xf numFmtId="3" fontId="36" fillId="0" borderId="61" xfId="3" applyNumberFormat="1" applyFont="1" applyFill="1" applyBorder="1" applyAlignment="1" applyProtection="1">
      <alignment horizontal="right" vertical="center" wrapText="1"/>
    </xf>
    <xf numFmtId="166" fontId="36" fillId="0" borderId="61" xfId="142" applyNumberFormat="1" applyFont="1" applyFill="1" applyBorder="1" applyAlignment="1" applyProtection="1">
      <alignment horizontal="left" vertical="center" wrapText="1"/>
      <protection locked="0"/>
    </xf>
    <xf numFmtId="0" fontId="36" fillId="30" borderId="61" xfId="3" applyFont="1" applyFill="1" applyBorder="1" applyAlignment="1" applyProtection="1">
      <alignment horizontal="left" vertical="center" wrapText="1"/>
      <protection locked="0"/>
    </xf>
    <xf numFmtId="3" fontId="4" fillId="0" borderId="61" xfId="0" applyNumberFormat="1" applyFont="1" applyFill="1" applyBorder="1" applyAlignment="1" applyProtection="1">
      <alignment horizontal="right" vertical="center" wrapText="1"/>
      <protection locked="0"/>
    </xf>
    <xf numFmtId="3" fontId="4" fillId="0" borderId="61" xfId="3" applyNumberFormat="1" applyFont="1" applyFill="1" applyBorder="1" applyAlignment="1" applyProtection="1">
      <alignment horizontal="right" vertical="center" wrapText="1"/>
    </xf>
    <xf numFmtId="165" fontId="36" fillId="30" borderId="61" xfId="0" applyNumberFormat="1" applyFont="1" applyFill="1" applyBorder="1" applyAlignment="1" applyProtection="1">
      <alignment horizontal="left" vertical="center" wrapText="1"/>
      <protection locked="0"/>
    </xf>
    <xf numFmtId="0" fontId="38" fillId="0" borderId="61" xfId="0" applyFont="1" applyFill="1" applyBorder="1" applyAlignment="1" applyProtection="1">
      <alignment horizontal="left" vertical="center" wrapText="1"/>
      <protection locked="0"/>
    </xf>
    <xf numFmtId="3" fontId="38" fillId="0" borderId="61" xfId="0" applyNumberFormat="1" applyFont="1" applyFill="1" applyBorder="1" applyAlignment="1" applyProtection="1">
      <alignment horizontal="right" vertical="center" wrapText="1"/>
      <protection locked="0"/>
    </xf>
    <xf numFmtId="0" fontId="36" fillId="0" borderId="61" xfId="0" applyFont="1" applyBorder="1" applyAlignment="1">
      <alignment vertical="center" wrapText="1"/>
    </xf>
    <xf numFmtId="0" fontId="36" fillId="0" borderId="61" xfId="0" applyFont="1" applyFill="1" applyBorder="1" applyAlignment="1" applyProtection="1">
      <alignment horizontal="left" vertical="center" wrapText="1"/>
      <protection locked="0"/>
    </xf>
    <xf numFmtId="0" fontId="4" fillId="30" borderId="61" xfId="0" applyFont="1" applyFill="1" applyBorder="1" applyAlignment="1" applyProtection="1">
      <alignment horizontal="left" vertical="center" wrapText="1"/>
      <protection locked="0"/>
    </xf>
    <xf numFmtId="3" fontId="4" fillId="30" borderId="61" xfId="0" applyNumberFormat="1" applyFont="1" applyFill="1" applyBorder="1" applyAlignment="1" applyProtection="1">
      <alignment horizontal="right" vertical="center" wrapText="1"/>
      <protection locked="0"/>
    </xf>
    <xf numFmtId="3" fontId="4" fillId="30" borderId="61" xfId="3" applyNumberFormat="1" applyFont="1" applyFill="1" applyBorder="1" applyAlignment="1" applyProtection="1">
      <alignment horizontal="right" vertical="center" wrapText="1"/>
    </xf>
    <xf numFmtId="43" fontId="36" fillId="0" borderId="61" xfId="134" applyFont="1" applyFill="1" applyBorder="1" applyAlignment="1" applyProtection="1">
      <alignment horizontal="left" vertical="center" wrapText="1"/>
      <protection locked="0"/>
    </xf>
    <xf numFmtId="43" fontId="36" fillId="0" borderId="61" xfId="0" applyNumberFormat="1" applyFont="1" applyFill="1" applyBorder="1" applyAlignment="1" applyProtection="1">
      <alignment horizontal="left" vertical="center" wrapText="1"/>
      <protection locked="0"/>
    </xf>
    <xf numFmtId="0" fontId="38" fillId="0" borderId="61" xfId="3" applyFont="1" applyFill="1" applyBorder="1" applyAlignment="1" applyProtection="1">
      <alignment horizontal="left" vertical="center" wrapText="1"/>
      <protection locked="0"/>
    </xf>
    <xf numFmtId="3" fontId="38" fillId="0" borderId="61" xfId="3" applyNumberFormat="1" applyFont="1" applyFill="1" applyBorder="1" applyAlignment="1" applyProtection="1">
      <alignment horizontal="right" vertical="center" wrapText="1"/>
    </xf>
    <xf numFmtId="4" fontId="4" fillId="0" borderId="61" xfId="0" applyNumberFormat="1" applyFont="1" applyFill="1" applyBorder="1" applyAlignment="1" applyProtection="1">
      <alignment horizontal="right" vertical="center" wrapText="1"/>
      <protection locked="0"/>
    </xf>
    <xf numFmtId="0" fontId="38" fillId="30" borderId="61" xfId="0" applyFont="1" applyFill="1" applyBorder="1" applyAlignment="1" applyProtection="1">
      <alignment horizontal="left" vertical="center" wrapText="1"/>
      <protection locked="0"/>
    </xf>
    <xf numFmtId="3" fontId="38" fillId="30" borderId="61" xfId="0" applyNumberFormat="1" applyFont="1" applyFill="1" applyBorder="1" applyAlignment="1" applyProtection="1">
      <alignment horizontal="right" vertical="center" wrapText="1"/>
      <protection locked="0"/>
    </xf>
    <xf numFmtId="3" fontId="38" fillId="30" borderId="61" xfId="3" applyNumberFormat="1" applyFont="1" applyFill="1" applyBorder="1" applyAlignment="1" applyProtection="1">
      <alignment horizontal="right" vertical="center" wrapText="1"/>
    </xf>
    <xf numFmtId="0" fontId="36" fillId="0" borderId="61" xfId="0" applyFont="1" applyBorder="1" applyAlignment="1">
      <alignment wrapText="1"/>
    </xf>
    <xf numFmtId="0" fontId="17" fillId="4" borderId="61" xfId="139" applyFont="1" applyFill="1" applyBorder="1" applyAlignment="1">
      <alignment horizontal="left" vertical="center" wrapText="1"/>
    </xf>
    <xf numFmtId="3" fontId="15" fillId="0" borderId="61" xfId="0" applyNumberFormat="1" applyFont="1" applyBorder="1" applyAlignment="1" applyProtection="1">
      <alignment vertical="center" wrapText="1"/>
    </xf>
    <xf numFmtId="3" fontId="36" fillId="0" borderId="61" xfId="0" applyNumberFormat="1" applyFont="1" applyFill="1" applyBorder="1" applyAlignment="1" applyProtection="1">
      <alignment horizontal="left" vertical="center" wrapText="1"/>
      <protection locked="0"/>
    </xf>
    <xf numFmtId="3" fontId="36" fillId="30" borderId="61" xfId="140" applyNumberFormat="1" applyFont="1" applyFill="1" applyBorder="1" applyAlignment="1" applyProtection="1">
      <alignment horizontal="right" vertical="center" wrapText="1"/>
    </xf>
    <xf numFmtId="0" fontId="36" fillId="0" borderId="61" xfId="140" applyFont="1" applyFill="1" applyBorder="1" applyAlignment="1" applyProtection="1">
      <alignment horizontal="left" vertical="center" wrapText="1"/>
      <protection locked="0"/>
    </xf>
    <xf numFmtId="3" fontId="36" fillId="0" borderId="61" xfId="140" applyNumberFormat="1" applyFont="1" applyFill="1" applyBorder="1" applyAlignment="1" applyProtection="1">
      <alignment horizontal="right" vertical="center" wrapText="1"/>
    </xf>
    <xf numFmtId="3" fontId="36" fillId="30" borderId="61" xfId="0" applyNumberFormat="1" applyFont="1" applyFill="1" applyBorder="1" applyAlignment="1" applyProtection="1">
      <alignment vertical="center" wrapText="1"/>
      <protection locked="0"/>
    </xf>
    <xf numFmtId="3" fontId="36" fillId="30" borderId="61" xfId="3" applyNumberFormat="1" applyFont="1" applyFill="1" applyBorder="1" applyAlignment="1" applyProtection="1">
      <alignment vertical="center" wrapText="1"/>
    </xf>
    <xf numFmtId="0" fontId="36" fillId="30" borderId="61" xfId="0" applyFont="1" applyFill="1" applyBorder="1" applyAlignment="1" applyProtection="1">
      <alignment vertical="center" wrapText="1"/>
      <protection locked="0"/>
    </xf>
    <xf numFmtId="0" fontId="15" fillId="2" borderId="61" xfId="3" applyFont="1" applyFill="1" applyBorder="1" applyAlignment="1" applyProtection="1">
      <alignment horizontal="left" wrapText="1"/>
      <protection locked="0"/>
    </xf>
    <xf numFmtId="3" fontId="15" fillId="2" borderId="61" xfId="3" applyNumberFormat="1" applyFont="1" applyFill="1" applyBorder="1" applyAlignment="1" applyProtection="1">
      <alignment horizontal="center" vertical="center"/>
      <protection locked="0"/>
    </xf>
    <xf numFmtId="0" fontId="15" fillId="0" borderId="61" xfId="3" applyFont="1" applyFill="1" applyBorder="1" applyAlignment="1" applyProtection="1">
      <alignment horizontal="left" vertical="center" wrapText="1"/>
      <protection locked="0"/>
    </xf>
    <xf numFmtId="3" fontId="15" fillId="0" borderId="61" xfId="3" applyNumberFormat="1" applyFont="1" applyFill="1" applyBorder="1" applyAlignment="1" applyProtection="1">
      <alignment horizontal="right" vertical="center" wrapText="1"/>
      <protection locked="0"/>
    </xf>
    <xf numFmtId="3" fontId="15" fillId="0" borderId="61" xfId="3" applyNumberFormat="1" applyFont="1" applyFill="1" applyBorder="1" applyAlignment="1" applyProtection="1">
      <alignment horizontal="right" wrapText="1"/>
      <protection locked="0"/>
    </xf>
    <xf numFmtId="0" fontId="15" fillId="33" borderId="61" xfId="0" applyFont="1" applyFill="1" applyBorder="1" applyAlignment="1" applyProtection="1">
      <alignment horizontal="left" vertical="center" wrapText="1"/>
      <protection locked="0"/>
    </xf>
    <xf numFmtId="3" fontId="15" fillId="33" borderId="61" xfId="0" applyNumberFormat="1" applyFont="1" applyFill="1" applyBorder="1" applyAlignment="1" applyProtection="1">
      <alignment horizontal="right" vertical="center" wrapText="1"/>
      <protection locked="0"/>
    </xf>
    <xf numFmtId="3" fontId="15" fillId="33" borderId="61" xfId="3" applyNumberFormat="1" applyFont="1" applyFill="1" applyBorder="1" applyAlignment="1" applyProtection="1">
      <alignment horizontal="right" vertical="center" wrapText="1"/>
    </xf>
    <xf numFmtId="0" fontId="15" fillId="33" borderId="61" xfId="3" applyFont="1" applyFill="1" applyBorder="1" applyAlignment="1" applyProtection="1">
      <alignment horizontal="left" vertical="center" wrapText="1"/>
      <protection locked="0"/>
    </xf>
    <xf numFmtId="0" fontId="15" fillId="2" borderId="61" xfId="3" applyFont="1" applyFill="1" applyBorder="1" applyAlignment="1" applyProtection="1">
      <alignment horizontal="left"/>
      <protection locked="0"/>
    </xf>
    <xf numFmtId="4" fontId="17" fillId="28" borderId="61" xfId="4" applyNumberFormat="1" applyFont="1" applyFill="1" applyBorder="1" applyAlignment="1" applyProtection="1">
      <alignment horizontal="center"/>
    </xf>
    <xf numFmtId="3" fontId="4" fillId="28" borderId="61" xfId="4" applyNumberFormat="1" applyFont="1" applyFill="1" applyBorder="1" applyAlignment="1" applyProtection="1">
      <alignment horizontal="center"/>
      <protection locked="0"/>
    </xf>
    <xf numFmtId="3" fontId="17" fillId="28" borderId="61" xfId="4" applyNumberFormat="1" applyFont="1" applyFill="1" applyBorder="1" applyAlignment="1" applyProtection="1">
      <alignment horizontal="center"/>
      <protection locked="0"/>
    </xf>
    <xf numFmtId="4" fontId="4" fillId="28" borderId="61" xfId="4" applyNumberFormat="1" applyFont="1" applyFill="1" applyBorder="1" applyAlignment="1" applyProtection="1">
      <alignment horizontal="center"/>
      <protection locked="0"/>
    </xf>
    <xf numFmtId="0" fontId="4" fillId="0" borderId="69" xfId="4" applyFont="1" applyBorder="1" applyAlignment="1" applyProtection="1">
      <alignment horizontal="left" vertical="center" wrapText="1"/>
    </xf>
    <xf numFmtId="3" fontId="4" fillId="0" borderId="61" xfId="4" applyNumberFormat="1" applyFont="1" applyBorder="1" applyProtection="1"/>
    <xf numFmtId="3" fontId="17" fillId="0" borderId="61" xfId="4" applyNumberFormat="1" applyFont="1" applyBorder="1" applyProtection="1"/>
    <xf numFmtId="0" fontId="39" fillId="0" borderId="69" xfId="4" applyFont="1" applyBorder="1" applyAlignment="1" applyProtection="1">
      <alignment horizontal="left" vertical="center" wrapText="1"/>
    </xf>
    <xf numFmtId="3" fontId="4" fillId="28" borderId="61" xfId="4" applyNumberFormat="1" applyFont="1" applyFill="1" applyBorder="1" applyAlignment="1" applyProtection="1">
      <alignment horizontal="center" vertical="top" wrapText="1"/>
      <protection locked="0"/>
    </xf>
    <xf numFmtId="0" fontId="17" fillId="32" borderId="61" xfId="4" applyFont="1" applyFill="1" applyBorder="1" applyAlignment="1" applyProtection="1">
      <alignment vertical="top" wrapText="1"/>
    </xf>
    <xf numFmtId="3" fontId="17" fillId="32" borderId="61" xfId="4" applyNumberFormat="1" applyFont="1" applyFill="1" applyBorder="1" applyProtection="1"/>
    <xf numFmtId="3" fontId="4" fillId="32" borderId="61" xfId="4" applyNumberFormat="1" applyFont="1" applyFill="1" applyBorder="1" applyAlignment="1" applyProtection="1">
      <alignment horizontal="center"/>
      <protection locked="0"/>
    </xf>
    <xf numFmtId="3" fontId="4" fillId="32" borderId="61" xfId="4" applyNumberFormat="1" applyFont="1" applyFill="1" applyBorder="1" applyAlignment="1" applyProtection="1">
      <alignment horizontal="center" vertical="top" wrapText="1"/>
      <protection locked="0"/>
    </xf>
    <xf numFmtId="0" fontId="43" fillId="38" borderId="61" xfId="2" applyFont="1" applyFill="1" applyBorder="1" applyAlignment="1">
      <alignment horizontal="center" vertical="center" wrapText="1"/>
    </xf>
    <xf numFmtId="0" fontId="16" fillId="0" borderId="61" xfId="0" applyFont="1" applyFill="1" applyBorder="1" applyAlignment="1">
      <alignment horizontal="center" vertical="center" wrapText="1"/>
    </xf>
    <xf numFmtId="6" fontId="44" fillId="0" borderId="61" xfId="0" applyNumberFormat="1" applyFont="1" applyFill="1" applyBorder="1" applyAlignment="1">
      <alignment horizontal="right" vertical="center" wrapText="1"/>
    </xf>
    <xf numFmtId="0" fontId="4" fillId="0" borderId="62" xfId="0" applyFont="1" applyFill="1" applyBorder="1" applyAlignment="1">
      <alignment vertical="top" wrapText="1"/>
    </xf>
    <xf numFmtId="0" fontId="16" fillId="0" borderId="26" xfId="0" applyFont="1" applyFill="1" applyBorder="1" applyAlignment="1">
      <alignment horizontal="center" vertical="center" wrapText="1"/>
    </xf>
    <xf numFmtId="6" fontId="44" fillId="0" borderId="26" xfId="0" applyNumberFormat="1" applyFont="1" applyFill="1" applyBorder="1" applyAlignment="1">
      <alignment horizontal="right" vertical="center" wrapText="1"/>
    </xf>
    <xf numFmtId="43" fontId="44" fillId="0" borderId="26" xfId="0" applyNumberFormat="1" applyFont="1" applyFill="1" applyBorder="1" applyAlignment="1">
      <alignment horizontal="left" vertical="center" wrapText="1"/>
    </xf>
    <xf numFmtId="0" fontId="46" fillId="39" borderId="61" xfId="0" applyFont="1" applyFill="1" applyBorder="1" applyAlignment="1">
      <alignment horizontal="center" vertical="center" wrapText="1"/>
    </xf>
    <xf numFmtId="0" fontId="44" fillId="39" borderId="61" xfId="0" applyFont="1" applyFill="1" applyBorder="1" applyAlignment="1">
      <alignment horizontal="left" vertical="center" wrapText="1"/>
    </xf>
    <xf numFmtId="0" fontId="16" fillId="0" borderId="61" xfId="0" applyFont="1" applyBorder="1" applyAlignment="1">
      <alignment horizontal="center" vertical="center" wrapText="1"/>
    </xf>
    <xf numFmtId="6" fontId="44" fillId="39" borderId="61" xfId="0" applyNumberFormat="1" applyFont="1" applyFill="1" applyBorder="1" applyAlignment="1">
      <alignment horizontal="right" vertical="center" wrapText="1"/>
    </xf>
    <xf numFmtId="6" fontId="44" fillId="39" borderId="61" xfId="0" applyNumberFormat="1" applyFont="1" applyFill="1" applyBorder="1" applyAlignment="1">
      <alignment horizontal="center" vertical="center" wrapText="1"/>
    </xf>
    <xf numFmtId="43" fontId="44" fillId="39" borderId="61" xfId="0" applyNumberFormat="1" applyFont="1" applyFill="1" applyBorder="1" applyAlignment="1">
      <alignment horizontal="left" vertical="center" wrapText="1"/>
    </xf>
    <xf numFmtId="3" fontId="44" fillId="39" borderId="61" xfId="0" applyNumberFormat="1" applyFont="1" applyFill="1" applyBorder="1" applyAlignment="1">
      <alignment horizontal="left" vertical="center" wrapText="1"/>
    </xf>
    <xf numFmtId="6" fontId="46" fillId="39" borderId="61" xfId="0" applyNumberFormat="1" applyFont="1" applyFill="1" applyBorder="1" applyAlignment="1">
      <alignment horizontal="center" vertical="center" wrapText="1"/>
    </xf>
    <xf numFmtId="6" fontId="0" fillId="39" borderId="61" xfId="0" applyNumberFormat="1" applyFont="1" applyFill="1" applyBorder="1" applyAlignment="1">
      <alignment horizontal="center" vertical="center" wrapText="1"/>
    </xf>
    <xf numFmtId="0" fontId="17" fillId="0" borderId="0" xfId="148" applyFont="1" applyAlignment="1"/>
    <xf numFmtId="0" fontId="17" fillId="0" borderId="0" xfId="148" applyFont="1" applyAlignment="1">
      <alignment horizontal="center"/>
    </xf>
    <xf numFmtId="0" fontId="3" fillId="0" borderId="0" xfId="148" applyFont="1"/>
    <xf numFmtId="0" fontId="15" fillId="3" borderId="61" xfId="150" applyFont="1" applyFill="1" applyBorder="1" applyAlignment="1" applyProtection="1">
      <alignment horizontal="center" vertical="center"/>
      <protection locked="0"/>
    </xf>
    <xf numFmtId="0" fontId="15" fillId="3" borderId="61" xfId="150" applyFont="1" applyFill="1" applyBorder="1" applyAlignment="1" applyProtection="1">
      <alignment horizontal="center" vertical="center" wrapText="1"/>
      <protection locked="0"/>
    </xf>
    <xf numFmtId="0" fontId="15" fillId="34" borderId="61" xfId="148" applyFont="1" applyFill="1" applyBorder="1" applyAlignment="1" applyProtection="1">
      <alignment horizontal="left" vertical="top" wrapText="1"/>
      <protection locked="0"/>
    </xf>
    <xf numFmtId="0" fontId="36" fillId="34" borderId="61" xfId="148" applyFont="1" applyFill="1" applyBorder="1" applyAlignment="1">
      <alignment horizontal="left" vertical="top"/>
    </xf>
    <xf numFmtId="43" fontId="15" fillId="34" borderId="61" xfId="148" applyNumberFormat="1" applyFont="1" applyFill="1" applyBorder="1" applyAlignment="1">
      <alignment horizontal="left" vertical="top"/>
    </xf>
    <xf numFmtId="3" fontId="15" fillId="34" borderId="61" xfId="148" applyNumberFormat="1" applyFont="1" applyFill="1" applyBorder="1" applyAlignment="1">
      <alignment horizontal="center" vertical="top"/>
    </xf>
    <xf numFmtId="0" fontId="36" fillId="0" borderId="61" xfId="148" applyFont="1" applyFill="1" applyBorder="1" applyAlignment="1" applyProtection="1">
      <alignment horizontal="left" vertical="center" wrapText="1"/>
      <protection locked="0"/>
    </xf>
    <xf numFmtId="0" fontId="3" fillId="0" borderId="61" xfId="148" applyFont="1" applyFill="1" applyBorder="1" applyAlignment="1">
      <alignment horizontal="left" vertical="center" wrapText="1"/>
    </xf>
    <xf numFmtId="43" fontId="36" fillId="0" borderId="61" xfId="149" applyFont="1" applyFill="1" applyBorder="1" applyAlignment="1">
      <alignment horizontal="left" vertical="top"/>
    </xf>
    <xf numFmtId="0" fontId="36" fillId="0" borderId="61" xfId="148" applyFont="1" applyFill="1" applyBorder="1" applyAlignment="1">
      <alignment horizontal="right" vertical="top"/>
    </xf>
    <xf numFmtId="43" fontId="36" fillId="0" borderId="61" xfId="149" applyFont="1" applyFill="1" applyBorder="1" applyAlignment="1">
      <alignment horizontal="right" vertical="top"/>
    </xf>
    <xf numFmtId="3" fontId="62" fillId="0" borderId="61" xfId="148" applyNumberFormat="1" applyFont="1" applyFill="1" applyBorder="1" applyAlignment="1">
      <alignment horizontal="center" vertical="top"/>
    </xf>
    <xf numFmtId="0" fontId="3" fillId="0" borderId="0" xfId="148" applyFont="1" applyFill="1"/>
    <xf numFmtId="3" fontId="36" fillId="0" borderId="61" xfId="148" applyNumberFormat="1" applyFont="1" applyFill="1" applyBorder="1" applyAlignment="1" applyProtection="1">
      <alignment horizontal="right" vertical="center" wrapText="1"/>
      <protection locked="0"/>
    </xf>
    <xf numFmtId="3" fontId="36" fillId="0" borderId="61" xfId="150" applyNumberFormat="1" applyFont="1" applyFill="1" applyBorder="1" applyAlignment="1" applyProtection="1">
      <alignment horizontal="right" vertical="center" wrapText="1"/>
    </xf>
    <xf numFmtId="0" fontId="62" fillId="0" borderId="61" xfId="148" applyFont="1" applyFill="1" applyBorder="1" applyAlignment="1" applyProtection="1">
      <alignment horizontal="center" vertical="center" wrapText="1"/>
      <protection locked="0"/>
    </xf>
    <xf numFmtId="0" fontId="3" fillId="0" borderId="61" xfId="148" applyFont="1" applyFill="1" applyBorder="1" applyAlignment="1">
      <alignment vertical="top" wrapText="1"/>
    </xf>
    <xf numFmtId="0" fontId="36" fillId="0" borderId="61" xfId="148" applyFont="1" applyFill="1" applyBorder="1" applyAlignment="1">
      <alignment horizontal="left" vertical="top"/>
    </xf>
    <xf numFmtId="3" fontId="36" fillId="0" borderId="61" xfId="148" applyNumberFormat="1" applyFont="1" applyFill="1" applyBorder="1" applyAlignment="1">
      <alignment horizontal="right" vertical="top"/>
    </xf>
    <xf numFmtId="0" fontId="3" fillId="0" borderId="61" xfId="148" applyFont="1" applyFill="1" applyBorder="1" applyAlignment="1">
      <alignment vertical="top"/>
    </xf>
    <xf numFmtId="3" fontId="15" fillId="34" borderId="61" xfId="148" applyNumberFormat="1" applyFont="1" applyFill="1" applyBorder="1" applyAlignment="1">
      <alignment horizontal="right" vertical="top"/>
    </xf>
    <xf numFmtId="0" fontId="15" fillId="34" borderId="61" xfId="148" applyFont="1" applyFill="1" applyBorder="1" applyAlignment="1" applyProtection="1">
      <alignment horizontal="center" vertical="top" wrapText="1"/>
      <protection locked="0"/>
    </xf>
    <xf numFmtId="0" fontId="36" fillId="0" borderId="61" xfId="148" applyFont="1" applyFill="1" applyBorder="1" applyAlignment="1" applyProtection="1">
      <alignment horizontal="center" vertical="center" wrapText="1"/>
      <protection locked="0"/>
    </xf>
    <xf numFmtId="0" fontId="36" fillId="0" borderId="0" xfId="148" applyFont="1" applyFill="1"/>
    <xf numFmtId="4" fontId="36" fillId="0" borderId="61" xfId="148" applyNumberFormat="1" applyFont="1" applyFill="1" applyBorder="1" applyAlignment="1" applyProtection="1">
      <alignment horizontal="right" vertical="top" wrapText="1"/>
      <protection locked="0"/>
    </xf>
    <xf numFmtId="0" fontId="3" fillId="0" borderId="61" xfId="148" applyFont="1" applyFill="1" applyBorder="1" applyAlignment="1" applyProtection="1">
      <alignment horizontal="left" vertical="center" wrapText="1"/>
      <protection locked="0"/>
    </xf>
    <xf numFmtId="0" fontId="3" fillId="0" borderId="61" xfId="148" applyFont="1" applyFill="1" applyBorder="1" applyAlignment="1" applyProtection="1">
      <alignment horizontal="center" vertical="center" wrapText="1"/>
      <protection locked="0"/>
    </xf>
    <xf numFmtId="0" fontId="15" fillId="34" borderId="61" xfId="148" applyFont="1" applyFill="1" applyBorder="1" applyAlignment="1" applyProtection="1">
      <alignment vertical="top"/>
      <protection locked="0"/>
    </xf>
    <xf numFmtId="3" fontId="15" fillId="34" borderId="61" xfId="148" applyNumberFormat="1" applyFont="1" applyFill="1" applyBorder="1" applyAlignment="1" applyProtection="1">
      <alignment vertical="top"/>
      <protection locked="0"/>
    </xf>
    <xf numFmtId="0" fontId="15" fillId="34" borderId="61" xfId="148" applyFont="1" applyFill="1" applyBorder="1" applyAlignment="1" applyProtection="1">
      <alignment horizontal="center" vertical="top"/>
      <protection locked="0"/>
    </xf>
    <xf numFmtId="3" fontId="3" fillId="0" borderId="61" xfId="148" applyNumberFormat="1" applyFont="1" applyFill="1" applyBorder="1" applyAlignment="1" applyProtection="1">
      <alignment horizontal="right" vertical="center" wrapText="1"/>
      <protection locked="0"/>
    </xf>
    <xf numFmtId="3" fontId="0" fillId="0" borderId="61" xfId="150" applyNumberFormat="1" applyFont="1" applyFill="1" applyBorder="1" applyAlignment="1" applyProtection="1">
      <alignment horizontal="right" vertical="center" wrapText="1"/>
    </xf>
    <xf numFmtId="170" fontId="3" fillId="0" borderId="61" xfId="148" applyNumberFormat="1" applyFont="1" applyFill="1" applyBorder="1" applyAlignment="1" applyProtection="1">
      <alignment horizontal="right" vertical="center" wrapText="1"/>
      <protection locked="0"/>
    </xf>
    <xf numFmtId="4" fontId="3" fillId="0" borderId="61" xfId="148" applyNumberFormat="1" applyFont="1" applyFill="1" applyBorder="1" applyAlignment="1" applyProtection="1">
      <alignment horizontal="right" vertical="center" wrapText="1"/>
      <protection locked="0"/>
    </xf>
    <xf numFmtId="0" fontId="3" fillId="2" borderId="61" xfId="148" applyFont="1" applyFill="1" applyBorder="1"/>
    <xf numFmtId="43" fontId="39" fillId="2" borderId="61" xfId="148" applyNumberFormat="1" applyFont="1" applyFill="1" applyBorder="1"/>
    <xf numFmtId="0" fontId="3" fillId="2" borderId="61" xfId="148" applyFont="1" applyFill="1" applyBorder="1" applyAlignment="1">
      <alignment horizontal="center"/>
    </xf>
    <xf numFmtId="43" fontId="3" fillId="0" borderId="0" xfId="148" applyNumberFormat="1" applyFont="1"/>
    <xf numFmtId="0" fontId="3" fillId="0" borderId="0" xfId="148" applyFont="1" applyAlignment="1">
      <alignment horizontal="center"/>
    </xf>
    <xf numFmtId="0" fontId="2" fillId="30" borderId="61" xfId="0" applyFont="1" applyFill="1" applyBorder="1" applyAlignment="1" applyProtection="1">
      <alignment horizontal="left" vertical="center" wrapText="1"/>
      <protection locked="0"/>
    </xf>
    <xf numFmtId="0" fontId="2" fillId="0" borderId="61" xfId="3" applyFont="1" applyFill="1" applyBorder="1" applyAlignment="1" applyProtection="1">
      <alignment horizontal="left" vertical="center" wrapText="1"/>
      <protection locked="0"/>
    </xf>
    <xf numFmtId="0" fontId="2" fillId="0" borderId="61" xfId="0" applyFont="1" applyFill="1" applyBorder="1" applyAlignment="1" applyProtection="1">
      <alignment horizontal="left" vertical="center" wrapText="1"/>
      <protection locked="0"/>
    </xf>
    <xf numFmtId="4" fontId="15" fillId="31" borderId="61" xfId="3" applyNumberFormat="1" applyFont="1" applyFill="1" applyBorder="1" applyAlignment="1" applyProtection="1">
      <alignment horizontal="center"/>
      <protection locked="0"/>
    </xf>
    <xf numFmtId="4" fontId="15" fillId="2" borderId="61" xfId="3" applyNumberFormat="1" applyFont="1" applyFill="1" applyBorder="1" applyAlignment="1" applyProtection="1">
      <alignment horizontal="center"/>
      <protection locked="0"/>
    </xf>
    <xf numFmtId="43" fontId="0" fillId="0" borderId="0" xfId="134" applyFont="1"/>
    <xf numFmtId="43" fontId="0" fillId="0" borderId="0" xfId="0" applyNumberFormat="1"/>
    <xf numFmtId="4" fontId="36" fillId="0" borderId="0" xfId="3" applyNumberFormat="1" applyFont="1" applyProtection="1">
      <protection locked="0"/>
    </xf>
    <xf numFmtId="0" fontId="36" fillId="0" borderId="0" xfId="3" applyFont="1" applyFill="1" applyProtection="1">
      <protection locked="0"/>
    </xf>
    <xf numFmtId="3" fontId="36" fillId="0" borderId="0" xfId="3" applyNumberFormat="1" applyFont="1" applyFill="1" applyProtection="1">
      <protection locked="0"/>
    </xf>
    <xf numFmtId="0" fontId="36" fillId="0" borderId="61" xfId="0" applyFont="1" applyBorder="1" applyAlignment="1">
      <alignment vertical="center" wrapText="1"/>
    </xf>
    <xf numFmtId="43" fontId="3" fillId="0" borderId="0" xfId="134" applyFont="1"/>
    <xf numFmtId="43" fontId="3" fillId="0" borderId="0" xfId="134" applyFont="1" applyFill="1"/>
    <xf numFmtId="43" fontId="36" fillId="0" borderId="0" xfId="134" applyFont="1" applyFill="1"/>
    <xf numFmtId="0" fontId="46" fillId="45" borderId="61" xfId="0" applyFont="1" applyFill="1" applyBorder="1" applyAlignment="1">
      <alignment horizontal="center" vertical="center" wrapText="1"/>
    </xf>
    <xf numFmtId="0" fontId="44" fillId="45" borderId="61" xfId="0" applyFont="1" applyFill="1" applyBorder="1" applyAlignment="1">
      <alignment horizontal="left" vertical="center" wrapText="1"/>
    </xf>
    <xf numFmtId="0" fontId="16" fillId="45" borderId="61" xfId="0" applyFont="1" applyFill="1" applyBorder="1" applyAlignment="1">
      <alignment horizontal="center" vertical="center" wrapText="1"/>
    </xf>
    <xf numFmtId="6" fontId="44" fillId="45" borderId="61" xfId="0" applyNumberFormat="1" applyFont="1" applyFill="1" applyBorder="1" applyAlignment="1">
      <alignment horizontal="right" vertical="center" wrapText="1"/>
    </xf>
    <xf numFmtId="0" fontId="0" fillId="45" borderId="61" xfId="0" applyFont="1" applyFill="1" applyBorder="1" applyAlignment="1">
      <alignment horizontal="center" vertical="center" wrapText="1"/>
    </xf>
    <xf numFmtId="6" fontId="44" fillId="45" borderId="61" xfId="0" applyNumberFormat="1" applyFont="1" applyFill="1" applyBorder="1" applyAlignment="1">
      <alignment horizontal="center" vertical="center" wrapText="1"/>
    </xf>
    <xf numFmtId="6" fontId="46" fillId="45" borderId="61" xfId="0" applyNumberFormat="1" applyFont="1" applyFill="1" applyBorder="1" applyAlignment="1">
      <alignment horizontal="center" vertical="center" wrapText="1"/>
    </xf>
    <xf numFmtId="3" fontId="44" fillId="45" borderId="61" xfId="0" applyNumberFormat="1" applyFont="1" applyFill="1" applyBorder="1" applyAlignment="1">
      <alignment horizontal="left" vertical="center" wrapText="1"/>
    </xf>
    <xf numFmtId="0" fontId="46" fillId="45" borderId="40" xfId="0" applyFont="1" applyFill="1" applyBorder="1" applyAlignment="1">
      <alignment horizontal="center" vertical="center" wrapText="1"/>
    </xf>
    <xf numFmtId="0" fontId="4" fillId="45" borderId="35" xfId="0" applyFont="1" applyFill="1" applyBorder="1" applyAlignment="1">
      <alignment vertical="top" wrapText="1"/>
    </xf>
    <xf numFmtId="0" fontId="16" fillId="45" borderId="36" xfId="0" applyFont="1" applyFill="1" applyBorder="1" applyAlignment="1">
      <alignment horizontal="center" vertical="center" wrapText="1"/>
    </xf>
    <xf numFmtId="3" fontId="4" fillId="45" borderId="35" xfId="0" applyNumberFormat="1" applyFont="1" applyFill="1" applyBorder="1" applyAlignment="1">
      <alignment vertical="top" wrapText="1"/>
    </xf>
    <xf numFmtId="6" fontId="44" fillId="45" borderId="36" xfId="0" applyNumberFormat="1" applyFont="1" applyFill="1" applyBorder="1" applyAlignment="1">
      <alignment horizontal="right" vertical="center" wrapText="1"/>
    </xf>
    <xf numFmtId="6" fontId="44" fillId="45" borderId="59" xfId="0" applyNumberFormat="1" applyFont="1" applyFill="1" applyBorder="1" applyAlignment="1">
      <alignment horizontal="right" vertical="center" wrapText="1"/>
    </xf>
    <xf numFmtId="0" fontId="16" fillId="45" borderId="3" xfId="0" applyFont="1" applyFill="1" applyBorder="1" applyAlignment="1">
      <alignment horizontal="center" vertical="center" wrapText="1"/>
    </xf>
    <xf numFmtId="6" fontId="44" fillId="45" borderId="35" xfId="0" applyNumberFormat="1" applyFont="1" applyFill="1" applyBorder="1" applyAlignment="1">
      <alignment horizontal="center" vertical="center" wrapText="1"/>
    </xf>
    <xf numFmtId="6" fontId="44" fillId="45" borderId="59" xfId="0" applyNumberFormat="1" applyFont="1" applyFill="1" applyBorder="1" applyAlignment="1">
      <alignment horizontal="center" vertical="center" wrapText="1"/>
    </xf>
    <xf numFmtId="0" fontId="16" fillId="45" borderId="35" xfId="0" applyFont="1" applyFill="1" applyBorder="1" applyAlignment="1">
      <alignment horizontal="center" vertical="center" wrapText="1"/>
    </xf>
    <xf numFmtId="0" fontId="44" fillId="45" borderId="59" xfId="0" applyFont="1" applyFill="1" applyBorder="1" applyAlignment="1">
      <alignment horizontal="left" vertical="center" wrapText="1"/>
    </xf>
    <xf numFmtId="6" fontId="44" fillId="45" borderId="29" xfId="0" applyNumberFormat="1" applyFont="1" applyFill="1" applyBorder="1" applyAlignment="1">
      <alignment horizontal="right" vertical="center" wrapText="1"/>
    </xf>
    <xf numFmtId="6" fontId="0" fillId="45" borderId="61" xfId="0" applyNumberFormat="1" applyFont="1" applyFill="1" applyBorder="1" applyAlignment="1">
      <alignment horizontal="center" vertical="center" wrapText="1"/>
    </xf>
    <xf numFmtId="0" fontId="65" fillId="0" borderId="62" xfId="116" applyFont="1" applyBorder="1" applyAlignment="1" applyProtection="1"/>
    <xf numFmtId="0" fontId="65" fillId="0" borderId="62" xfId="2" applyFont="1" applyBorder="1" applyAlignment="1" applyProtection="1"/>
    <xf numFmtId="0" fontId="65" fillId="0" borderId="70" xfId="2" applyFont="1" applyBorder="1" applyAlignment="1" applyProtection="1"/>
    <xf numFmtId="168" fontId="65" fillId="0" borderId="61" xfId="2" applyNumberFormat="1" applyFont="1" applyFill="1" applyBorder="1" applyAlignment="1">
      <alignment horizontal="right" vertical="center" wrapText="1"/>
    </xf>
    <xf numFmtId="168" fontId="65" fillId="0" borderId="26" xfId="2" applyNumberFormat="1" applyFont="1" applyFill="1" applyBorder="1" applyAlignment="1">
      <alignment horizontal="right" vertical="center" wrapText="1"/>
    </xf>
    <xf numFmtId="0" fontId="66" fillId="0" borderId="62" xfId="116" applyFont="1" applyBorder="1" applyAlignment="1" applyProtection="1">
      <alignment horizontal="left" wrapText="1" indent="1"/>
    </xf>
    <xf numFmtId="0" fontId="66" fillId="0" borderId="62" xfId="116" applyFont="1" applyBorder="1" applyAlignment="1" applyProtection="1">
      <alignment horizontal="left" indent="1"/>
    </xf>
    <xf numFmtId="3" fontId="4" fillId="0" borderId="61" xfId="4" applyNumberFormat="1" applyFont="1" applyFill="1" applyBorder="1" applyProtection="1"/>
    <xf numFmtId="0" fontId="0" fillId="0" borderId="61" xfId="0" applyFont="1" applyFill="1" applyBorder="1" applyAlignment="1">
      <alignment horizontal="center" vertical="center" wrapText="1"/>
    </xf>
    <xf numFmtId="0" fontId="0" fillId="0" borderId="61" xfId="0" applyFont="1" applyBorder="1" applyAlignment="1">
      <alignment horizontal="center" vertical="center" wrapText="1"/>
    </xf>
    <xf numFmtId="0" fontId="1" fillId="0" borderId="61" xfId="0" applyFont="1" applyFill="1" applyBorder="1" applyAlignment="1" applyProtection="1">
      <alignment horizontal="left" vertical="center" wrapText="1"/>
      <protection locked="0"/>
    </xf>
    <xf numFmtId="0" fontId="15" fillId="4" borderId="26" xfId="0" applyFont="1" applyFill="1" applyBorder="1" applyAlignment="1" applyProtection="1">
      <alignment horizontal="left" vertical="center" wrapText="1"/>
      <protection locked="0"/>
    </xf>
    <xf numFmtId="0" fontId="15" fillId="4" borderId="2" xfId="0" applyFont="1" applyFill="1" applyBorder="1" applyAlignment="1" applyProtection="1">
      <alignment horizontal="left" vertical="center" wrapText="1"/>
      <protection locked="0"/>
    </xf>
    <xf numFmtId="0" fontId="0" fillId="0" borderId="3" xfId="0" applyBorder="1" applyAlignment="1">
      <alignment horizontal="left" vertical="center" wrapText="1"/>
    </xf>
    <xf numFmtId="3" fontId="15" fillId="0" borderId="26" xfId="0" applyNumberFormat="1" applyFont="1" applyBorder="1" applyAlignment="1" applyProtection="1">
      <alignment vertical="center" wrapText="1"/>
    </xf>
    <xf numFmtId="3" fontId="15" fillId="0" borderId="2" xfId="0" applyNumberFormat="1" applyFont="1" applyBorder="1" applyAlignment="1" applyProtection="1">
      <alignment vertical="center" wrapText="1"/>
    </xf>
    <xf numFmtId="3" fontId="15" fillId="0" borderId="3" xfId="0" applyNumberFormat="1" applyFont="1" applyBorder="1" applyAlignment="1" applyProtection="1">
      <alignment vertical="center" wrapText="1"/>
    </xf>
    <xf numFmtId="3" fontId="15" fillId="0" borderId="26" xfId="0" applyNumberFormat="1" applyFont="1" applyBorder="1" applyAlignment="1" applyProtection="1">
      <alignment horizontal="center" vertical="center" wrapText="1"/>
    </xf>
    <xf numFmtId="3" fontId="15" fillId="0" borderId="2" xfId="0" applyNumberFormat="1" applyFont="1" applyBorder="1" applyAlignment="1" applyProtection="1">
      <alignment horizontal="center" vertical="center" wrapText="1"/>
    </xf>
    <xf numFmtId="0" fontId="0" fillId="0" borderId="3" xfId="0" applyBorder="1" applyAlignment="1">
      <alignment horizontal="center" vertical="center" wrapText="1"/>
    </xf>
    <xf numFmtId="0" fontId="17" fillId="4" borderId="26" xfId="139" applyFont="1" applyFill="1" applyBorder="1" applyAlignment="1">
      <alignment horizontal="left" vertical="center" wrapText="1"/>
    </xf>
    <xf numFmtId="0" fontId="39" fillId="4" borderId="2" xfId="139" applyFont="1" applyFill="1" applyBorder="1" applyAlignment="1">
      <alignment horizontal="left" vertical="center" wrapText="1"/>
    </xf>
    <xf numFmtId="0" fontId="39" fillId="4" borderId="3" xfId="139" applyFont="1" applyFill="1" applyBorder="1" applyAlignment="1">
      <alignment horizontal="left" vertical="center" wrapText="1"/>
    </xf>
    <xf numFmtId="3" fontId="15" fillId="0" borderId="61" xfId="0" applyNumberFormat="1" applyFont="1" applyBorder="1" applyAlignment="1" applyProtection="1">
      <alignment vertical="center" wrapText="1"/>
    </xf>
    <xf numFmtId="0" fontId="36" fillId="0" borderId="61" xfId="0" applyFont="1" applyBorder="1" applyAlignment="1">
      <alignment vertical="center" wrapText="1"/>
    </xf>
    <xf numFmtId="3" fontId="15" fillId="0" borderId="3" xfId="0" applyNumberFormat="1" applyFont="1" applyBorder="1" applyAlignment="1" applyProtection="1">
      <alignment horizontal="center" vertical="center" wrapText="1"/>
    </xf>
    <xf numFmtId="0" fontId="15" fillId="4" borderId="3" xfId="0" applyFont="1" applyFill="1" applyBorder="1" applyAlignment="1" applyProtection="1">
      <alignment horizontal="left" vertical="center" wrapText="1"/>
      <protection locked="0"/>
    </xf>
    <xf numFmtId="0" fontId="15" fillId="4" borderId="61" xfId="0" applyFont="1" applyFill="1" applyBorder="1" applyAlignment="1" applyProtection="1">
      <alignment horizontal="left" vertical="center" wrapText="1"/>
      <protection locked="0"/>
    </xf>
    <xf numFmtId="0" fontId="36" fillId="4" borderId="61" xfId="0" applyFont="1" applyFill="1" applyBorder="1" applyAlignment="1">
      <alignment horizontal="left" vertical="center" wrapText="1"/>
    </xf>
    <xf numFmtId="0" fontId="15" fillId="0" borderId="61" xfId="0" applyFont="1" applyBorder="1" applyAlignment="1" applyProtection="1">
      <alignment horizontal="left" vertical="center" wrapText="1"/>
      <protection locked="0"/>
    </xf>
    <xf numFmtId="0" fontId="15" fillId="0" borderId="26" xfId="0" applyFont="1" applyBorder="1" applyAlignment="1" applyProtection="1">
      <alignment horizontal="left" vertical="center" wrapText="1"/>
      <protection locked="0"/>
    </xf>
    <xf numFmtId="3" fontId="15" fillId="0" borderId="26" xfId="0" applyNumberFormat="1" applyFont="1" applyBorder="1" applyAlignment="1" applyProtection="1">
      <alignment vertical="center" wrapText="1"/>
      <protection locked="0"/>
    </xf>
    <xf numFmtId="0" fontId="36" fillId="0" borderId="2" xfId="0" applyFont="1" applyBorder="1" applyAlignment="1">
      <alignment vertical="center" wrapText="1"/>
    </xf>
    <xf numFmtId="0" fontId="36" fillId="0" borderId="3" xfId="0" applyFont="1" applyBorder="1" applyAlignment="1">
      <alignment vertical="center" wrapText="1"/>
    </xf>
    <xf numFmtId="0" fontId="17" fillId="4" borderId="2" xfId="139" applyFont="1" applyFill="1" applyBorder="1" applyAlignment="1">
      <alignment horizontal="left" vertical="center" wrapText="1"/>
    </xf>
    <xf numFmtId="0" fontId="0" fillId="0" borderId="3" xfId="0" applyBorder="1" applyAlignment="1">
      <alignment vertical="center" wrapText="1"/>
    </xf>
    <xf numFmtId="0" fontId="15" fillId="31" borderId="61" xfId="3" applyFont="1" applyFill="1" applyBorder="1" applyAlignment="1" applyProtection="1">
      <alignment horizontal="center" wrapText="1"/>
      <protection locked="0"/>
    </xf>
    <xf numFmtId="0" fontId="36" fillId="0" borderId="61" xfId="0" applyFont="1" applyBorder="1" applyAlignment="1">
      <alignment wrapText="1"/>
    </xf>
    <xf numFmtId="0" fontId="15" fillId="3" borderId="61" xfId="3" applyFont="1" applyFill="1" applyBorder="1" applyAlignment="1" applyProtection="1">
      <alignment horizontal="center" vertical="center"/>
      <protection locked="0"/>
    </xf>
    <xf numFmtId="0" fontId="36" fillId="3" borderId="61" xfId="0" applyFont="1" applyFill="1" applyBorder="1" applyAlignment="1" applyProtection="1">
      <alignment horizontal="center" vertical="center"/>
      <protection locked="0"/>
    </xf>
    <xf numFmtId="0" fontId="15" fillId="2" borderId="61" xfId="3" applyFont="1" applyFill="1" applyBorder="1" applyAlignment="1" applyProtection="1">
      <alignment horizontal="center" wrapText="1"/>
      <protection locked="0"/>
    </xf>
    <xf numFmtId="0" fontId="36" fillId="0" borderId="61" xfId="0" applyFont="1" applyBorder="1" applyAlignment="1">
      <alignment horizontal="center" wrapText="1"/>
    </xf>
    <xf numFmtId="0" fontId="15" fillId="2" borderId="61" xfId="3" applyFont="1" applyFill="1" applyBorder="1" applyAlignment="1" applyProtection="1">
      <alignment horizontal="center" vertical="center"/>
      <protection locked="0"/>
    </xf>
    <xf numFmtId="0" fontId="36" fillId="2" borderId="61" xfId="0" applyFont="1" applyFill="1" applyBorder="1" applyAlignment="1" applyProtection="1">
      <alignment horizontal="center" vertical="center"/>
      <protection locked="0"/>
    </xf>
    <xf numFmtId="0" fontId="15" fillId="2" borderId="28" xfId="3" applyFont="1" applyFill="1" applyBorder="1" applyAlignment="1" applyProtection="1">
      <alignment horizontal="center" vertical="center" wrapText="1"/>
      <protection locked="0"/>
    </xf>
    <xf numFmtId="0" fontId="15" fillId="2" borderId="29" xfId="3" applyFont="1" applyFill="1" applyBorder="1" applyAlignment="1" applyProtection="1">
      <alignment horizontal="center" vertical="center" wrapText="1"/>
      <protection locked="0"/>
    </xf>
    <xf numFmtId="0" fontId="15" fillId="2" borderId="30" xfId="3" applyFont="1" applyFill="1" applyBorder="1" applyAlignment="1" applyProtection="1">
      <alignment horizontal="center" vertical="center" wrapText="1"/>
      <protection locked="0"/>
    </xf>
    <xf numFmtId="0" fontId="15" fillId="0" borderId="2" xfId="0" applyFont="1" applyBorder="1" applyAlignment="1" applyProtection="1">
      <alignment horizontal="left" vertical="center" wrapText="1"/>
      <protection locked="0"/>
    </xf>
    <xf numFmtId="0" fontId="36" fillId="0" borderId="2" xfId="0" applyFont="1" applyBorder="1" applyAlignment="1">
      <alignment horizontal="left" vertical="center" wrapText="1"/>
    </xf>
    <xf numFmtId="0" fontId="36" fillId="30" borderId="26" xfId="0" applyFont="1" applyFill="1" applyBorder="1" applyAlignment="1" applyProtection="1">
      <alignment horizontal="left" vertical="center" wrapText="1"/>
      <protection locked="0"/>
    </xf>
    <xf numFmtId="0" fontId="36" fillId="0" borderId="3" xfId="0" applyFont="1" applyBorder="1" applyAlignment="1">
      <alignment horizontal="left" vertical="center" wrapText="1"/>
    </xf>
    <xf numFmtId="0" fontId="0" fillId="0" borderId="2" xfId="0" applyBorder="1" applyAlignment="1">
      <alignment vertical="center" wrapText="1"/>
    </xf>
    <xf numFmtId="0" fontId="15" fillId="0" borderId="26" xfId="3" applyFont="1" applyFill="1" applyBorder="1" applyAlignment="1" applyProtection="1">
      <alignment horizontal="left" vertical="center" wrapText="1"/>
      <protection locked="0"/>
    </xf>
    <xf numFmtId="0" fontId="15" fillId="0" borderId="2" xfId="3" applyFont="1" applyFill="1" applyBorder="1" applyAlignment="1" applyProtection="1">
      <alignment horizontal="left" vertical="center" wrapText="1"/>
      <protection locked="0"/>
    </xf>
    <xf numFmtId="0" fontId="15" fillId="0" borderId="3" xfId="3" applyFont="1" applyFill="1" applyBorder="1" applyAlignment="1" applyProtection="1">
      <alignment horizontal="left" vertical="center" wrapText="1"/>
      <protection locked="0"/>
    </xf>
    <xf numFmtId="3" fontId="15" fillId="0" borderId="61" xfId="3" applyNumberFormat="1" applyFont="1" applyFill="1" applyBorder="1" applyAlignment="1" applyProtection="1">
      <alignment horizontal="right" wrapText="1"/>
      <protection locked="0"/>
    </xf>
    <xf numFmtId="0" fontId="36" fillId="0" borderId="61" xfId="0" applyFont="1" applyBorder="1" applyAlignment="1" applyProtection="1">
      <alignment horizontal="right" wrapText="1"/>
      <protection locked="0"/>
    </xf>
    <xf numFmtId="0" fontId="15" fillId="33" borderId="61" xfId="0" applyFont="1" applyFill="1" applyBorder="1" applyAlignment="1" applyProtection="1">
      <alignment vertical="center" wrapText="1"/>
      <protection locked="0"/>
    </xf>
    <xf numFmtId="0" fontId="15" fillId="0" borderId="3" xfId="0" applyFont="1" applyBorder="1" applyAlignment="1" applyProtection="1">
      <alignment horizontal="left" vertical="center" wrapText="1"/>
      <protection locked="0"/>
    </xf>
    <xf numFmtId="0" fontId="4" fillId="29" borderId="28" xfId="4" applyFont="1" applyFill="1" applyBorder="1" applyAlignment="1" applyProtection="1">
      <alignment horizontal="left"/>
      <protection locked="0"/>
    </xf>
    <xf numFmtId="0" fontId="4" fillId="0" borderId="29" xfId="0" applyFont="1" applyBorder="1" applyAlignment="1" applyProtection="1">
      <protection locked="0"/>
    </xf>
    <xf numFmtId="0" fontId="4" fillId="0" borderId="30" xfId="0" applyFont="1" applyBorder="1" applyAlignment="1" applyProtection="1">
      <protection locked="0"/>
    </xf>
    <xf numFmtId="0" fontId="17" fillId="27" borderId="26" xfId="4" applyFont="1" applyFill="1" applyBorder="1" applyAlignment="1" applyProtection="1">
      <alignment horizontal="center" vertical="center"/>
      <protection locked="0"/>
    </xf>
    <xf numFmtId="0" fontId="17" fillId="27" borderId="61" xfId="4" applyFont="1" applyFill="1" applyBorder="1" applyAlignment="1" applyProtection="1">
      <alignment horizontal="center" vertical="center"/>
      <protection locked="0"/>
    </xf>
    <xf numFmtId="0" fontId="17" fillId="3" borderId="16" xfId="4" applyFont="1" applyFill="1" applyBorder="1" applyAlignment="1" applyProtection="1">
      <alignment horizontal="left" vertical="center" wrapText="1"/>
      <protection locked="0"/>
    </xf>
    <xf numFmtId="0" fontId="4" fillId="0" borderId="17" xfId="4" applyFont="1" applyBorder="1" applyAlignment="1" applyProtection="1">
      <alignment horizontal="left" vertical="center" wrapText="1"/>
      <protection locked="0"/>
    </xf>
    <xf numFmtId="0" fontId="4" fillId="29" borderId="14" xfId="4" applyFont="1" applyFill="1" applyBorder="1" applyAlignment="1" applyProtection="1">
      <alignment horizontal="left"/>
      <protection locked="0"/>
    </xf>
    <xf numFmtId="0" fontId="17" fillId="3" borderId="26" xfId="4" applyFont="1" applyFill="1" applyBorder="1" applyAlignment="1" applyProtection="1">
      <alignment horizontal="left" vertical="center" wrapText="1"/>
      <protection locked="0"/>
    </xf>
    <xf numFmtId="0" fontId="4" fillId="0" borderId="3" xfId="4" applyFont="1" applyBorder="1" applyAlignment="1" applyProtection="1">
      <alignment horizontal="left" vertical="center" wrapText="1"/>
      <protection locked="0"/>
    </xf>
    <xf numFmtId="0" fontId="43" fillId="38" borderId="28" xfId="0" applyFont="1" applyFill="1" applyBorder="1" applyAlignment="1">
      <alignment horizontal="left" vertical="center" wrapText="1"/>
    </xf>
    <xf numFmtId="0" fontId="43" fillId="38" borderId="29" xfId="0" applyFont="1" applyFill="1" applyBorder="1" applyAlignment="1">
      <alignment horizontal="left" vertical="center" wrapText="1"/>
    </xf>
    <xf numFmtId="0" fontId="43" fillId="38" borderId="30" xfId="0" applyFont="1" applyFill="1" applyBorder="1" applyAlignment="1">
      <alignment horizontal="left" vertical="center" wrapText="1"/>
    </xf>
    <xf numFmtId="0" fontId="48" fillId="2" borderId="22" xfId="143" applyFont="1" applyFill="1" applyBorder="1" applyAlignment="1">
      <alignment horizontal="center" wrapText="1"/>
    </xf>
    <xf numFmtId="0" fontId="49" fillId="0" borderId="22" xfId="0" applyFont="1" applyBorder="1" applyAlignment="1"/>
    <xf numFmtId="0" fontId="50" fillId="0" borderId="0" xfId="1" applyFont="1" applyFill="1" applyBorder="1" applyAlignment="1">
      <alignment horizontal="center" vertical="center" wrapText="1"/>
    </xf>
    <xf numFmtId="0" fontId="43" fillId="38" borderId="19" xfId="0" applyFont="1" applyFill="1" applyBorder="1" applyAlignment="1">
      <alignment horizontal="left" vertical="center" wrapText="1"/>
    </xf>
    <xf numFmtId="0" fontId="43" fillId="38" borderId="39" xfId="0" applyFont="1" applyFill="1" applyBorder="1" applyAlignment="1">
      <alignment horizontal="left" vertical="center" wrapText="1"/>
    </xf>
    <xf numFmtId="0" fontId="43" fillId="38" borderId="20" xfId="0" applyFont="1" applyFill="1" applyBorder="1" applyAlignment="1">
      <alignment horizontal="left" vertical="center" wrapText="1"/>
    </xf>
    <xf numFmtId="6" fontId="46" fillId="45" borderId="26" xfId="0" applyNumberFormat="1" applyFont="1" applyFill="1" applyBorder="1" applyAlignment="1">
      <alignment horizontal="center" vertical="center" wrapText="1"/>
    </xf>
    <xf numFmtId="6" fontId="46" fillId="45" borderId="2" xfId="0" applyNumberFormat="1" applyFont="1" applyFill="1" applyBorder="1" applyAlignment="1">
      <alignment horizontal="center" vertical="center" wrapText="1"/>
    </xf>
    <xf numFmtId="6" fontId="46" fillId="45" borderId="3" xfId="0" applyNumberFormat="1" applyFont="1" applyFill="1" applyBorder="1" applyAlignment="1">
      <alignment horizontal="center" vertical="center" wrapText="1"/>
    </xf>
    <xf numFmtId="0" fontId="16" fillId="45" borderId="26" xfId="0" applyFont="1" applyFill="1" applyBorder="1" applyAlignment="1">
      <alignment horizontal="center" vertical="center" wrapText="1"/>
    </xf>
    <xf numFmtId="0" fontId="16" fillId="45" borderId="2" xfId="0" applyFont="1" applyFill="1" applyBorder="1" applyAlignment="1">
      <alignment horizontal="center" vertical="center" wrapText="1"/>
    </xf>
    <xf numFmtId="0" fontId="16" fillId="45" borderId="3" xfId="0" applyFont="1" applyFill="1" applyBorder="1" applyAlignment="1">
      <alignment horizontal="center" vertical="center" wrapText="1"/>
    </xf>
    <xf numFmtId="0" fontId="52" fillId="38" borderId="37" xfId="116" applyFont="1" applyFill="1" applyBorder="1" applyAlignment="1">
      <alignment horizontal="center" vertical="center" wrapText="1"/>
    </xf>
    <xf numFmtId="0" fontId="52" fillId="38" borderId="35" xfId="116" applyFont="1" applyFill="1" applyBorder="1" applyAlignment="1">
      <alignment horizontal="center" vertical="center" wrapText="1"/>
    </xf>
    <xf numFmtId="0" fontId="52" fillId="38" borderId="44" xfId="116" applyFont="1" applyFill="1" applyBorder="1" applyAlignment="1">
      <alignment horizontal="center" vertical="center" wrapText="1"/>
    </xf>
    <xf numFmtId="0" fontId="15" fillId="0" borderId="26" xfId="2" applyFont="1" applyFill="1" applyBorder="1" applyAlignment="1">
      <alignment horizontal="center" vertical="center" wrapText="1"/>
    </xf>
    <xf numFmtId="0" fontId="52" fillId="38" borderId="40" xfId="116" applyFont="1" applyFill="1" applyBorder="1" applyAlignment="1">
      <alignment horizontal="center" vertical="center" wrapText="1"/>
    </xf>
    <xf numFmtId="0" fontId="52" fillId="38" borderId="42" xfId="116" applyFont="1" applyFill="1" applyBorder="1" applyAlignment="1">
      <alignment horizontal="center" vertical="center" wrapText="1"/>
    </xf>
    <xf numFmtId="0" fontId="52" fillId="38" borderId="43" xfId="116" applyFont="1" applyFill="1" applyBorder="1" applyAlignment="1">
      <alignment horizontal="center" vertical="center" wrapText="1"/>
    </xf>
    <xf numFmtId="0" fontId="53" fillId="0" borderId="2" xfId="2" applyFont="1" applyFill="1" applyBorder="1" applyAlignment="1">
      <alignment horizontal="center" vertical="center" wrapText="1"/>
    </xf>
    <xf numFmtId="0" fontId="52" fillId="38" borderId="28" xfId="116" applyFont="1" applyFill="1" applyBorder="1" applyAlignment="1">
      <alignment horizontal="center" vertical="center" wrapText="1"/>
    </xf>
    <xf numFmtId="0" fontId="52" fillId="38" borderId="29" xfId="116" applyFont="1" applyFill="1" applyBorder="1" applyAlignment="1">
      <alignment horizontal="center" vertical="center" wrapText="1"/>
    </xf>
    <xf numFmtId="0" fontId="52" fillId="38" borderId="30" xfId="116" applyFont="1" applyFill="1" applyBorder="1" applyAlignment="1">
      <alignment horizontal="center" vertical="center" wrapText="1"/>
    </xf>
    <xf numFmtId="17" fontId="54" fillId="0" borderId="59" xfId="2" applyNumberFormat="1" applyFont="1" applyFill="1" applyBorder="1" applyAlignment="1">
      <alignment horizontal="center" vertical="center" wrapText="1"/>
    </xf>
    <xf numFmtId="0" fontId="54" fillId="0" borderId="64" xfId="2" applyNumberFormat="1" applyFont="1" applyFill="1" applyBorder="1" applyAlignment="1">
      <alignment horizontal="center" vertical="center" wrapText="1"/>
    </xf>
    <xf numFmtId="0" fontId="55" fillId="0" borderId="45" xfId="144" applyFont="1" applyBorder="1" applyAlignment="1">
      <alignment horizontal="center" wrapText="1"/>
    </xf>
    <xf numFmtId="0" fontId="56" fillId="0" borderId="45" xfId="144" applyFont="1" applyBorder="1" applyAlignment="1">
      <alignment horizontal="center" wrapText="1"/>
    </xf>
    <xf numFmtId="0" fontId="56" fillId="43" borderId="49" xfId="144" applyFont="1" applyFill="1" applyBorder="1" applyAlignment="1">
      <alignment vertical="center" wrapText="1"/>
    </xf>
    <xf numFmtId="0" fontId="55" fillId="0" borderId="0" xfId="144" applyFont="1" applyBorder="1" applyAlignment="1">
      <alignment horizontal="center" wrapText="1"/>
    </xf>
    <xf numFmtId="0" fontId="56" fillId="0" borderId="0" xfId="144" applyFont="1" applyBorder="1" applyAlignment="1">
      <alignment horizontal="center" wrapText="1"/>
    </xf>
    <xf numFmtId="0" fontId="0" fillId="0" borderId="0" xfId="0" applyAlignment="1">
      <alignment horizontal="center" wrapText="1"/>
    </xf>
    <xf numFmtId="0" fontId="4" fillId="0" borderId="61" xfId="139" applyFont="1" applyBorder="1" applyAlignment="1">
      <alignment horizontal="left" vertical="center" wrapText="1"/>
    </xf>
    <xf numFmtId="0" fontId="7" fillId="0" borderId="61" xfId="139" applyBorder="1" applyAlignment="1">
      <alignment horizontal="left" vertical="center" wrapText="1"/>
    </xf>
    <xf numFmtId="164" fontId="15" fillId="36" borderId="28" xfId="138" applyNumberFormat="1" applyFont="1" applyFill="1" applyBorder="1" applyAlignment="1">
      <alignment horizontal="left" vertical="center" wrapText="1"/>
    </xf>
    <xf numFmtId="164" fontId="15" fillId="36" borderId="29" xfId="138" applyNumberFormat="1" applyFont="1" applyFill="1" applyBorder="1" applyAlignment="1">
      <alignment horizontal="left" vertical="center" wrapText="1"/>
    </xf>
    <xf numFmtId="164" fontId="15" fillId="36" borderId="30" xfId="138" applyNumberFormat="1" applyFont="1" applyFill="1" applyBorder="1" applyAlignment="1">
      <alignment horizontal="left" vertical="center" wrapText="1"/>
    </xf>
    <xf numFmtId="164" fontId="15" fillId="36" borderId="14" xfId="138" applyNumberFormat="1" applyFont="1" applyFill="1" applyBorder="1" applyAlignment="1">
      <alignment horizontal="left" vertical="center" wrapText="1"/>
    </xf>
    <xf numFmtId="164" fontId="15" fillId="36" borderId="22" xfId="138" applyNumberFormat="1" applyFont="1" applyFill="1" applyBorder="1" applyAlignment="1">
      <alignment horizontal="left" vertical="center" wrapText="1"/>
    </xf>
    <xf numFmtId="164" fontId="15" fillId="36" borderId="21" xfId="138" applyNumberFormat="1" applyFont="1" applyFill="1" applyBorder="1" applyAlignment="1">
      <alignment horizontal="left" vertical="center" wrapText="1"/>
    </xf>
    <xf numFmtId="0" fontId="7" fillId="37" borderId="61" xfId="139" applyFill="1" applyBorder="1" applyAlignment="1">
      <alignment horizontal="left" vertical="center" wrapText="1"/>
    </xf>
    <xf numFmtId="0" fontId="15" fillId="3" borderId="61" xfId="148" applyFont="1" applyFill="1" applyBorder="1" applyAlignment="1">
      <alignment horizontal="center" vertical="center" wrapText="1"/>
    </xf>
    <xf numFmtId="0" fontId="15" fillId="31" borderId="61" xfId="150" applyFont="1" applyFill="1" applyBorder="1" applyAlignment="1" applyProtection="1">
      <alignment horizontal="center" wrapText="1"/>
      <protection locked="0"/>
    </xf>
    <xf numFmtId="0" fontId="3" fillId="0" borderId="61" xfId="148" applyFont="1" applyFill="1" applyBorder="1" applyAlignment="1">
      <alignment horizontal="center" vertical="center" wrapText="1"/>
    </xf>
    <xf numFmtId="0" fontId="36" fillId="0" borderId="61" xfId="148" applyFont="1" applyFill="1" applyBorder="1" applyAlignment="1" applyProtection="1">
      <alignment horizontal="center" vertical="center" wrapText="1"/>
      <protection locked="0"/>
    </xf>
    <xf numFmtId="0" fontId="15" fillId="2" borderId="61" xfId="148" applyFont="1" applyFill="1" applyBorder="1" applyAlignment="1" applyProtection="1">
      <alignment vertical="center" wrapText="1"/>
      <protection locked="0"/>
    </xf>
    <xf numFmtId="0" fontId="36" fillId="2" borderId="61" xfId="148" applyFont="1" applyFill="1" applyBorder="1" applyAlignment="1">
      <alignment vertical="center" wrapText="1"/>
    </xf>
    <xf numFmtId="0" fontId="15" fillId="3" borderId="61" xfId="150" applyFont="1" applyFill="1" applyBorder="1" applyAlignment="1" applyProtection="1">
      <alignment horizontal="center" vertical="center" wrapText="1"/>
      <protection locked="0"/>
    </xf>
    <xf numFmtId="3" fontId="15" fillId="3" borderId="61" xfId="148" applyNumberFormat="1" applyFont="1" applyFill="1" applyBorder="1" applyAlignment="1" applyProtection="1">
      <alignment horizontal="center" wrapText="1"/>
      <protection locked="0"/>
    </xf>
  </cellXfs>
  <cellStyles count="151">
    <cellStyle name="20% - Accent1 2" xfId="5"/>
    <cellStyle name="20% - Accent1 3" xfId="6"/>
    <cellStyle name="20% - Accent1 4" xfId="7"/>
    <cellStyle name="20% - Accent2 2" xfId="8"/>
    <cellStyle name="20% - Accent2 3" xfId="9"/>
    <cellStyle name="20% - Accent2 4" xfId="10"/>
    <cellStyle name="20% - Accent3 2" xfId="11"/>
    <cellStyle name="20% - Accent3 3" xfId="12"/>
    <cellStyle name="20% - Accent3 4" xfId="13"/>
    <cellStyle name="20% - Accent4 2" xfId="14"/>
    <cellStyle name="20% - Accent4 3" xfId="15"/>
    <cellStyle name="20% - Accent4 4" xfId="16"/>
    <cellStyle name="20% - Accent5 2" xfId="17"/>
    <cellStyle name="20% - Accent5 3" xfId="18"/>
    <cellStyle name="20% - Accent5 4" xfId="19"/>
    <cellStyle name="20% - Accent6 2" xfId="20"/>
    <cellStyle name="20% - Accent6 3" xfId="21"/>
    <cellStyle name="20% - Accent6 4" xfId="22"/>
    <cellStyle name="40% - Accent1 2" xfId="23"/>
    <cellStyle name="40% - Accent1 3" xfId="24"/>
    <cellStyle name="40% - Accent1 4" xfId="25"/>
    <cellStyle name="40% - Accent2 2" xfId="26"/>
    <cellStyle name="40% - Accent2 3" xfId="27"/>
    <cellStyle name="40% - Accent2 4" xfId="28"/>
    <cellStyle name="40% - Accent3 2" xfId="29"/>
    <cellStyle name="40% - Accent3 3" xfId="30"/>
    <cellStyle name="40% - Accent3 4" xfId="31"/>
    <cellStyle name="40% - Accent4 2" xfId="32"/>
    <cellStyle name="40% - Accent4 3" xfId="33"/>
    <cellStyle name="40% - Accent4 4" xfId="34"/>
    <cellStyle name="40% - Accent5 2" xfId="35"/>
    <cellStyle name="40% - Accent5 3" xfId="36"/>
    <cellStyle name="40% - Accent5 4" xfId="37"/>
    <cellStyle name="40% - Accent6 2" xfId="38"/>
    <cellStyle name="40% - Accent6 3" xfId="39"/>
    <cellStyle name="40% - Accent6 4" xfId="40"/>
    <cellStyle name="60% - Accent1 2" xfId="41"/>
    <cellStyle name="60% - Accent1 3" xfId="42"/>
    <cellStyle name="60% - Accent1 4" xfId="43"/>
    <cellStyle name="60% - Accent2 2" xfId="44"/>
    <cellStyle name="60% - Accent2 3" xfId="45"/>
    <cellStyle name="60% - Accent2 4" xfId="46"/>
    <cellStyle name="60% - Accent3 2" xfId="47"/>
    <cellStyle name="60% - Accent3 3" xfId="48"/>
    <cellStyle name="60% - Accent3 4" xfId="49"/>
    <cellStyle name="60% - Accent4 2" xfId="50"/>
    <cellStyle name="60% - Accent4 3" xfId="51"/>
    <cellStyle name="60% - Accent4 4" xfId="52"/>
    <cellStyle name="60% - Accent5 2" xfId="53"/>
    <cellStyle name="60% - Accent5 3" xfId="54"/>
    <cellStyle name="60% - Accent5 4" xfId="55"/>
    <cellStyle name="60% - Accent6 2" xfId="56"/>
    <cellStyle name="60% - Accent6 3" xfId="57"/>
    <cellStyle name="60% - Accent6 4" xfId="58"/>
    <cellStyle name="Accent1 2" xfId="59"/>
    <cellStyle name="Accent1 3" xfId="60"/>
    <cellStyle name="Accent1 4" xfId="61"/>
    <cellStyle name="Accent2 2" xfId="62"/>
    <cellStyle name="Accent2 3" xfId="63"/>
    <cellStyle name="Accent2 4" xfId="64"/>
    <cellStyle name="Accent3 2" xfId="65"/>
    <cellStyle name="Accent3 3" xfId="66"/>
    <cellStyle name="Accent3 4" xfId="67"/>
    <cellStyle name="Accent4 2" xfId="68"/>
    <cellStyle name="Accent4 3" xfId="69"/>
    <cellStyle name="Accent4 4" xfId="70"/>
    <cellStyle name="Accent5 2" xfId="71"/>
    <cellStyle name="Accent5 3" xfId="72"/>
    <cellStyle name="Accent5 4" xfId="73"/>
    <cellStyle name="Accent6 2" xfId="74"/>
    <cellStyle name="Accent6 3" xfId="75"/>
    <cellStyle name="Accent6 4" xfId="76"/>
    <cellStyle name="Bad 2" xfId="77"/>
    <cellStyle name="Bad 3" xfId="78"/>
    <cellStyle name="Bad 4" xfId="79"/>
    <cellStyle name="Calculation 2" xfId="80"/>
    <cellStyle name="Calculation 3" xfId="81"/>
    <cellStyle name="Calculation 4" xfId="82"/>
    <cellStyle name="Check Cell 2" xfId="83"/>
    <cellStyle name="Check Cell 3" xfId="84"/>
    <cellStyle name="Check Cell 4" xfId="85"/>
    <cellStyle name="Comma" xfId="134" builtinId="3"/>
    <cellStyle name="Comma 2" xfId="136"/>
    <cellStyle name="Comma 2 2" xfId="138"/>
    <cellStyle name="Comma 2 3" xfId="141"/>
    <cellStyle name="Comma 2 4" xfId="146"/>
    <cellStyle name="Comma 3" xfId="149"/>
    <cellStyle name="Explanatory Text 2" xfId="86"/>
    <cellStyle name="Explanatory Text 3" xfId="87"/>
    <cellStyle name="Explanatory Text 4" xfId="88"/>
    <cellStyle name="Good 2" xfId="89"/>
    <cellStyle name="Good 3" xfId="90"/>
    <cellStyle name="Good 4" xfId="91"/>
    <cellStyle name="Heading 1 2" xfId="92"/>
    <cellStyle name="Heading 1 3" xfId="93"/>
    <cellStyle name="Heading 1 4" xfId="94"/>
    <cellStyle name="Heading 2 2" xfId="95"/>
    <cellStyle name="Heading 2 3" xfId="96"/>
    <cellStyle name="Heading 2 4" xfId="97"/>
    <cellStyle name="Heading 3 2" xfId="98"/>
    <cellStyle name="Heading 3 3" xfId="99"/>
    <cellStyle name="Heading 3 4" xfId="100"/>
    <cellStyle name="Heading 4 2" xfId="101"/>
    <cellStyle name="Heading 4 3" xfId="102"/>
    <cellStyle name="Heading 4 4" xfId="103"/>
    <cellStyle name="Input 2" xfId="104"/>
    <cellStyle name="Input 3" xfId="105"/>
    <cellStyle name="Input 4" xfId="106"/>
    <cellStyle name="Linked Cell 2" xfId="107"/>
    <cellStyle name="Linked Cell 3" xfId="108"/>
    <cellStyle name="Linked Cell 4" xfId="109"/>
    <cellStyle name="Neutral 2" xfId="110"/>
    <cellStyle name="Neutral 3" xfId="111"/>
    <cellStyle name="Neutral 4" xfId="112"/>
    <cellStyle name="Normal" xfId="0" builtinId="0"/>
    <cellStyle name="Normal 2" xfId="1"/>
    <cellStyle name="Normal 2 2" xfId="113"/>
    <cellStyle name="Normal 2 3" xfId="114"/>
    <cellStyle name="Normal 2 4" xfId="115"/>
    <cellStyle name="Normal 3" xfId="2"/>
    <cellStyle name="Normal 3 2" xfId="116"/>
    <cellStyle name="Normal 4" xfId="3"/>
    <cellStyle name="Normal 4 2" xfId="140"/>
    <cellStyle name="Normal 4 3" xfId="143"/>
    <cellStyle name="Normal 4 4" xfId="145"/>
    <cellStyle name="Normal 4 5" xfId="150"/>
    <cellStyle name="Normal 5" xfId="4"/>
    <cellStyle name="Normal 5 2" xfId="144"/>
    <cellStyle name="Normal 5 3" xfId="147"/>
    <cellStyle name="Normal 6" xfId="132"/>
    <cellStyle name="Normal 7" xfId="135"/>
    <cellStyle name="Normal 8" xfId="137"/>
    <cellStyle name="Normal 8 2" xfId="139"/>
    <cellStyle name="Normal 9" xfId="148"/>
    <cellStyle name="Note 2" xfId="117"/>
    <cellStyle name="Note 3" xfId="118"/>
    <cellStyle name="Note 4" xfId="119"/>
    <cellStyle name="Output 2" xfId="120"/>
    <cellStyle name="Output 3" xfId="121"/>
    <cellStyle name="Output 4" xfId="122"/>
    <cellStyle name="Percent" xfId="142" builtinId="5"/>
    <cellStyle name="TableStyleLight1" xfId="133"/>
    <cellStyle name="Title 2" xfId="123"/>
    <cellStyle name="Title 3" xfId="124"/>
    <cellStyle name="Title 4" xfId="125"/>
    <cellStyle name="Total 2" xfId="126"/>
    <cellStyle name="Total 3" xfId="127"/>
    <cellStyle name="Total 4" xfId="128"/>
    <cellStyle name="Warning Text 2" xfId="129"/>
    <cellStyle name="Warning Text 3" xfId="130"/>
    <cellStyle name="Warning Text 4" xfId="131"/>
  </cellStyles>
  <dxfs count="0"/>
  <tableStyles count="0" defaultTableStyle="TableStyleMedium9" defaultPivotStyle="PivotStyleMedium4"/>
  <colors>
    <mruColors>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idbg-my.sharepoint.com/Users/acalvo/Documents/Backup%20ACALVO%20CDR/Fiscal/DR-L1117/Presupuesto/DR-L1117%20Presupuesto%2013%20Marzo%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dbg-my.sharepoint.com/Users/marci/AppData/Local/Microsoft/Windows/INetCache/Content.Outlook/79OT0Z64/DR-L1117%20Presupuesto%2016%20marzo%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Detailed Budget"/>
      <sheetName val="2. Pluriannual Plan PEP"/>
      <sheetName val="Prices"/>
      <sheetName val="PETI 2017-2020"/>
    </sheetNames>
    <sheetDataSet>
      <sheetData sheetId="0"/>
      <sheetData sheetId="1"/>
      <sheetData sheetId="2">
        <row r="4">
          <cell r="D4">
            <v>20354.399999999998</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Detailed Budget"/>
      <sheetName val="2. Pluriannual Plan PEP"/>
      <sheetName val="3. Procurement Plan - PA"/>
      <sheetName val="4. Sitetic PA"/>
      <sheetName val="5. Budget by Components"/>
      <sheetName val="Prices"/>
      <sheetName val="PETI 2017-2020"/>
      <sheetName val="Sheet5"/>
    </sheetNames>
    <sheetDataSet>
      <sheetData sheetId="0" refreshError="1">
        <row r="7">
          <cell r="A7" t="str">
            <v>1.1 Estructura Organizacional de la DGII actualizada e implementada</v>
          </cell>
        </row>
        <row r="95">
          <cell r="A95" t="str">
            <v>Total Administración Proyecto</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5"/>
  <sheetViews>
    <sheetView zoomScale="70" zoomScaleNormal="70" workbookViewId="0">
      <pane xSplit="2" ySplit="4" topLeftCell="C7" activePane="bottomRight" state="frozen"/>
      <selection activeCell="M61" sqref="M61"/>
      <selection pane="topRight" activeCell="M61" sqref="M61"/>
      <selection pane="bottomLeft" activeCell="M61" sqref="M61"/>
      <selection pane="bottomRight" activeCell="M61" sqref="M61"/>
    </sheetView>
  </sheetViews>
  <sheetFormatPr defaultColWidth="9" defaultRowHeight="14.4" x14ac:dyDescent="0.3"/>
  <cols>
    <col min="1" max="1" width="17.8984375" style="58" customWidth="1"/>
    <col min="2" max="2" width="13.69921875" style="2" bestFit="1" customWidth="1"/>
    <col min="3" max="3" width="30.5" style="2" customWidth="1"/>
    <col min="4" max="4" width="15.59765625" style="2" customWidth="1"/>
    <col min="5" max="5" width="7.59765625" style="2" bestFit="1" customWidth="1"/>
    <col min="6" max="6" width="6.69921875" style="2" customWidth="1"/>
    <col min="7" max="7" width="12.8984375" style="2" bestFit="1" customWidth="1"/>
    <col min="8" max="8" width="22.3984375" style="2" customWidth="1"/>
    <col min="9" max="9" width="6.296875" style="2" bestFit="1" customWidth="1"/>
    <col min="10" max="10" width="7.5" style="2" bestFit="1" customWidth="1"/>
    <col min="11" max="11" width="7.59765625" style="2" customWidth="1"/>
    <col min="12" max="12" width="11.3984375" style="2" customWidth="1"/>
    <col min="13" max="13" width="24.59765625" style="2" customWidth="1"/>
    <col min="14" max="14" width="13" style="2" bestFit="1" customWidth="1"/>
    <col min="15" max="15" width="8.296875" style="2" bestFit="1" customWidth="1"/>
    <col min="16" max="16" width="12.3984375" style="2" customWidth="1"/>
    <col min="17" max="17" width="23" style="2" customWidth="1"/>
    <col min="18" max="18" width="11.09765625" style="2" customWidth="1"/>
    <col min="19" max="19" width="8.296875" style="2" bestFit="1" customWidth="1"/>
    <col min="20" max="20" width="12.3984375" style="2" customWidth="1"/>
    <col min="21" max="21" width="17.09765625" style="2" customWidth="1"/>
    <col min="22" max="22" width="15" style="2" hidden="1" customWidth="1"/>
    <col min="23" max="23" width="8.09765625" style="2" customWidth="1"/>
    <col min="24" max="24" width="9.59765625" style="2" customWidth="1"/>
    <col min="25" max="16384" width="9" style="2"/>
  </cols>
  <sheetData>
    <row r="1" spans="1:25" s="1" customFormat="1" x14ac:dyDescent="0.3">
      <c r="A1" s="213" t="s">
        <v>0</v>
      </c>
      <c r="B1" s="343">
        <f>B5+B69+B100+B116</f>
        <v>50000000</v>
      </c>
      <c r="C1" s="411"/>
      <c r="D1" s="412"/>
      <c r="E1" s="412"/>
      <c r="F1" s="412"/>
      <c r="G1" s="412"/>
      <c r="H1" s="412"/>
      <c r="I1" s="412"/>
      <c r="J1" s="412"/>
      <c r="K1" s="412"/>
      <c r="L1" s="412"/>
      <c r="M1" s="412"/>
      <c r="N1" s="412"/>
      <c r="O1" s="412"/>
      <c r="P1" s="412"/>
      <c r="Q1" s="412"/>
      <c r="R1" s="412"/>
      <c r="S1" s="412"/>
      <c r="T1" s="412"/>
      <c r="U1" s="412"/>
      <c r="V1" s="412"/>
      <c r="W1" s="412"/>
      <c r="X1" s="412"/>
      <c r="Y1" s="215"/>
    </row>
    <row r="2" spans="1:25" s="1" customFormat="1" x14ac:dyDescent="0.3">
      <c r="A2" s="413" t="s">
        <v>1</v>
      </c>
      <c r="B2" s="414"/>
      <c r="C2" s="415" t="s">
        <v>2</v>
      </c>
      <c r="D2" s="416"/>
      <c r="E2" s="416"/>
      <c r="F2" s="216">
        <f>SUM(F7:F113)</f>
        <v>205</v>
      </c>
      <c r="G2" s="216">
        <f>SUM(G7:G113)</f>
        <v>10850960</v>
      </c>
      <c r="H2" s="415" t="s">
        <v>3</v>
      </c>
      <c r="I2" s="416"/>
      <c r="J2" s="416"/>
      <c r="K2" s="416"/>
      <c r="L2" s="416"/>
      <c r="M2" s="417" t="s">
        <v>4</v>
      </c>
      <c r="N2" s="418"/>
      <c r="O2" s="418"/>
      <c r="P2" s="418"/>
      <c r="Q2" s="417" t="s">
        <v>5</v>
      </c>
      <c r="R2" s="418"/>
      <c r="S2" s="418"/>
      <c r="T2" s="418"/>
      <c r="U2" s="417" t="s">
        <v>6</v>
      </c>
      <c r="V2" s="418"/>
      <c r="W2" s="418"/>
      <c r="X2" s="418"/>
      <c r="Y2" s="215"/>
    </row>
    <row r="3" spans="1:25" s="1" customFormat="1" x14ac:dyDescent="0.3">
      <c r="A3" s="413"/>
      <c r="B3" s="414"/>
      <c r="C3" s="416"/>
      <c r="D3" s="416"/>
      <c r="E3" s="416"/>
      <c r="F3" s="216">
        <v>0</v>
      </c>
      <c r="G3" s="216">
        <v>0</v>
      </c>
      <c r="H3" s="416"/>
      <c r="I3" s="416"/>
      <c r="J3" s="416"/>
      <c r="K3" s="416"/>
      <c r="L3" s="416"/>
      <c r="M3" s="217"/>
      <c r="N3" s="218"/>
      <c r="O3" s="218"/>
      <c r="P3" s="218"/>
      <c r="Q3" s="217"/>
      <c r="R3" s="218"/>
      <c r="S3" s="218"/>
      <c r="T3" s="218"/>
      <c r="U3" s="217"/>
      <c r="V3" s="218"/>
      <c r="W3" s="218"/>
      <c r="X3" s="218"/>
      <c r="Y3" s="215"/>
    </row>
    <row r="4" spans="1:25" s="1" customFormat="1" ht="43.2" x14ac:dyDescent="0.3">
      <c r="A4" s="414"/>
      <c r="B4" s="414"/>
      <c r="C4" s="219" t="s">
        <v>7</v>
      </c>
      <c r="D4" s="220" t="s">
        <v>8</v>
      </c>
      <c r="E4" s="220" t="s">
        <v>9</v>
      </c>
      <c r="F4" s="220" t="s">
        <v>10</v>
      </c>
      <c r="G4" s="219" t="s">
        <v>11</v>
      </c>
      <c r="H4" s="219" t="s">
        <v>7</v>
      </c>
      <c r="I4" s="220" t="s">
        <v>12</v>
      </c>
      <c r="J4" s="220" t="s">
        <v>9</v>
      </c>
      <c r="K4" s="220" t="s">
        <v>10</v>
      </c>
      <c r="L4" s="219" t="s">
        <v>11</v>
      </c>
      <c r="M4" s="219" t="s">
        <v>7</v>
      </c>
      <c r="N4" s="220" t="s">
        <v>12</v>
      </c>
      <c r="O4" s="219" t="s">
        <v>13</v>
      </c>
      <c r="P4" s="219" t="s">
        <v>11</v>
      </c>
      <c r="Q4" s="219" t="s">
        <v>7</v>
      </c>
      <c r="R4" s="220" t="s">
        <v>12</v>
      </c>
      <c r="S4" s="219" t="s">
        <v>13</v>
      </c>
      <c r="T4" s="219" t="s">
        <v>11</v>
      </c>
      <c r="U4" s="219" t="s">
        <v>7</v>
      </c>
      <c r="V4" s="220" t="s">
        <v>12</v>
      </c>
      <c r="W4" s="219" t="s">
        <v>14</v>
      </c>
      <c r="X4" s="219" t="s">
        <v>11</v>
      </c>
      <c r="Y4" s="215"/>
    </row>
    <row r="5" spans="1:25" s="1" customFormat="1" ht="16.2" customHeight="1" x14ac:dyDescent="0.3">
      <c r="A5" s="221" t="s">
        <v>15</v>
      </c>
      <c r="B5" s="214">
        <f>B6+B19+B43</f>
        <v>41366794.799999997</v>
      </c>
      <c r="C5" s="411" t="s">
        <v>16</v>
      </c>
      <c r="D5" s="412"/>
      <c r="E5" s="412"/>
      <c r="F5" s="412"/>
      <c r="G5" s="412"/>
      <c r="H5" s="412"/>
      <c r="I5" s="412"/>
      <c r="J5" s="412"/>
      <c r="K5" s="412"/>
      <c r="L5" s="412"/>
      <c r="M5" s="412"/>
      <c r="N5" s="412"/>
      <c r="O5" s="412"/>
      <c r="P5" s="412"/>
      <c r="Q5" s="412"/>
      <c r="R5" s="412"/>
      <c r="S5" s="412"/>
      <c r="T5" s="412"/>
      <c r="U5" s="412"/>
      <c r="V5" s="412"/>
      <c r="W5" s="412"/>
      <c r="X5" s="412"/>
      <c r="Y5" s="215"/>
    </row>
    <row r="6" spans="1:25" s="1" customFormat="1" ht="28.8" x14ac:dyDescent="0.3">
      <c r="A6" s="148" t="s">
        <v>17</v>
      </c>
      <c r="B6" s="149">
        <f>SUM(B7:B18)</f>
        <v>12263394.799999999</v>
      </c>
      <c r="C6" s="150"/>
      <c r="D6" s="150"/>
      <c r="E6" s="150"/>
      <c r="F6" s="150"/>
      <c r="G6" s="150"/>
      <c r="H6" s="150"/>
      <c r="I6" s="150"/>
      <c r="J6" s="150"/>
      <c r="K6" s="150"/>
      <c r="L6" s="150"/>
      <c r="M6" s="150"/>
      <c r="N6" s="150"/>
      <c r="O6" s="150"/>
      <c r="P6" s="150"/>
      <c r="Q6" s="150"/>
      <c r="R6" s="150"/>
      <c r="S6" s="150"/>
      <c r="T6" s="150"/>
      <c r="U6" s="150"/>
      <c r="V6" s="150"/>
      <c r="W6" s="150"/>
      <c r="X6" s="151"/>
      <c r="Y6" s="222" t="s">
        <v>18</v>
      </c>
    </row>
    <row r="7" spans="1:25" s="1" customFormat="1" ht="129.6" x14ac:dyDescent="0.3">
      <c r="A7" s="402" t="s">
        <v>19</v>
      </c>
      <c r="B7" s="398">
        <f>SUM(G7:G10)+SUM(L7:L10)+SUM(P7:P10)+SUM(T7:T10)+SUM(X7:X10)</f>
        <v>2481177.5999999996</v>
      </c>
      <c r="C7" s="223" t="s">
        <v>20</v>
      </c>
      <c r="D7" s="224">
        <f>Prices!D2</f>
        <v>16500</v>
      </c>
      <c r="E7" s="224">
        <v>4</v>
      </c>
      <c r="F7" s="224">
        <v>3</v>
      </c>
      <c r="G7" s="225">
        <f t="shared" ref="G7:G17" si="0">D7*E7*F7</f>
        <v>198000</v>
      </c>
      <c r="H7" s="226" t="s">
        <v>409</v>
      </c>
      <c r="I7" s="227">
        <f>Prices!D8</f>
        <v>4620</v>
      </c>
      <c r="J7" s="227">
        <v>6</v>
      </c>
      <c r="K7" s="227">
        <v>4</v>
      </c>
      <c r="L7" s="228">
        <f t="shared" ref="L7:L18" si="1">I7*J7*K7</f>
        <v>110880</v>
      </c>
      <c r="M7" s="223"/>
      <c r="N7" s="224"/>
      <c r="O7" s="224"/>
      <c r="P7" s="225">
        <f t="shared" ref="P7:P18" si="2">N7*O7</f>
        <v>0</v>
      </c>
      <c r="Q7" s="229"/>
      <c r="R7" s="227"/>
      <c r="S7" s="227"/>
      <c r="T7" s="228">
        <f t="shared" ref="T7:T18" si="3">R7*S7</f>
        <v>0</v>
      </c>
      <c r="U7" s="230"/>
      <c r="V7" s="224"/>
      <c r="W7" s="224"/>
      <c r="X7" s="225">
        <f t="shared" ref="X7:X18" si="4">V7*W7</f>
        <v>0</v>
      </c>
      <c r="Y7" s="215"/>
    </row>
    <row r="8" spans="1:25" s="215" customFormat="1" ht="43.2" x14ac:dyDescent="0.3">
      <c r="A8" s="402"/>
      <c r="B8" s="398"/>
      <c r="C8" s="223"/>
      <c r="D8" s="224"/>
      <c r="E8" s="224"/>
      <c r="F8" s="224"/>
      <c r="G8" s="225"/>
      <c r="H8" s="385" t="s">
        <v>453</v>
      </c>
      <c r="I8" s="231">
        <f>Prices!D4</f>
        <v>20354.399999999998</v>
      </c>
      <c r="J8" s="231">
        <v>4</v>
      </c>
      <c r="K8" s="231">
        <v>2</v>
      </c>
      <c r="L8" s="232">
        <f>I8*J8*K8</f>
        <v>162835.19999999998</v>
      </c>
      <c r="M8" s="223"/>
      <c r="N8" s="224"/>
      <c r="O8" s="224"/>
      <c r="P8" s="225"/>
      <c r="Q8" s="229"/>
      <c r="R8" s="227"/>
      <c r="S8" s="227"/>
      <c r="T8" s="228"/>
      <c r="U8" s="230"/>
      <c r="V8" s="224"/>
      <c r="W8" s="224"/>
      <c r="X8" s="225"/>
    </row>
    <row r="9" spans="1:25" s="215" customFormat="1" ht="144" x14ac:dyDescent="0.3">
      <c r="A9" s="402"/>
      <c r="B9" s="398"/>
      <c r="C9" s="223"/>
      <c r="D9" s="224"/>
      <c r="E9" s="224"/>
      <c r="F9" s="224"/>
      <c r="G9" s="225"/>
      <c r="H9" s="385" t="s">
        <v>454</v>
      </c>
      <c r="I9" s="231">
        <f>Prices!D4</f>
        <v>20354.399999999998</v>
      </c>
      <c r="J9" s="231">
        <v>24</v>
      </c>
      <c r="K9" s="231">
        <v>4</v>
      </c>
      <c r="L9" s="232">
        <f t="shared" ref="L9" si="5">I9*J9*K9</f>
        <v>1954022.3999999999</v>
      </c>
      <c r="M9" s="223"/>
      <c r="N9" s="224"/>
      <c r="O9" s="224"/>
      <c r="P9" s="225"/>
      <c r="Q9" s="229"/>
      <c r="R9" s="227"/>
      <c r="S9" s="227"/>
      <c r="T9" s="228"/>
      <c r="U9" s="230"/>
      <c r="V9" s="224"/>
      <c r="W9" s="224"/>
      <c r="X9" s="225"/>
    </row>
    <row r="10" spans="1:25" s="215" customFormat="1" ht="86.4" x14ac:dyDescent="0.3">
      <c r="A10" s="402"/>
      <c r="B10" s="398"/>
      <c r="C10" s="223"/>
      <c r="D10" s="224"/>
      <c r="E10" s="224"/>
      <c r="F10" s="224"/>
      <c r="G10" s="225"/>
      <c r="H10" s="342" t="s">
        <v>412</v>
      </c>
      <c r="I10" s="231">
        <f>Prices!D8</f>
        <v>4620</v>
      </c>
      <c r="J10" s="231">
        <v>3</v>
      </c>
      <c r="K10" s="231">
        <v>4</v>
      </c>
      <c r="L10" s="232">
        <f>I10*J10*K10</f>
        <v>55440</v>
      </c>
      <c r="M10" s="223"/>
      <c r="N10" s="224"/>
      <c r="O10" s="224"/>
      <c r="P10" s="225"/>
      <c r="Q10" s="229"/>
      <c r="R10" s="227"/>
      <c r="S10" s="227"/>
      <c r="T10" s="228"/>
      <c r="U10" s="230"/>
      <c r="V10" s="224"/>
      <c r="W10" s="224"/>
      <c r="X10" s="225"/>
    </row>
    <row r="11" spans="1:25" s="1" customFormat="1" ht="84.45" customHeight="1" x14ac:dyDescent="0.3">
      <c r="A11" s="402" t="s">
        <v>22</v>
      </c>
      <c r="B11" s="398">
        <f>SUM(G11:G12)+SUM(L11:L12)+SUM(P11:P12)+SUM(T11:T12)+SUM(X11:X12)</f>
        <v>587440</v>
      </c>
      <c r="C11" s="223" t="s">
        <v>23</v>
      </c>
      <c r="D11" s="224">
        <f>Prices!D5</f>
        <v>16500</v>
      </c>
      <c r="E11" s="224">
        <v>4</v>
      </c>
      <c r="F11" s="224">
        <v>2</v>
      </c>
      <c r="G11" s="225">
        <f t="shared" si="0"/>
        <v>132000</v>
      </c>
      <c r="H11" s="342"/>
      <c r="I11" s="231"/>
      <c r="J11" s="231"/>
      <c r="K11" s="231"/>
      <c r="L11" s="232">
        <f t="shared" si="1"/>
        <v>0</v>
      </c>
      <c r="M11" s="223"/>
      <c r="N11" s="224"/>
      <c r="O11" s="224"/>
      <c r="P11" s="225">
        <f t="shared" si="2"/>
        <v>0</v>
      </c>
      <c r="Q11" s="226" t="s">
        <v>24</v>
      </c>
      <c r="R11" s="227">
        <v>20000</v>
      </c>
      <c r="S11" s="227">
        <v>20</v>
      </c>
      <c r="T11" s="228">
        <f t="shared" si="3"/>
        <v>400000</v>
      </c>
      <c r="U11" s="230"/>
      <c r="V11" s="224"/>
      <c r="W11" s="224"/>
      <c r="X11" s="225">
        <f t="shared" si="4"/>
        <v>0</v>
      </c>
      <c r="Y11" s="215"/>
    </row>
    <row r="12" spans="1:25" s="1" customFormat="1" ht="28.8" x14ac:dyDescent="0.3">
      <c r="A12" s="403"/>
      <c r="B12" s="399"/>
      <c r="C12" s="223" t="s">
        <v>25</v>
      </c>
      <c r="D12" s="224">
        <f>Prices!B3</f>
        <v>3080</v>
      </c>
      <c r="E12" s="224">
        <v>6</v>
      </c>
      <c r="F12" s="224">
        <v>3</v>
      </c>
      <c r="G12" s="225">
        <f t="shared" si="0"/>
        <v>55440</v>
      </c>
      <c r="H12" s="342"/>
      <c r="I12" s="231"/>
      <c r="J12" s="231"/>
      <c r="K12" s="231"/>
      <c r="L12" s="232">
        <f t="shared" si="1"/>
        <v>0</v>
      </c>
      <c r="M12" s="223"/>
      <c r="N12" s="224"/>
      <c r="O12" s="224"/>
      <c r="P12" s="225">
        <f t="shared" si="2"/>
        <v>0</v>
      </c>
      <c r="Q12" s="226"/>
      <c r="R12" s="227"/>
      <c r="S12" s="227"/>
      <c r="T12" s="228">
        <f t="shared" si="3"/>
        <v>0</v>
      </c>
      <c r="U12" s="230"/>
      <c r="V12" s="224"/>
      <c r="W12" s="224"/>
      <c r="X12" s="225">
        <f t="shared" si="4"/>
        <v>0</v>
      </c>
      <c r="Y12" s="215"/>
    </row>
    <row r="13" spans="1:25" s="1" customFormat="1" ht="100.8" x14ac:dyDescent="0.3">
      <c r="A13" s="386" t="s">
        <v>26</v>
      </c>
      <c r="B13" s="389">
        <f>SUM(G13:G15)+SUM(L13:L15)+SUM(P13:P15)+SUM(T13:T15)+SUM(X13:X15)</f>
        <v>1495557.6</v>
      </c>
      <c r="C13" s="223"/>
      <c r="D13" s="224"/>
      <c r="E13" s="224"/>
      <c r="F13" s="224"/>
      <c r="G13" s="225">
        <f>D13*E13*F13</f>
        <v>0</v>
      </c>
      <c r="H13" s="342" t="s">
        <v>27</v>
      </c>
      <c r="I13" s="231">
        <f>Prices!D8</f>
        <v>4620</v>
      </c>
      <c r="J13" s="231">
        <v>36</v>
      </c>
      <c r="K13" s="231">
        <v>4</v>
      </c>
      <c r="L13" s="232">
        <f t="shared" si="1"/>
        <v>665280</v>
      </c>
      <c r="M13" s="223"/>
      <c r="N13" s="224"/>
      <c r="O13" s="224"/>
      <c r="P13" s="225">
        <f>N13*O13</f>
        <v>0</v>
      </c>
      <c r="Q13" s="226" t="s">
        <v>364</v>
      </c>
      <c r="R13" s="227">
        <v>20000</v>
      </c>
      <c r="S13" s="227">
        <v>10</v>
      </c>
      <c r="T13" s="228">
        <f>R13*S13</f>
        <v>200000</v>
      </c>
      <c r="U13" s="230"/>
      <c r="V13" s="224"/>
      <c r="W13" s="224"/>
      <c r="X13" s="225">
        <f>V13*W13</f>
        <v>0</v>
      </c>
      <c r="Y13" s="215"/>
    </row>
    <row r="14" spans="1:25" s="215" customFormat="1" ht="72" x14ac:dyDescent="0.3">
      <c r="A14" s="387"/>
      <c r="B14" s="390"/>
      <c r="C14" s="223"/>
      <c r="D14" s="224"/>
      <c r="E14" s="224"/>
      <c r="F14" s="224"/>
      <c r="G14" s="225"/>
      <c r="H14" s="342" t="s">
        <v>413</v>
      </c>
      <c r="I14" s="231">
        <f>Prices!D4</f>
        <v>20354.399999999998</v>
      </c>
      <c r="J14" s="231">
        <v>5</v>
      </c>
      <c r="K14" s="231">
        <v>5</v>
      </c>
      <c r="L14" s="232">
        <f>I14*J14*K14</f>
        <v>508859.99999999994</v>
      </c>
      <c r="M14" s="223"/>
      <c r="N14" s="224"/>
      <c r="O14" s="224"/>
      <c r="P14" s="225"/>
      <c r="Q14" s="226" t="s">
        <v>28</v>
      </c>
      <c r="R14" s="227">
        <v>20000</v>
      </c>
      <c r="S14" s="227">
        <v>2</v>
      </c>
      <c r="T14" s="228">
        <f>R14*S14</f>
        <v>40000</v>
      </c>
      <c r="U14" s="230"/>
      <c r="V14" s="224"/>
      <c r="W14" s="224"/>
      <c r="X14" s="225"/>
    </row>
    <row r="15" spans="1:25" s="16" customFormat="1" ht="87.6" customHeight="1" x14ac:dyDescent="0.3">
      <c r="A15" s="388"/>
      <c r="B15" s="391"/>
      <c r="C15" s="223"/>
      <c r="D15" s="224"/>
      <c r="E15" s="224"/>
      <c r="F15" s="224"/>
      <c r="G15" s="225"/>
      <c r="H15" s="342" t="s">
        <v>414</v>
      </c>
      <c r="I15" s="231">
        <f>Prices!D4</f>
        <v>20354.399999999998</v>
      </c>
      <c r="J15" s="231">
        <v>2</v>
      </c>
      <c r="K15" s="231">
        <v>2</v>
      </c>
      <c r="L15" s="232">
        <f>I15*J15*K15</f>
        <v>81417.599999999991</v>
      </c>
      <c r="M15" s="223"/>
      <c r="N15" s="224"/>
      <c r="O15" s="224"/>
      <c r="P15" s="225"/>
      <c r="Q15" s="226"/>
      <c r="R15" s="227"/>
      <c r="S15" s="227"/>
      <c r="T15" s="228"/>
      <c r="U15" s="230"/>
      <c r="V15" s="224"/>
      <c r="W15" s="224"/>
      <c r="X15" s="225"/>
      <c r="Y15" s="215"/>
    </row>
    <row r="16" spans="1:25" s="1" customFormat="1" ht="201.6" x14ac:dyDescent="0.3">
      <c r="A16" s="402" t="s">
        <v>447</v>
      </c>
      <c r="B16" s="398">
        <f>SUM(G16:G18)+SUM(L16:L18)+SUM(P16:P18)+SUM(T16:T18)+SUM(X16:X18)</f>
        <v>7699219.5999999996</v>
      </c>
      <c r="C16" s="233" t="s">
        <v>18</v>
      </c>
      <c r="D16" s="224"/>
      <c r="E16" s="224"/>
      <c r="F16" s="224"/>
      <c r="G16" s="225">
        <f t="shared" si="0"/>
        <v>0</v>
      </c>
      <c r="H16" s="342" t="s">
        <v>415</v>
      </c>
      <c r="I16" s="231">
        <f>Prices!D4</f>
        <v>20354.399999999998</v>
      </c>
      <c r="J16" s="231">
        <v>3</v>
      </c>
      <c r="K16" s="231">
        <v>3</v>
      </c>
      <c r="L16" s="232">
        <f t="shared" ref="L16" si="6">I16*J16*K16</f>
        <v>183189.59999999998</v>
      </c>
      <c r="M16" s="223" t="s">
        <v>18</v>
      </c>
      <c r="N16" s="224" t="s">
        <v>18</v>
      </c>
      <c r="O16" s="224" t="s">
        <v>18</v>
      </c>
      <c r="P16" s="225" t="s">
        <v>18</v>
      </c>
      <c r="Q16" s="342" t="s">
        <v>429</v>
      </c>
      <c r="R16" s="231">
        <v>27320</v>
      </c>
      <c r="S16" s="231">
        <v>230</v>
      </c>
      <c r="T16" s="231">
        <f t="shared" si="3"/>
        <v>6283600</v>
      </c>
      <c r="U16" s="230"/>
      <c r="V16" s="224"/>
      <c r="W16" s="224"/>
      <c r="X16" s="225">
        <f t="shared" si="4"/>
        <v>0</v>
      </c>
      <c r="Y16" s="215"/>
    </row>
    <row r="17" spans="1:25" s="1" customFormat="1" ht="72" x14ac:dyDescent="0.3">
      <c r="A17" s="403"/>
      <c r="B17" s="399"/>
      <c r="C17" s="223"/>
      <c r="D17" s="224"/>
      <c r="E17" s="224"/>
      <c r="F17" s="224"/>
      <c r="G17" s="225">
        <f t="shared" si="0"/>
        <v>0</v>
      </c>
      <c r="H17" s="342"/>
      <c r="I17" s="231"/>
      <c r="J17" s="231"/>
      <c r="K17" s="231"/>
      <c r="L17" s="232"/>
      <c r="M17" s="223"/>
      <c r="N17" s="224"/>
      <c r="O17" s="224"/>
      <c r="P17" s="225">
        <f t="shared" si="2"/>
        <v>0</v>
      </c>
      <c r="Q17" s="342" t="s">
        <v>410</v>
      </c>
      <c r="R17" s="231">
        <f>2300*1.3</f>
        <v>2990</v>
      </c>
      <c r="S17" s="231">
        <v>357</v>
      </c>
      <c r="T17" s="231">
        <f t="shared" si="3"/>
        <v>1067430</v>
      </c>
      <c r="U17" s="230"/>
      <c r="V17" s="224"/>
      <c r="W17" s="224"/>
      <c r="X17" s="225">
        <f t="shared" si="4"/>
        <v>0</v>
      </c>
      <c r="Y17" s="215"/>
    </row>
    <row r="18" spans="1:25" s="1" customFormat="1" ht="72" x14ac:dyDescent="0.3">
      <c r="A18" s="403"/>
      <c r="B18" s="399"/>
      <c r="C18" s="223"/>
      <c r="D18" s="224"/>
      <c r="E18" s="224"/>
      <c r="F18" s="224"/>
      <c r="G18" s="225"/>
      <c r="H18" s="234"/>
      <c r="I18" s="235"/>
      <c r="J18" s="227"/>
      <c r="K18" s="227"/>
      <c r="L18" s="228">
        <f t="shared" si="1"/>
        <v>0</v>
      </c>
      <c r="M18" s="223"/>
      <c r="N18" s="224"/>
      <c r="O18" s="224"/>
      <c r="P18" s="225">
        <f t="shared" si="2"/>
        <v>0</v>
      </c>
      <c r="Q18" s="226" t="s">
        <v>439</v>
      </c>
      <c r="R18" s="227">
        <f>1500+(6*300)</f>
        <v>3300</v>
      </c>
      <c r="S18" s="227">
        <v>50</v>
      </c>
      <c r="T18" s="228">
        <f t="shared" si="3"/>
        <v>165000</v>
      </c>
      <c r="U18" s="230"/>
      <c r="V18" s="224"/>
      <c r="W18" s="224"/>
      <c r="X18" s="225">
        <f t="shared" si="4"/>
        <v>0</v>
      </c>
      <c r="Y18" s="215"/>
    </row>
    <row r="19" spans="1:25" s="1" customFormat="1" ht="51.6" customHeight="1" x14ac:dyDescent="0.3">
      <c r="A19" s="148" t="s">
        <v>30</v>
      </c>
      <c r="B19" s="149">
        <f>SUM(B20:B42)</f>
        <v>7390200</v>
      </c>
      <c r="C19" s="150"/>
      <c r="D19" s="150"/>
      <c r="E19" s="150"/>
      <c r="F19" s="150"/>
      <c r="G19" s="150"/>
      <c r="H19" s="150"/>
      <c r="I19" s="150"/>
      <c r="J19" s="150"/>
      <c r="K19" s="150"/>
      <c r="L19" s="150"/>
      <c r="M19" s="150"/>
      <c r="N19" s="150"/>
      <c r="O19" s="150"/>
      <c r="P19" s="150"/>
      <c r="Q19" s="150"/>
      <c r="R19" s="150"/>
      <c r="S19" s="150"/>
      <c r="T19" s="150"/>
      <c r="U19" s="150"/>
      <c r="V19" s="150"/>
      <c r="W19" s="150"/>
      <c r="X19" s="151"/>
      <c r="Y19" s="215"/>
    </row>
    <row r="20" spans="1:25" s="1" customFormat="1" ht="115.2" x14ac:dyDescent="0.3">
      <c r="A20" s="402" t="s">
        <v>31</v>
      </c>
      <c r="B20" s="398">
        <f>SUM(G20:G22)+SUM(L20:L22)+SUM(P20:P22)+SUM(T20:T22)+SUM(X20:X22)</f>
        <v>1389680</v>
      </c>
      <c r="C20" s="223" t="s">
        <v>32</v>
      </c>
      <c r="D20" s="224">
        <f>Prices!D2</f>
        <v>16500</v>
      </c>
      <c r="E20" s="224">
        <v>8</v>
      </c>
      <c r="F20" s="224">
        <v>3</v>
      </c>
      <c r="G20" s="225">
        <f t="shared" ref="G20:G27" si="7">D20*E20*F20</f>
        <v>396000</v>
      </c>
      <c r="H20" s="236"/>
      <c r="I20" s="227"/>
      <c r="J20" s="227"/>
      <c r="K20" s="227"/>
      <c r="L20" s="228">
        <f>I20*J20*K20</f>
        <v>0</v>
      </c>
      <c r="M20" s="223"/>
      <c r="N20" s="224"/>
      <c r="O20" s="224"/>
      <c r="P20" s="225">
        <f>N20*O20</f>
        <v>0</v>
      </c>
      <c r="Q20" s="342" t="s">
        <v>416</v>
      </c>
      <c r="R20" s="231">
        <v>150000</v>
      </c>
      <c r="S20" s="231">
        <v>1</v>
      </c>
      <c r="T20" s="231">
        <f t="shared" ref="T20:T25" si="8">R20*S20</f>
        <v>150000</v>
      </c>
      <c r="U20" s="230"/>
      <c r="V20" s="224"/>
      <c r="W20" s="224"/>
      <c r="X20" s="225">
        <f>V20*W20</f>
        <v>0</v>
      </c>
    </row>
    <row r="21" spans="1:25" s="1" customFormat="1" ht="44.85" customHeight="1" x14ac:dyDescent="0.3">
      <c r="A21" s="403"/>
      <c r="B21" s="399"/>
      <c r="C21" s="223" t="s">
        <v>33</v>
      </c>
      <c r="D21" s="224">
        <f>Prices!B3</f>
        <v>3080</v>
      </c>
      <c r="E21" s="224">
        <v>8</v>
      </c>
      <c r="F21" s="224">
        <v>6</v>
      </c>
      <c r="G21" s="225">
        <f t="shared" si="7"/>
        <v>147840</v>
      </c>
      <c r="H21" s="237"/>
      <c r="I21" s="227"/>
      <c r="J21" s="227"/>
      <c r="K21" s="227"/>
      <c r="L21" s="228">
        <f>I21*J21*K21</f>
        <v>0</v>
      </c>
      <c r="M21" s="223"/>
      <c r="N21" s="224"/>
      <c r="O21" s="224"/>
      <c r="P21" s="225">
        <f>N21*O21</f>
        <v>0</v>
      </c>
      <c r="Q21" s="342" t="s">
        <v>34</v>
      </c>
      <c r="R21" s="231">
        <v>174000</v>
      </c>
      <c r="S21" s="231">
        <v>2</v>
      </c>
      <c r="T21" s="231">
        <f t="shared" si="8"/>
        <v>348000</v>
      </c>
      <c r="U21" s="230"/>
      <c r="V21" s="224"/>
      <c r="W21" s="224"/>
      <c r="X21" s="225">
        <f>V21*W21</f>
        <v>0</v>
      </c>
    </row>
    <row r="22" spans="1:25" s="6" customFormat="1" ht="103.2" customHeight="1" x14ac:dyDescent="0.3">
      <c r="A22" s="403"/>
      <c r="B22" s="399"/>
      <c r="C22" s="223" t="s">
        <v>35</v>
      </c>
      <c r="D22" s="224">
        <f>Prices!B3</f>
        <v>3080</v>
      </c>
      <c r="E22" s="224">
        <v>8</v>
      </c>
      <c r="F22" s="224">
        <v>6</v>
      </c>
      <c r="G22" s="225">
        <f t="shared" si="7"/>
        <v>147840</v>
      </c>
      <c r="H22" s="237"/>
      <c r="I22" s="227"/>
      <c r="J22" s="227"/>
      <c r="K22" s="227"/>
      <c r="L22" s="228"/>
      <c r="M22" s="223"/>
      <c r="N22" s="224"/>
      <c r="O22" s="224"/>
      <c r="P22" s="225"/>
      <c r="Q22" s="342" t="s">
        <v>411</v>
      </c>
      <c r="R22" s="231">
        <v>200000</v>
      </c>
      <c r="S22" s="231">
        <v>1</v>
      </c>
      <c r="T22" s="231">
        <f t="shared" si="8"/>
        <v>200000</v>
      </c>
      <c r="U22" s="230"/>
      <c r="V22" s="224"/>
      <c r="W22" s="224"/>
      <c r="X22" s="225"/>
    </row>
    <row r="23" spans="1:25" s="1" customFormat="1" ht="100.8" x14ac:dyDescent="0.3">
      <c r="A23" s="386" t="s">
        <v>36</v>
      </c>
      <c r="B23" s="392">
        <f>SUM(G23:G24)+SUM(L23:L24)+SUM(P23:P24)+SUM(T23:T24)+SUM(X23:X24)</f>
        <v>690000</v>
      </c>
      <c r="C23" s="223" t="s">
        <v>37</v>
      </c>
      <c r="D23" s="224">
        <f>Prices!D2</f>
        <v>16500</v>
      </c>
      <c r="E23" s="224">
        <v>6</v>
      </c>
      <c r="F23" s="224">
        <v>2</v>
      </c>
      <c r="G23" s="225">
        <f t="shared" si="7"/>
        <v>198000</v>
      </c>
      <c r="H23" s="215"/>
      <c r="I23" s="227"/>
      <c r="J23" s="227"/>
      <c r="K23" s="227"/>
      <c r="L23" s="228">
        <f>I23*J23*K23</f>
        <v>0</v>
      </c>
      <c r="M23" s="223"/>
      <c r="N23" s="224"/>
      <c r="O23" s="224"/>
      <c r="P23" s="225">
        <f>N23*O23</f>
        <v>0</v>
      </c>
      <c r="Q23" s="342" t="s">
        <v>38</v>
      </c>
      <c r="R23" s="231">
        <v>12000</v>
      </c>
      <c r="S23" s="231">
        <v>8</v>
      </c>
      <c r="T23" s="231">
        <f t="shared" si="8"/>
        <v>96000</v>
      </c>
      <c r="U23" s="230"/>
      <c r="V23" s="224"/>
      <c r="W23" s="224"/>
      <c r="X23" s="225">
        <f>V23*W23</f>
        <v>0</v>
      </c>
    </row>
    <row r="24" spans="1:25" s="1" customFormat="1" ht="43.2" x14ac:dyDescent="0.3">
      <c r="A24" s="387"/>
      <c r="B24" s="400"/>
      <c r="C24" s="223" t="s">
        <v>39</v>
      </c>
      <c r="D24" s="224">
        <f>Prices!D2</f>
        <v>16500</v>
      </c>
      <c r="E24" s="224">
        <v>6</v>
      </c>
      <c r="F24" s="224">
        <v>4</v>
      </c>
      <c r="G24" s="225">
        <f t="shared" si="7"/>
        <v>396000</v>
      </c>
      <c r="H24" s="237"/>
      <c r="I24" s="227"/>
      <c r="J24" s="227"/>
      <c r="K24" s="227"/>
      <c r="L24" s="228">
        <f>I24*J24*K24</f>
        <v>0</v>
      </c>
      <c r="M24" s="223"/>
      <c r="N24" s="224"/>
      <c r="O24" s="224"/>
      <c r="P24" s="225">
        <f>N24*O24</f>
        <v>0</v>
      </c>
      <c r="Q24" s="342"/>
      <c r="R24" s="231"/>
      <c r="S24" s="231"/>
      <c r="T24" s="231">
        <f t="shared" si="8"/>
        <v>0</v>
      </c>
      <c r="U24" s="230"/>
      <c r="V24" s="224"/>
      <c r="W24" s="224"/>
      <c r="X24" s="225">
        <f>V24*W24</f>
        <v>0</v>
      </c>
    </row>
    <row r="25" spans="1:25" s="1" customFormat="1" ht="100.8" x14ac:dyDescent="0.3">
      <c r="A25" s="402" t="s">
        <v>40</v>
      </c>
      <c r="B25" s="398">
        <f>SUM(G25:G27)+SUM(L25:L27)+SUM(P25:P27)+SUM(T25:T27)+SUM(X25:X27)</f>
        <v>693000</v>
      </c>
      <c r="C25" s="223" t="s">
        <v>455</v>
      </c>
      <c r="D25" s="224">
        <f>Prices!D2</f>
        <v>16500</v>
      </c>
      <c r="E25" s="224">
        <v>4</v>
      </c>
      <c r="F25" s="224">
        <v>2</v>
      </c>
      <c r="G25" s="225">
        <f t="shared" si="7"/>
        <v>132000</v>
      </c>
      <c r="H25" s="236"/>
      <c r="I25" s="227"/>
      <c r="J25" s="227"/>
      <c r="K25" s="227"/>
      <c r="L25" s="228">
        <f>I25*J25*K25</f>
        <v>0</v>
      </c>
      <c r="M25" s="238" t="s">
        <v>41</v>
      </c>
      <c r="N25" s="239">
        <v>16500</v>
      </c>
      <c r="O25" s="239">
        <v>10</v>
      </c>
      <c r="P25" s="225">
        <f>N25*O25</f>
        <v>165000</v>
      </c>
      <c r="Q25" s="342"/>
      <c r="R25" s="231"/>
      <c r="S25" s="231"/>
      <c r="T25" s="231">
        <f t="shared" si="8"/>
        <v>0</v>
      </c>
      <c r="U25" s="230"/>
      <c r="V25" s="224"/>
      <c r="W25" s="224"/>
      <c r="X25" s="225">
        <f>V25*W25</f>
        <v>0</v>
      </c>
    </row>
    <row r="26" spans="1:25" s="6" customFormat="1" ht="61.2" customHeight="1" x14ac:dyDescent="0.3">
      <c r="A26" s="402"/>
      <c r="B26" s="398"/>
      <c r="C26" s="223" t="s">
        <v>417</v>
      </c>
      <c r="D26" s="224">
        <v>16500</v>
      </c>
      <c r="E26" s="224">
        <v>4</v>
      </c>
      <c r="F26" s="224">
        <v>3</v>
      </c>
      <c r="G26" s="225">
        <f t="shared" si="7"/>
        <v>198000</v>
      </c>
      <c r="H26" s="237" t="s">
        <v>18</v>
      </c>
      <c r="I26" s="227"/>
      <c r="J26" s="227"/>
      <c r="K26" s="227"/>
      <c r="L26" s="228"/>
      <c r="M26" s="223"/>
      <c r="N26" s="224"/>
      <c r="O26" s="224"/>
      <c r="P26" s="225"/>
      <c r="Q26" s="342"/>
      <c r="R26" s="231"/>
      <c r="S26" s="231"/>
      <c r="T26" s="231"/>
      <c r="U26" s="230"/>
      <c r="V26" s="224"/>
      <c r="W26" s="224"/>
      <c r="X26" s="225"/>
    </row>
    <row r="27" spans="1:25" s="6" customFormat="1" ht="100.8" x14ac:dyDescent="0.3">
      <c r="A27" s="402"/>
      <c r="B27" s="398"/>
      <c r="C27" s="223" t="s">
        <v>442</v>
      </c>
      <c r="D27" s="224">
        <v>16500</v>
      </c>
      <c r="E27" s="224">
        <v>4</v>
      </c>
      <c r="F27" s="224">
        <v>3</v>
      </c>
      <c r="G27" s="225">
        <f t="shared" si="7"/>
        <v>198000</v>
      </c>
      <c r="H27" s="237"/>
      <c r="I27" s="227"/>
      <c r="J27" s="227"/>
      <c r="K27" s="227"/>
      <c r="L27" s="228"/>
      <c r="M27" s="223"/>
      <c r="N27" s="224"/>
      <c r="O27" s="224"/>
      <c r="P27" s="225"/>
      <c r="Q27" s="342" t="s">
        <v>441</v>
      </c>
      <c r="R27" s="231"/>
      <c r="S27" s="231"/>
      <c r="T27" s="231"/>
      <c r="U27" s="230"/>
      <c r="V27" s="224"/>
      <c r="W27" s="224"/>
      <c r="X27" s="225"/>
    </row>
    <row r="28" spans="1:25" s="1" customFormat="1" ht="172.8" x14ac:dyDescent="0.3">
      <c r="A28" s="402" t="s">
        <v>418</v>
      </c>
      <c r="B28" s="398">
        <f>SUM(G28:G30)+SUM(L28:L30)+SUM(P28:P30)+SUM(T28:T30)+SUM(X28:X30)</f>
        <v>1178280</v>
      </c>
      <c r="C28" s="223" t="s">
        <v>436</v>
      </c>
      <c r="D28" s="224">
        <f>Prices!D2</f>
        <v>16500</v>
      </c>
      <c r="E28" s="224">
        <v>6</v>
      </c>
      <c r="F28" s="224">
        <v>3</v>
      </c>
      <c r="G28" s="225">
        <f t="shared" ref="G28:G42" si="9">D28*E28*F28</f>
        <v>297000</v>
      </c>
      <c r="H28" s="241" t="s">
        <v>18</v>
      </c>
      <c r="I28" s="227"/>
      <c r="J28" s="227"/>
      <c r="K28" s="227"/>
      <c r="L28" s="228">
        <f>I28*J28*K28</f>
        <v>0</v>
      </c>
      <c r="M28" s="223"/>
      <c r="N28" s="224"/>
      <c r="O28" s="224"/>
      <c r="P28" s="225">
        <f>N28*O28</f>
        <v>0</v>
      </c>
      <c r="Q28" s="385" t="s">
        <v>456</v>
      </c>
      <c r="R28" s="231">
        <v>10000</v>
      </c>
      <c r="S28" s="231">
        <v>4</v>
      </c>
      <c r="T28" s="231">
        <f t="shared" ref="T28" si="10">R28*S28</f>
        <v>40000</v>
      </c>
      <c r="U28" s="230"/>
      <c r="V28" s="224"/>
      <c r="W28" s="224"/>
      <c r="X28" s="225">
        <f>V28*W28</f>
        <v>0</v>
      </c>
    </row>
    <row r="29" spans="1:25" s="1" customFormat="1" ht="28.8" x14ac:dyDescent="0.3">
      <c r="A29" s="402"/>
      <c r="B29" s="398"/>
      <c r="C29" s="223" t="s">
        <v>43</v>
      </c>
      <c r="D29" s="224">
        <f>Prices!B3</f>
        <v>3080</v>
      </c>
      <c r="E29" s="224">
        <v>4</v>
      </c>
      <c r="F29" s="224">
        <v>4</v>
      </c>
      <c r="G29" s="225">
        <f t="shared" si="9"/>
        <v>49280</v>
      </c>
      <c r="H29" s="242" t="s">
        <v>18</v>
      </c>
      <c r="I29" s="227"/>
      <c r="J29" s="227"/>
      <c r="K29" s="227"/>
      <c r="L29" s="228">
        <f>I29*J29*K29</f>
        <v>0</v>
      </c>
      <c r="M29" s="223"/>
      <c r="N29" s="224"/>
      <c r="O29" s="224"/>
      <c r="P29" s="225">
        <f>N29*O29</f>
        <v>0</v>
      </c>
      <c r="Q29" s="226"/>
      <c r="R29" s="227"/>
      <c r="S29" s="227"/>
      <c r="T29" s="228">
        <f>R29*S29</f>
        <v>0</v>
      </c>
      <c r="U29" s="230"/>
      <c r="V29" s="224"/>
      <c r="W29" s="224"/>
      <c r="X29" s="225">
        <f>V29*W29</f>
        <v>0</v>
      </c>
    </row>
    <row r="30" spans="1:25" s="1" customFormat="1" ht="67.5" customHeight="1" x14ac:dyDescent="0.3">
      <c r="A30" s="402"/>
      <c r="B30" s="399"/>
      <c r="C30" s="223" t="s">
        <v>44</v>
      </c>
      <c r="D30" s="224">
        <f>Prices!D2</f>
        <v>16500</v>
      </c>
      <c r="E30" s="224">
        <v>12</v>
      </c>
      <c r="F30" s="224">
        <v>4</v>
      </c>
      <c r="G30" s="225">
        <f t="shared" si="9"/>
        <v>792000</v>
      </c>
      <c r="H30" s="237"/>
      <c r="I30" s="227"/>
      <c r="J30" s="227"/>
      <c r="K30" s="227"/>
      <c r="L30" s="228">
        <f>I30*J30*K30</f>
        <v>0</v>
      </c>
      <c r="M30" s="223" t="s">
        <v>18</v>
      </c>
      <c r="N30" s="224" t="s">
        <v>18</v>
      </c>
      <c r="O30" s="224" t="s">
        <v>18</v>
      </c>
      <c r="P30" s="225" t="s">
        <v>18</v>
      </c>
      <c r="Q30" s="226"/>
      <c r="R30" s="227"/>
      <c r="S30" s="227"/>
      <c r="T30" s="228"/>
      <c r="U30" s="230"/>
      <c r="V30" s="224"/>
      <c r="W30" s="224"/>
      <c r="X30" s="225"/>
    </row>
    <row r="31" spans="1:25" s="1" customFormat="1" ht="87.75" customHeight="1" x14ac:dyDescent="0.3">
      <c r="A31" s="402" t="s">
        <v>45</v>
      </c>
      <c r="B31" s="398">
        <f>SUM(G31:G36)+SUM(L31:L36)+SUM(P31:P36)+SUM(T31:T36)+SUM(X31:X36)</f>
        <v>1373320</v>
      </c>
      <c r="C31" s="223" t="s">
        <v>432</v>
      </c>
      <c r="D31" s="224">
        <f>Prices!B3</f>
        <v>3080</v>
      </c>
      <c r="E31" s="224">
        <v>6</v>
      </c>
      <c r="F31" s="224">
        <v>1</v>
      </c>
      <c r="G31" s="225">
        <f t="shared" si="9"/>
        <v>18480</v>
      </c>
      <c r="H31" s="243" t="s">
        <v>18</v>
      </c>
      <c r="I31" s="235" t="s">
        <v>18</v>
      </c>
      <c r="J31" s="235"/>
      <c r="K31" s="235"/>
      <c r="L31" s="244" t="s">
        <v>18</v>
      </c>
      <c r="M31" s="340" t="s">
        <v>419</v>
      </c>
      <c r="N31" s="239">
        <v>150000</v>
      </c>
      <c r="O31" s="239">
        <v>1</v>
      </c>
      <c r="P31" s="240">
        <f>N31*O31</f>
        <v>150000</v>
      </c>
      <c r="Q31" s="341" t="s">
        <v>420</v>
      </c>
      <c r="R31" s="245">
        <v>0.25</v>
      </c>
      <c r="S31" s="231">
        <v>1000000</v>
      </c>
      <c r="T31" s="232">
        <f>R31*S31</f>
        <v>250000</v>
      </c>
      <c r="U31" s="230"/>
      <c r="V31" s="224"/>
      <c r="W31" s="224"/>
      <c r="X31" s="225">
        <f>V31*W31</f>
        <v>0</v>
      </c>
    </row>
    <row r="32" spans="1:25" s="1" customFormat="1" ht="129.6" x14ac:dyDescent="0.3">
      <c r="A32" s="402"/>
      <c r="B32" s="398"/>
      <c r="C32" s="223" t="s">
        <v>457</v>
      </c>
      <c r="D32" s="224">
        <f>Prices!D2</f>
        <v>16500</v>
      </c>
      <c r="E32" s="224">
        <v>6</v>
      </c>
      <c r="F32" s="224">
        <v>2</v>
      </c>
      <c r="G32" s="225">
        <f t="shared" si="9"/>
        <v>198000</v>
      </c>
      <c r="H32" s="237"/>
      <c r="I32" s="227"/>
      <c r="J32" s="227"/>
      <c r="K32" s="227"/>
      <c r="L32" s="228"/>
      <c r="M32" s="246"/>
      <c r="N32" s="247"/>
      <c r="O32" s="247"/>
      <c r="P32" s="248">
        <f>N32*O32</f>
        <v>0</v>
      </c>
      <c r="Q32" s="342"/>
      <c r="R32" s="231"/>
      <c r="S32" s="231"/>
      <c r="T32" s="231"/>
      <c r="U32" s="230"/>
      <c r="V32" s="224"/>
      <c r="W32" s="224"/>
      <c r="X32" s="225"/>
    </row>
    <row r="33" spans="1:31" s="1" customFormat="1" ht="13.2" customHeight="1" x14ac:dyDescent="0.3">
      <c r="A33" s="402"/>
      <c r="B33" s="398"/>
      <c r="C33" s="223"/>
      <c r="D33" s="224">
        <v>0</v>
      </c>
      <c r="E33" s="224">
        <v>0</v>
      </c>
      <c r="F33" s="224">
        <v>0</v>
      </c>
      <c r="G33" s="225">
        <f t="shared" si="9"/>
        <v>0</v>
      </c>
      <c r="M33" s="223"/>
      <c r="N33" s="224"/>
      <c r="O33" s="224"/>
      <c r="P33" s="225">
        <f>N33*O33</f>
        <v>0</v>
      </c>
      <c r="Q33" s="342" t="s">
        <v>431</v>
      </c>
      <c r="R33" s="231">
        <v>132000</v>
      </c>
      <c r="S33" s="231">
        <v>1</v>
      </c>
      <c r="T33" s="231">
        <f>R33*S33</f>
        <v>132000</v>
      </c>
      <c r="U33" s="230"/>
      <c r="V33" s="224"/>
      <c r="W33" s="224"/>
      <c r="X33" s="225">
        <f>V33*W33</f>
        <v>0</v>
      </c>
    </row>
    <row r="34" spans="1:31" s="6" customFormat="1" ht="43.2" x14ac:dyDescent="0.3">
      <c r="A34" s="402"/>
      <c r="B34" s="398"/>
      <c r="C34" s="223" t="s">
        <v>47</v>
      </c>
      <c r="D34" s="224">
        <f>Prices!B3</f>
        <v>3080</v>
      </c>
      <c r="E34" s="224">
        <v>8</v>
      </c>
      <c r="F34" s="224">
        <v>6</v>
      </c>
      <c r="G34" s="225">
        <f t="shared" si="9"/>
        <v>147840</v>
      </c>
      <c r="H34" s="237"/>
      <c r="I34" s="227"/>
      <c r="J34" s="227"/>
      <c r="K34" s="227"/>
      <c r="L34" s="228"/>
      <c r="M34" s="223"/>
      <c r="N34" s="224"/>
      <c r="O34" s="224"/>
      <c r="P34" s="225"/>
      <c r="Q34" s="342"/>
      <c r="R34" s="231"/>
      <c r="S34" s="231"/>
      <c r="T34" s="231"/>
      <c r="U34" s="230"/>
      <c r="V34" s="224"/>
      <c r="W34" s="224"/>
      <c r="X34" s="225"/>
    </row>
    <row r="35" spans="1:31" s="6" customFormat="1" ht="43.2" x14ac:dyDescent="0.3">
      <c r="A35" s="403"/>
      <c r="B35" s="399"/>
      <c r="C35" s="223" t="s">
        <v>434</v>
      </c>
      <c r="D35" s="224">
        <v>16500</v>
      </c>
      <c r="E35" s="224">
        <v>4</v>
      </c>
      <c r="F35" s="224">
        <v>4</v>
      </c>
      <c r="G35" s="225">
        <f>D35*E35*F35</f>
        <v>264000</v>
      </c>
      <c r="H35" s="215"/>
      <c r="I35" s="215"/>
      <c r="J35" s="215"/>
      <c r="K35" s="215"/>
      <c r="L35" s="228"/>
      <c r="M35" s="223"/>
      <c r="N35" s="224"/>
      <c r="O35" s="224"/>
      <c r="P35" s="225"/>
      <c r="Q35" s="342"/>
      <c r="R35" s="231"/>
      <c r="S35" s="231"/>
      <c r="T35" s="231"/>
      <c r="U35" s="230"/>
      <c r="V35" s="224"/>
      <c r="W35" s="224"/>
      <c r="X35" s="225"/>
    </row>
    <row r="36" spans="1:31" s="6" customFormat="1" ht="99.6" customHeight="1" x14ac:dyDescent="0.3">
      <c r="A36" s="403"/>
      <c r="B36" s="399"/>
      <c r="C36" s="223" t="s">
        <v>458</v>
      </c>
      <c r="D36" s="224">
        <v>16500</v>
      </c>
      <c r="E36" s="224">
        <v>3</v>
      </c>
      <c r="F36" s="224">
        <v>4</v>
      </c>
      <c r="G36" s="225">
        <f>D36*E36*F36</f>
        <v>198000</v>
      </c>
      <c r="H36" s="215"/>
      <c r="I36" s="215"/>
      <c r="J36" s="215"/>
      <c r="K36" s="215"/>
      <c r="L36" s="228"/>
      <c r="M36" s="223"/>
      <c r="N36" s="224"/>
      <c r="O36" s="224"/>
      <c r="P36" s="225"/>
      <c r="Q36" s="342" t="s">
        <v>433</v>
      </c>
      <c r="R36" s="231">
        <v>15000</v>
      </c>
      <c r="S36" s="231">
        <v>1</v>
      </c>
      <c r="T36" s="231">
        <f t="shared" ref="T36" si="11">R36*S36</f>
        <v>15000</v>
      </c>
      <c r="U36" s="230"/>
      <c r="V36" s="224"/>
      <c r="W36" s="224"/>
      <c r="X36" s="225"/>
      <c r="Y36" s="215"/>
      <c r="Z36" s="215"/>
      <c r="AA36" s="215"/>
      <c r="AB36" s="215"/>
      <c r="AC36" s="215"/>
      <c r="AD36" s="215"/>
      <c r="AE36" s="215"/>
    </row>
    <row r="37" spans="1:31" s="6" customFormat="1" ht="129.6" x14ac:dyDescent="0.3">
      <c r="A37" s="386" t="s">
        <v>48</v>
      </c>
      <c r="B37" s="392">
        <f xml:space="preserve"> SUM(G37:G42)+SUM(P38:P42)+SUM(T37:T42)+SUM(L37:L42)</f>
        <v>2065920</v>
      </c>
      <c r="C37" s="223" t="s">
        <v>435</v>
      </c>
      <c r="D37" s="224">
        <f>Prices!D2</f>
        <v>16500</v>
      </c>
      <c r="E37" s="224">
        <v>8</v>
      </c>
      <c r="F37" s="224">
        <v>6</v>
      </c>
      <c r="G37" s="225">
        <f>D37*E37*F37</f>
        <v>792000</v>
      </c>
      <c r="H37" s="236"/>
      <c r="I37" s="227"/>
      <c r="J37" s="227"/>
      <c r="K37" s="227"/>
      <c r="L37" s="228"/>
      <c r="M37" s="223"/>
      <c r="N37" s="224"/>
      <c r="O37" s="224"/>
      <c r="P37" s="225"/>
      <c r="Q37" s="342" t="s">
        <v>440</v>
      </c>
      <c r="R37" s="231">
        <v>525000</v>
      </c>
      <c r="S37" s="231">
        <v>1</v>
      </c>
      <c r="T37" s="231">
        <f>R37*S37</f>
        <v>525000</v>
      </c>
      <c r="U37" s="230"/>
      <c r="V37" s="224"/>
      <c r="W37" s="224"/>
      <c r="X37" s="225"/>
      <c r="Y37" s="215"/>
      <c r="Z37" s="215"/>
      <c r="AA37" s="215"/>
      <c r="AB37" s="215"/>
      <c r="AC37" s="215"/>
      <c r="AD37" s="215"/>
      <c r="AE37" s="215"/>
    </row>
    <row r="38" spans="1:31" s="6" customFormat="1" ht="57" customHeight="1" x14ac:dyDescent="0.3">
      <c r="A38" s="387"/>
      <c r="B38" s="393"/>
      <c r="C38" s="223" t="s">
        <v>421</v>
      </c>
      <c r="D38" s="224">
        <f>Prices!D5</f>
        <v>16500</v>
      </c>
      <c r="E38" s="224">
        <v>6</v>
      </c>
      <c r="F38" s="224">
        <v>2</v>
      </c>
      <c r="G38" s="225">
        <f>D38*E38*F38</f>
        <v>198000</v>
      </c>
      <c r="H38" s="249"/>
      <c r="I38" s="227"/>
      <c r="J38" s="227"/>
      <c r="K38" s="227"/>
      <c r="L38" s="228"/>
      <c r="M38" s="238" t="s">
        <v>50</v>
      </c>
      <c r="N38" s="239">
        <v>180000</v>
      </c>
      <c r="O38" s="239">
        <v>1</v>
      </c>
      <c r="P38" s="240">
        <f>N38*O38</f>
        <v>180000</v>
      </c>
      <c r="Q38" s="226"/>
      <c r="R38" s="227"/>
      <c r="S38" s="227"/>
      <c r="T38" s="228"/>
      <c r="U38" s="230"/>
      <c r="V38" s="224"/>
      <c r="W38" s="224"/>
      <c r="X38" s="225"/>
      <c r="Y38" s="215"/>
      <c r="Z38" s="215"/>
      <c r="AA38" s="215"/>
      <c r="AB38" s="215"/>
      <c r="AC38" s="215"/>
      <c r="AD38" s="215"/>
      <c r="AE38" s="215"/>
    </row>
    <row r="39" spans="1:31" s="1" customFormat="1" ht="68.849999999999994" customHeight="1" x14ac:dyDescent="0.3">
      <c r="A39" s="387"/>
      <c r="B39" s="393"/>
      <c r="C39" s="223" t="s">
        <v>437</v>
      </c>
      <c r="D39" s="224">
        <f>Prices!B3</f>
        <v>3080</v>
      </c>
      <c r="E39" s="224">
        <v>6</v>
      </c>
      <c r="F39" s="224">
        <v>4</v>
      </c>
      <c r="G39" s="225">
        <f t="shared" si="9"/>
        <v>73920</v>
      </c>
      <c r="H39" s="237"/>
      <c r="I39" s="227"/>
      <c r="J39" s="227"/>
      <c r="K39" s="227"/>
      <c r="L39" s="228">
        <f>I39*J39*K39</f>
        <v>0</v>
      </c>
      <c r="M39" s="223"/>
      <c r="N39" s="224"/>
      <c r="O39" s="224"/>
      <c r="P39" s="225"/>
      <c r="Q39" s="226"/>
      <c r="R39" s="227"/>
      <c r="S39" s="227"/>
      <c r="T39" s="228">
        <f>R39*S39</f>
        <v>0</v>
      </c>
      <c r="U39" s="230"/>
      <c r="V39" s="224"/>
      <c r="W39" s="224"/>
      <c r="X39" s="225">
        <f>V39*W39</f>
        <v>0</v>
      </c>
      <c r="Y39" s="215"/>
      <c r="Z39" s="215"/>
      <c r="AA39" s="215"/>
      <c r="AB39" s="215"/>
      <c r="AC39" s="215"/>
      <c r="AD39" s="215"/>
      <c r="AE39" s="215"/>
    </row>
    <row r="40" spans="1:31" s="1" customFormat="1" ht="86.85" customHeight="1" x14ac:dyDescent="0.3">
      <c r="A40" s="387"/>
      <c r="B40" s="393"/>
      <c r="C40" s="223" t="s">
        <v>438</v>
      </c>
      <c r="D40" s="224">
        <f>Prices!D2</f>
        <v>16500</v>
      </c>
      <c r="E40" s="224">
        <v>6</v>
      </c>
      <c r="F40" s="224">
        <v>3</v>
      </c>
      <c r="G40" s="225">
        <f t="shared" si="9"/>
        <v>297000</v>
      </c>
      <c r="H40" s="226"/>
      <c r="I40" s="227"/>
      <c r="J40" s="227"/>
      <c r="K40" s="227"/>
      <c r="L40" s="228">
        <f>I40*J40*K40</f>
        <v>0</v>
      </c>
      <c r="M40" s="223"/>
      <c r="N40" s="224"/>
      <c r="O40" s="224"/>
      <c r="P40" s="225"/>
      <c r="U40" s="230"/>
      <c r="V40" s="224"/>
      <c r="W40" s="224"/>
      <c r="X40" s="225">
        <f>V40*W40</f>
        <v>0</v>
      </c>
      <c r="Y40" s="215"/>
      <c r="Z40" s="215"/>
      <c r="AA40" s="215"/>
      <c r="AB40" s="215"/>
      <c r="AC40" s="215"/>
      <c r="AD40" s="215"/>
      <c r="AE40" s="215"/>
    </row>
    <row r="41" spans="1:31" s="1" customFormat="1" x14ac:dyDescent="0.3">
      <c r="A41" s="387"/>
      <c r="B41" s="393"/>
      <c r="C41" s="223"/>
      <c r="D41" s="224"/>
      <c r="E41" s="224"/>
      <c r="F41" s="224"/>
      <c r="G41" s="225"/>
      <c r="H41" s="237"/>
      <c r="I41" s="227"/>
      <c r="J41" s="227"/>
      <c r="K41" s="227"/>
      <c r="L41" s="228">
        <f>I41*J41*K41</f>
        <v>0</v>
      </c>
      <c r="M41" s="223"/>
      <c r="N41" s="224"/>
      <c r="O41" s="224"/>
      <c r="P41" s="225">
        <f>N41*O41</f>
        <v>0</v>
      </c>
      <c r="Q41" s="226"/>
      <c r="R41" s="227"/>
      <c r="S41" s="227"/>
      <c r="T41" s="228">
        <f>R41*S41</f>
        <v>0</v>
      </c>
      <c r="U41" s="230"/>
      <c r="V41" s="224"/>
      <c r="W41" s="224"/>
      <c r="X41" s="225">
        <f>V41*W41</f>
        <v>0</v>
      </c>
      <c r="Y41" s="215"/>
      <c r="Z41" s="215"/>
      <c r="AA41" s="215"/>
      <c r="AB41" s="215"/>
      <c r="AC41" s="215"/>
      <c r="AD41" s="215"/>
      <c r="AE41" s="215"/>
    </row>
    <row r="42" spans="1:31" s="1" customFormat="1" x14ac:dyDescent="0.3">
      <c r="A42" s="401"/>
      <c r="B42" s="400"/>
      <c r="C42" s="223"/>
      <c r="D42" s="224"/>
      <c r="E42" s="224"/>
      <c r="F42" s="224"/>
      <c r="G42" s="225">
        <f t="shared" si="9"/>
        <v>0</v>
      </c>
      <c r="H42" s="226"/>
      <c r="I42" s="227"/>
      <c r="J42" s="227"/>
      <c r="K42" s="227"/>
      <c r="L42" s="228">
        <f>I42*J42</f>
        <v>0</v>
      </c>
      <c r="M42" s="223"/>
      <c r="N42" s="224"/>
      <c r="O42" s="224"/>
      <c r="P42" s="225"/>
      <c r="Q42" s="226"/>
      <c r="R42" s="227"/>
      <c r="S42" s="227"/>
      <c r="T42" s="228"/>
      <c r="U42" s="230"/>
      <c r="V42" s="224"/>
      <c r="W42" s="224"/>
      <c r="X42" s="225"/>
      <c r="Y42" s="215"/>
      <c r="Z42" s="215"/>
      <c r="AA42" s="215"/>
      <c r="AB42" s="215"/>
      <c r="AC42" s="215"/>
      <c r="AD42" s="215"/>
      <c r="AE42" s="215"/>
    </row>
    <row r="43" spans="1:31" s="1" customFormat="1" ht="43.2" x14ac:dyDescent="0.3">
      <c r="A43" s="56" t="s">
        <v>52</v>
      </c>
      <c r="B43" s="149">
        <f>SUM(B44:B68)</f>
        <v>21713199.999999996</v>
      </c>
      <c r="C43" s="150"/>
      <c r="D43" s="150"/>
      <c r="E43" s="150"/>
      <c r="F43" s="150"/>
      <c r="G43" s="150"/>
      <c r="H43" s="150"/>
      <c r="I43" s="150"/>
      <c r="J43" s="150"/>
      <c r="K43" s="150"/>
      <c r="L43" s="150"/>
      <c r="M43" s="150"/>
      <c r="N43" s="150"/>
      <c r="O43" s="150"/>
      <c r="P43" s="150"/>
      <c r="Q43" s="150"/>
      <c r="R43" s="150"/>
      <c r="S43" s="150"/>
      <c r="T43" s="150"/>
      <c r="U43" s="150"/>
      <c r="V43" s="150"/>
      <c r="W43" s="150"/>
      <c r="X43" s="151"/>
      <c r="Y43" s="215"/>
      <c r="Z43" s="215"/>
      <c r="AA43" s="215"/>
      <c r="AB43" s="215"/>
      <c r="AC43" s="215"/>
      <c r="AD43" s="215"/>
      <c r="AE43" s="215"/>
    </row>
    <row r="44" spans="1:31" s="6" customFormat="1" ht="92.7" customHeight="1" x14ac:dyDescent="0.3">
      <c r="A44" s="386" t="s">
        <v>53</v>
      </c>
      <c r="B44" s="392">
        <f>SUM(G44:G45)+SUM(L44:L45)+SUM(P44:P44)+SUM(T44:T45)+SUM(X44:X45)</f>
        <v>166320</v>
      </c>
      <c r="C44" s="223"/>
      <c r="D44" s="224"/>
      <c r="E44" s="224"/>
      <c r="F44" s="224"/>
      <c r="G44" s="225">
        <f>D44*E44*F44</f>
        <v>0</v>
      </c>
      <c r="H44" s="236" t="s">
        <v>54</v>
      </c>
      <c r="I44" s="227">
        <f>Prices!D8</f>
        <v>4620</v>
      </c>
      <c r="J44" s="227">
        <v>4</v>
      </c>
      <c r="K44" s="227">
        <v>3</v>
      </c>
      <c r="L44" s="228">
        <f>I44*J44*K44</f>
        <v>55440</v>
      </c>
      <c r="M44" s="223"/>
      <c r="N44" s="224"/>
      <c r="O44" s="224"/>
      <c r="P44" s="225"/>
      <c r="Q44" s="226"/>
      <c r="R44" s="227"/>
      <c r="S44" s="227"/>
      <c r="T44" s="228"/>
      <c r="U44" s="230"/>
      <c r="V44" s="224"/>
      <c r="W44" s="224"/>
      <c r="X44" s="225"/>
      <c r="Y44" s="215"/>
      <c r="Z44" s="215"/>
      <c r="AA44" s="215"/>
      <c r="AB44" s="215"/>
      <c r="AC44" s="215"/>
      <c r="AD44" s="215"/>
      <c r="AE44" s="215"/>
    </row>
    <row r="45" spans="1:31" s="1" customFormat="1" ht="111" customHeight="1" x14ac:dyDescent="0.3">
      <c r="A45" s="401"/>
      <c r="B45" s="400"/>
      <c r="C45" s="223"/>
      <c r="D45" s="224"/>
      <c r="E45" s="224"/>
      <c r="F45" s="224"/>
      <c r="G45" s="225">
        <f>D45*E45*F45</f>
        <v>0</v>
      </c>
      <c r="H45" s="236" t="s">
        <v>55</v>
      </c>
      <c r="I45" s="227">
        <f>Prices!D8</f>
        <v>4620</v>
      </c>
      <c r="J45" s="227">
        <v>6</v>
      </c>
      <c r="K45" s="227">
        <v>4</v>
      </c>
      <c r="L45" s="228">
        <f>I45*J45*K45</f>
        <v>110880</v>
      </c>
      <c r="M45" s="223"/>
      <c r="N45" s="224"/>
      <c r="O45" s="224"/>
      <c r="P45" s="225"/>
      <c r="Q45" s="226"/>
      <c r="R45" s="227"/>
      <c r="S45" s="227"/>
      <c r="T45" s="228"/>
      <c r="U45" s="230"/>
      <c r="V45" s="224"/>
      <c r="W45" s="224"/>
      <c r="X45" s="225">
        <f>V45*W45</f>
        <v>0</v>
      </c>
      <c r="Y45" s="215"/>
      <c r="Z45" s="215"/>
      <c r="AA45" s="215"/>
      <c r="AB45" s="215"/>
      <c r="AC45" s="215"/>
      <c r="AD45" s="215"/>
      <c r="AE45" s="215"/>
    </row>
    <row r="46" spans="1:31" s="6" customFormat="1" ht="100.8" x14ac:dyDescent="0.3">
      <c r="A46" s="395" t="s">
        <v>56</v>
      </c>
      <c r="B46" s="398">
        <f>SUM(G46:G48)+SUM(L46:L48)+SUM(P46:P48)+SUM(T46:T48)+SUM(X46:X48)</f>
        <v>810880</v>
      </c>
      <c r="C46" s="223"/>
      <c r="D46" s="224"/>
      <c r="E46" s="224"/>
      <c r="F46" s="224"/>
      <c r="G46" s="225">
        <f>D46*E46*F46</f>
        <v>0</v>
      </c>
      <c r="H46" s="236" t="s">
        <v>57</v>
      </c>
      <c r="I46" s="227">
        <f>Prices!D8</f>
        <v>4620</v>
      </c>
      <c r="J46" s="227">
        <v>6</v>
      </c>
      <c r="K46" s="227">
        <v>4</v>
      </c>
      <c r="L46" s="228">
        <f>I46*J46*K46</f>
        <v>110880</v>
      </c>
      <c r="M46" s="223" t="s">
        <v>58</v>
      </c>
      <c r="N46" s="224">
        <v>250000</v>
      </c>
      <c r="O46" s="224">
        <v>1</v>
      </c>
      <c r="P46" s="225">
        <f>N46*O46</f>
        <v>250000</v>
      </c>
      <c r="Q46" s="226"/>
      <c r="R46" s="227"/>
      <c r="S46" s="227"/>
      <c r="T46" s="228"/>
      <c r="U46" s="230"/>
      <c r="V46" s="224"/>
      <c r="W46" s="224"/>
      <c r="X46" s="225"/>
      <c r="Y46" s="215"/>
      <c r="Z46" s="215"/>
      <c r="AA46" s="215"/>
      <c r="AB46" s="215"/>
      <c r="AC46" s="215"/>
      <c r="AD46" s="215"/>
      <c r="AE46" s="215"/>
    </row>
    <row r="47" spans="1:31" s="6" customFormat="1" ht="86.4" x14ac:dyDescent="0.3">
      <c r="A47" s="396"/>
      <c r="B47" s="398"/>
      <c r="C47" s="223"/>
      <c r="D47" s="224"/>
      <c r="E47" s="224"/>
      <c r="F47" s="224"/>
      <c r="G47" s="225"/>
      <c r="H47" s="236"/>
      <c r="I47" s="227"/>
      <c r="J47" s="227"/>
      <c r="K47" s="227"/>
      <c r="L47" s="228"/>
      <c r="M47" s="223" t="s">
        <v>59</v>
      </c>
      <c r="N47" s="224">
        <v>250000</v>
      </c>
      <c r="O47" s="224">
        <v>1</v>
      </c>
      <c r="P47" s="225">
        <f>N47*O47</f>
        <v>250000</v>
      </c>
      <c r="Q47" s="226"/>
      <c r="R47" s="227"/>
      <c r="S47" s="227"/>
      <c r="T47" s="228"/>
      <c r="U47" s="230"/>
      <c r="V47" s="224"/>
      <c r="W47" s="224"/>
      <c r="X47" s="225"/>
      <c r="Y47" s="215"/>
      <c r="Z47" s="215"/>
      <c r="AA47" s="215"/>
      <c r="AB47" s="215"/>
      <c r="AC47" s="215"/>
      <c r="AD47" s="215"/>
      <c r="AE47" s="215"/>
    </row>
    <row r="48" spans="1:31" s="6" customFormat="1" ht="96" customHeight="1" x14ac:dyDescent="0.3">
      <c r="A48" s="397"/>
      <c r="B48" s="399"/>
      <c r="C48" s="223"/>
      <c r="D48" s="224"/>
      <c r="E48" s="224"/>
      <c r="F48" s="224"/>
      <c r="G48" s="225"/>
      <c r="H48" s="236"/>
      <c r="I48" s="227"/>
      <c r="J48" s="227"/>
      <c r="K48" s="227"/>
      <c r="L48" s="228"/>
      <c r="M48" s="223" t="s">
        <v>60</v>
      </c>
      <c r="N48" s="225">
        <v>200000</v>
      </c>
      <c r="O48" s="225">
        <v>1</v>
      </c>
      <c r="P48" s="225">
        <f>N48*O48</f>
        <v>200000</v>
      </c>
      <c r="Q48" s="226"/>
      <c r="R48" s="227"/>
      <c r="S48" s="227"/>
      <c r="T48" s="228"/>
      <c r="U48" s="230"/>
      <c r="V48" s="224"/>
      <c r="W48" s="224"/>
      <c r="X48" s="225"/>
      <c r="Y48" s="215"/>
      <c r="Z48" s="215"/>
      <c r="AA48" s="215"/>
      <c r="AB48" s="215"/>
      <c r="AC48" s="215"/>
      <c r="AD48" s="215"/>
      <c r="AE48" s="215"/>
    </row>
    <row r="49" spans="1:31" s="6" customFormat="1" ht="115.2" x14ac:dyDescent="0.3">
      <c r="A49" s="250" t="s">
        <v>61</v>
      </c>
      <c r="B49" s="251">
        <f>SUM(G49:G49)+SUM(L49:L49)+SUM(T49:T49)+SUM(M49:P49)+SUM(X49:X49)</f>
        <v>500000</v>
      </c>
      <c r="C49" s="223"/>
      <c r="D49" s="224"/>
      <c r="E49" s="224"/>
      <c r="F49" s="224"/>
      <c r="G49" s="225"/>
      <c r="H49" s="236"/>
      <c r="I49" s="227"/>
      <c r="J49" s="227"/>
      <c r="K49" s="227"/>
      <c r="L49" s="228"/>
      <c r="M49" s="223"/>
      <c r="N49" s="225"/>
      <c r="O49" s="225"/>
      <c r="P49" s="225"/>
      <c r="Q49" s="226" t="s">
        <v>459</v>
      </c>
      <c r="R49" s="227">
        <v>500000</v>
      </c>
      <c r="S49" s="227">
        <v>1</v>
      </c>
      <c r="T49" s="228">
        <f>R49*S49</f>
        <v>500000</v>
      </c>
      <c r="U49" s="230"/>
      <c r="V49" s="224"/>
      <c r="W49" s="224"/>
      <c r="X49" s="225"/>
      <c r="Y49" s="215"/>
      <c r="Z49" s="215"/>
      <c r="AA49" s="215"/>
      <c r="AB49" s="215"/>
      <c r="AC49" s="215"/>
      <c r="AD49" s="215"/>
      <c r="AE49" s="215"/>
    </row>
    <row r="50" spans="1:31" s="1" customFormat="1" ht="86.4" x14ac:dyDescent="0.3">
      <c r="A50" s="386" t="s">
        <v>62</v>
      </c>
      <c r="B50" s="392">
        <f>SUM(G50:G52)+SUM(L50:L52)+SUM(P50:P52)+SUM(T50:T52)+SUM(X50:X52)</f>
        <v>397715.99999999994</v>
      </c>
      <c r="C50" s="223"/>
      <c r="D50" s="224"/>
      <c r="E50" s="224"/>
      <c r="F50" s="224"/>
      <c r="G50" s="225">
        <f>D50*E50*F50</f>
        <v>0</v>
      </c>
      <c r="H50" s="252" t="s">
        <v>63</v>
      </c>
      <c r="I50" s="227">
        <f>Prices!D4</f>
        <v>20354.399999999998</v>
      </c>
      <c r="J50" s="227">
        <v>5</v>
      </c>
      <c r="K50" s="227">
        <v>3</v>
      </c>
      <c r="L50" s="228">
        <f>I50*J50*K50</f>
        <v>305315.99999999994</v>
      </c>
      <c r="M50" s="223"/>
      <c r="N50" s="224"/>
      <c r="O50" s="224"/>
      <c r="P50" s="225">
        <f>N50*O50</f>
        <v>0</v>
      </c>
      <c r="Q50" s="226"/>
      <c r="R50" s="227"/>
      <c r="S50" s="227"/>
      <c r="T50" s="228">
        <f>R50*S50</f>
        <v>0</v>
      </c>
      <c r="U50" s="230"/>
      <c r="V50" s="224"/>
      <c r="W50" s="224"/>
      <c r="X50" s="225">
        <f>V50*W50</f>
        <v>0</v>
      </c>
      <c r="Y50" s="215"/>
      <c r="Z50" s="215"/>
      <c r="AA50" s="215"/>
      <c r="AB50" s="215"/>
      <c r="AC50" s="215"/>
      <c r="AD50" s="215"/>
      <c r="AE50" s="215"/>
    </row>
    <row r="51" spans="1:31" s="6" customFormat="1" ht="129.6" x14ac:dyDescent="0.3">
      <c r="A51" s="387"/>
      <c r="B51" s="393"/>
      <c r="C51" s="223"/>
      <c r="D51" s="224"/>
      <c r="E51" s="224"/>
      <c r="F51" s="224"/>
      <c r="G51" s="225">
        <f>D51*E51*F51</f>
        <v>0</v>
      </c>
      <c r="H51" s="236" t="s">
        <v>64</v>
      </c>
      <c r="I51" s="227">
        <f>Prices!D8</f>
        <v>4620</v>
      </c>
      <c r="J51" s="227">
        <v>4</v>
      </c>
      <c r="K51" s="227">
        <v>3</v>
      </c>
      <c r="L51" s="228">
        <f>I51*J51*K51</f>
        <v>55440</v>
      </c>
      <c r="M51" s="223"/>
      <c r="N51" s="224"/>
      <c r="O51" s="224"/>
      <c r="P51" s="225"/>
      <c r="Q51" s="226"/>
      <c r="R51" s="227"/>
      <c r="S51" s="227"/>
      <c r="T51" s="228"/>
      <c r="U51" s="230"/>
      <c r="V51" s="224"/>
      <c r="W51" s="224"/>
      <c r="X51" s="225"/>
      <c r="Y51" s="215"/>
      <c r="Z51" s="215"/>
      <c r="AA51" s="215"/>
      <c r="AB51" s="215"/>
      <c r="AC51" s="215"/>
      <c r="AD51" s="215"/>
      <c r="AE51" s="215"/>
    </row>
    <row r="52" spans="1:31" s="16" customFormat="1" ht="85.2" customHeight="1" x14ac:dyDescent="0.3">
      <c r="A52" s="388"/>
      <c r="B52" s="394"/>
      <c r="C52" s="223" t="s">
        <v>65</v>
      </c>
      <c r="D52" s="224">
        <f>Prices!B3</f>
        <v>3080</v>
      </c>
      <c r="E52" s="224">
        <v>4</v>
      </c>
      <c r="F52" s="224">
        <v>3</v>
      </c>
      <c r="G52" s="225">
        <f>D52*E52*F52</f>
        <v>36960</v>
      </c>
      <c r="H52" s="215"/>
      <c r="I52" s="215"/>
      <c r="J52" s="215"/>
      <c r="K52" s="215"/>
      <c r="L52" s="215"/>
      <c r="M52" s="223"/>
      <c r="N52" s="224"/>
      <c r="O52" s="224"/>
      <c r="P52" s="225"/>
      <c r="Q52" s="226"/>
      <c r="R52" s="227"/>
      <c r="S52" s="227"/>
      <c r="T52" s="228"/>
      <c r="U52" s="230"/>
      <c r="V52" s="224"/>
      <c r="W52" s="224"/>
      <c r="X52" s="225"/>
    </row>
    <row r="53" spans="1:31" s="6" customFormat="1" ht="180.45" customHeight="1" x14ac:dyDescent="0.3">
      <c r="A53" s="395" t="s">
        <v>366</v>
      </c>
      <c r="B53" s="398">
        <f>SUM(G53:G56)+SUM(L53:L56)+SUM(P53:P56)+SUM(T53:T56)+SUM(X53:X56)</f>
        <v>1867011.2</v>
      </c>
      <c r="C53" s="246"/>
      <c r="D53" s="247"/>
      <c r="E53" s="247"/>
      <c r="F53" s="247"/>
      <c r="G53" s="248"/>
      <c r="H53" s="236" t="s">
        <v>66</v>
      </c>
      <c r="I53" s="227">
        <f>[1]Prices!D4</f>
        <v>20354.399999999998</v>
      </c>
      <c r="J53" s="227">
        <v>16</v>
      </c>
      <c r="K53" s="227">
        <v>3</v>
      </c>
      <c r="L53" s="228">
        <f>I53*J53*K53</f>
        <v>977011.19999999995</v>
      </c>
      <c r="M53" s="223"/>
      <c r="N53" s="224"/>
      <c r="O53" s="224"/>
      <c r="P53" s="225"/>
      <c r="Q53" s="254" t="s">
        <v>68</v>
      </c>
      <c r="R53" s="227">
        <v>4000</v>
      </c>
      <c r="S53" s="227">
        <v>100</v>
      </c>
      <c r="T53" s="255">
        <f>R53*S53</f>
        <v>400000</v>
      </c>
      <c r="U53" s="230"/>
      <c r="V53" s="224"/>
      <c r="W53" s="224"/>
      <c r="X53" s="225"/>
    </row>
    <row r="54" spans="1:31" s="215" customFormat="1" ht="180.45" customHeight="1" x14ac:dyDescent="0.3">
      <c r="A54" s="409"/>
      <c r="B54" s="398"/>
      <c r="C54" s="246"/>
      <c r="D54" s="247"/>
      <c r="E54" s="247"/>
      <c r="F54" s="247"/>
      <c r="G54" s="248"/>
      <c r="H54" s="350"/>
      <c r="I54" s="227"/>
      <c r="J54" s="227"/>
      <c r="K54" s="227"/>
      <c r="L54" s="228"/>
      <c r="M54" s="223"/>
      <c r="N54" s="224"/>
      <c r="O54" s="224"/>
      <c r="P54" s="253"/>
      <c r="Q54" s="254" t="s">
        <v>67</v>
      </c>
      <c r="R54" s="227">
        <v>300000</v>
      </c>
      <c r="S54" s="227">
        <v>1</v>
      </c>
      <c r="T54" s="255">
        <f>R54*S54</f>
        <v>300000</v>
      </c>
      <c r="U54" s="230"/>
      <c r="V54" s="224"/>
      <c r="W54" s="224"/>
      <c r="X54" s="225"/>
    </row>
    <row r="55" spans="1:31" s="6" customFormat="1" ht="75.75" customHeight="1" x14ac:dyDescent="0.3">
      <c r="A55" s="396"/>
      <c r="B55" s="398"/>
      <c r="C55" s="246"/>
      <c r="D55" s="247"/>
      <c r="E55" s="247"/>
      <c r="F55" s="247"/>
      <c r="G55" s="248"/>
      <c r="H55" s="236"/>
      <c r="I55" s="227"/>
      <c r="J55" s="227"/>
      <c r="K55" s="227"/>
      <c r="L55" s="228"/>
      <c r="M55" s="246"/>
      <c r="N55" s="247"/>
      <c r="O55" s="247"/>
      <c r="P55" s="248"/>
      <c r="Q55" s="254" t="s">
        <v>69</v>
      </c>
      <c r="R55" s="227">
        <v>13000</v>
      </c>
      <c r="S55" s="227">
        <v>10</v>
      </c>
      <c r="T55" s="255">
        <f>R55*S55</f>
        <v>130000</v>
      </c>
      <c r="U55" s="230"/>
      <c r="V55" s="224"/>
      <c r="W55" s="224"/>
      <c r="X55" s="225"/>
    </row>
    <row r="56" spans="1:31" s="6" customFormat="1" ht="62.4" customHeight="1" x14ac:dyDescent="0.3">
      <c r="A56" s="397"/>
      <c r="B56" s="399"/>
      <c r="C56" s="246"/>
      <c r="D56" s="247"/>
      <c r="E56" s="247"/>
      <c r="F56" s="247"/>
      <c r="G56" s="248"/>
      <c r="H56" s="236"/>
      <c r="I56" s="227"/>
      <c r="J56" s="227"/>
      <c r="K56" s="227"/>
      <c r="L56" s="228"/>
      <c r="M56" s="246"/>
      <c r="N56" s="247"/>
      <c r="O56" s="247"/>
      <c r="P56" s="248"/>
      <c r="Q56" s="254" t="s">
        <v>70</v>
      </c>
      <c r="R56" s="227">
        <v>20000</v>
      </c>
      <c r="S56" s="227">
        <v>3</v>
      </c>
      <c r="T56" s="255">
        <f>R56*S56</f>
        <v>60000</v>
      </c>
      <c r="U56" s="230"/>
      <c r="V56" s="224"/>
      <c r="W56" s="224"/>
      <c r="X56" s="225"/>
    </row>
    <row r="57" spans="1:31" s="6" customFormat="1" ht="129.6" x14ac:dyDescent="0.3">
      <c r="A57" s="250" t="s">
        <v>71</v>
      </c>
      <c r="B57" s="251">
        <f>SUM(G57:G57)+SUM(L57:L57)+SUM(P57:P57)+SUM(T57:T57)+SUM(X57:X57)</f>
        <v>1020000</v>
      </c>
      <c r="C57" s="246"/>
      <c r="D57" s="247"/>
      <c r="E57" s="247"/>
      <c r="F57" s="247"/>
      <c r="G57" s="248"/>
      <c r="H57" s="236"/>
      <c r="I57" s="227"/>
      <c r="J57" s="227"/>
      <c r="K57" s="227"/>
      <c r="L57" s="228"/>
      <c r="M57" s="223" t="s">
        <v>72</v>
      </c>
      <c r="N57" s="224">
        <v>1000000</v>
      </c>
      <c r="O57" s="224">
        <v>1</v>
      </c>
      <c r="P57" s="253">
        <f>N57*O57</f>
        <v>1000000</v>
      </c>
      <c r="Q57" s="254" t="s">
        <v>73</v>
      </c>
      <c r="R57" s="227">
        <v>10000</v>
      </c>
      <c r="S57" s="227">
        <v>2</v>
      </c>
      <c r="T57" s="255">
        <f>R57*S57</f>
        <v>20000</v>
      </c>
      <c r="U57" s="230"/>
      <c r="V57" s="224"/>
      <c r="W57" s="224"/>
      <c r="X57" s="225"/>
    </row>
    <row r="58" spans="1:31" s="6" customFormat="1" ht="185.25" customHeight="1" x14ac:dyDescent="0.3">
      <c r="A58" s="395" t="s">
        <v>365</v>
      </c>
      <c r="B58" s="389">
        <f>SUM(G58:G59)+SUM(L58:L59)+SUM(P58:P59)+SUM(T58:T59)+SUM(X58:X59)</f>
        <v>351580</v>
      </c>
      <c r="C58" s="223" t="s">
        <v>18</v>
      </c>
      <c r="D58" s="224" t="s">
        <v>18</v>
      </c>
      <c r="E58" s="224" t="s">
        <v>18</v>
      </c>
      <c r="F58" s="224" t="s">
        <v>18</v>
      </c>
      <c r="G58" s="225" t="s">
        <v>18</v>
      </c>
      <c r="H58" s="236" t="s">
        <v>74</v>
      </c>
      <c r="I58" s="227">
        <f>Prices!D8</f>
        <v>4620</v>
      </c>
      <c r="J58" s="227">
        <v>3</v>
      </c>
      <c r="K58" s="227">
        <v>3</v>
      </c>
      <c r="L58" s="228">
        <f>I58*J58*K58</f>
        <v>41580</v>
      </c>
      <c r="M58" s="223" t="s">
        <v>75</v>
      </c>
      <c r="N58" s="224">
        <v>250000</v>
      </c>
      <c r="O58" s="224">
        <v>1</v>
      </c>
      <c r="P58" s="225">
        <f>N58*O58</f>
        <v>250000</v>
      </c>
      <c r="Q58" s="254"/>
      <c r="R58" s="227"/>
      <c r="S58" s="227"/>
      <c r="T58" s="255"/>
      <c r="U58" s="230"/>
      <c r="V58" s="224"/>
      <c r="W58" s="224"/>
      <c r="X58" s="225"/>
    </row>
    <row r="59" spans="1:31" s="6" customFormat="1" ht="61.35" customHeight="1" x14ac:dyDescent="0.3">
      <c r="A59" s="388"/>
      <c r="B59" s="410"/>
      <c r="C59" s="223"/>
      <c r="D59" s="224"/>
      <c r="E59" s="224"/>
      <c r="F59" s="224"/>
      <c r="G59" s="225"/>
      <c r="H59" s="236"/>
      <c r="I59" s="227"/>
      <c r="J59" s="227"/>
      <c r="K59" s="227"/>
      <c r="L59" s="228"/>
      <c r="M59" s="246"/>
      <c r="N59" s="247"/>
      <c r="O59" s="247"/>
      <c r="P59" s="248"/>
      <c r="Q59" s="226" t="s">
        <v>76</v>
      </c>
      <c r="R59" s="227">
        <v>20000</v>
      </c>
      <c r="S59" s="227">
        <v>3</v>
      </c>
      <c r="T59" s="228">
        <f>R59*S59</f>
        <v>60000</v>
      </c>
      <c r="U59" s="230"/>
      <c r="V59" s="224"/>
      <c r="W59" s="224"/>
      <c r="X59" s="225"/>
    </row>
    <row r="60" spans="1:31" s="6" customFormat="1" ht="94.5" customHeight="1" x14ac:dyDescent="0.3">
      <c r="A60" s="395" t="s">
        <v>77</v>
      </c>
      <c r="B60" s="392">
        <f>SUM(G60:G66)+SUM(L60:L66)+SUM(P60:P66)+SUM(T60:T66)+SUM(X60:X66)</f>
        <v>16305440</v>
      </c>
      <c r="C60" s="223"/>
      <c r="D60" s="224"/>
      <c r="E60" s="224"/>
      <c r="F60" s="224"/>
      <c r="G60" s="225"/>
      <c r="H60" s="236" t="s">
        <v>78</v>
      </c>
      <c r="I60" s="227">
        <f>Prices!D8</f>
        <v>4620</v>
      </c>
      <c r="J60" s="227">
        <v>4</v>
      </c>
      <c r="K60" s="227">
        <v>3</v>
      </c>
      <c r="L60" s="228">
        <f>I60*J60*K60</f>
        <v>55440</v>
      </c>
      <c r="M60" s="223" t="s">
        <v>460</v>
      </c>
      <c r="N60" s="224">
        <v>800000</v>
      </c>
      <c r="O60" s="224">
        <v>1</v>
      </c>
      <c r="P60" s="225">
        <f t="shared" ref="P60:P66" si="12">N60*O60</f>
        <v>800000</v>
      </c>
      <c r="Q60" s="226"/>
      <c r="R60" s="227"/>
      <c r="S60" s="227"/>
      <c r="T60" s="228"/>
      <c r="U60" s="230"/>
      <c r="V60" s="224"/>
      <c r="W60" s="224"/>
      <c r="X60" s="225"/>
    </row>
    <row r="61" spans="1:31" s="6" customFormat="1" ht="86.4" x14ac:dyDescent="0.3">
      <c r="A61" s="396"/>
      <c r="B61" s="393"/>
      <c r="C61" s="223"/>
      <c r="D61" s="224"/>
      <c r="E61" s="224"/>
      <c r="F61" s="224"/>
      <c r="G61" s="225"/>
      <c r="M61" s="223" t="s">
        <v>79</v>
      </c>
      <c r="N61" s="224">
        <v>1600000</v>
      </c>
      <c r="O61" s="224">
        <v>1</v>
      </c>
      <c r="P61" s="225">
        <f t="shared" si="12"/>
        <v>1600000</v>
      </c>
      <c r="Q61" s="226"/>
      <c r="R61" s="227"/>
      <c r="S61" s="227"/>
      <c r="T61" s="228"/>
      <c r="U61" s="230"/>
      <c r="V61" s="224"/>
      <c r="W61" s="224"/>
      <c r="X61" s="225"/>
    </row>
    <row r="62" spans="1:31" s="6" customFormat="1" ht="83.7" customHeight="1" x14ac:dyDescent="0.3">
      <c r="A62" s="396"/>
      <c r="B62" s="393"/>
      <c r="C62" s="223"/>
      <c r="D62" s="224"/>
      <c r="E62" s="224"/>
      <c r="F62" s="224"/>
      <c r="G62" s="225"/>
      <c r="H62" s="236"/>
      <c r="I62" s="227"/>
      <c r="J62" s="227"/>
      <c r="K62" s="227"/>
      <c r="L62" s="228"/>
      <c r="M62" s="223" t="s">
        <v>422</v>
      </c>
      <c r="N62" s="224">
        <v>8000000</v>
      </c>
      <c r="O62" s="224">
        <v>1</v>
      </c>
      <c r="P62" s="225">
        <f t="shared" si="12"/>
        <v>8000000</v>
      </c>
      <c r="Q62" s="226"/>
      <c r="R62" s="227"/>
      <c r="S62" s="227"/>
      <c r="T62" s="228"/>
      <c r="U62" s="230"/>
      <c r="V62" s="224"/>
      <c r="W62" s="224"/>
      <c r="X62" s="225"/>
    </row>
    <row r="63" spans="1:31" s="6" customFormat="1" ht="57.6" x14ac:dyDescent="0.3">
      <c r="A63" s="396"/>
      <c r="B63" s="393"/>
      <c r="C63" s="223"/>
      <c r="D63" s="224"/>
      <c r="E63" s="224"/>
      <c r="F63" s="224"/>
      <c r="G63" s="225"/>
      <c r="H63" s="236"/>
      <c r="I63" s="227"/>
      <c r="J63" s="227"/>
      <c r="K63" s="227"/>
      <c r="L63" s="228"/>
      <c r="M63" s="223" t="s">
        <v>80</v>
      </c>
      <c r="N63" s="224">
        <v>600000</v>
      </c>
      <c r="O63" s="224">
        <v>1</v>
      </c>
      <c r="P63" s="225">
        <f t="shared" si="12"/>
        <v>600000</v>
      </c>
      <c r="Q63" s="226"/>
      <c r="R63" s="227"/>
      <c r="S63" s="227"/>
      <c r="T63" s="228"/>
      <c r="U63" s="230"/>
      <c r="V63" s="224"/>
      <c r="W63" s="224"/>
      <c r="X63" s="225"/>
    </row>
    <row r="64" spans="1:31" s="6" customFormat="1" ht="172.8" x14ac:dyDescent="0.3">
      <c r="A64" s="396"/>
      <c r="B64" s="393"/>
      <c r="C64" s="223"/>
      <c r="D64" s="224"/>
      <c r="E64" s="224"/>
      <c r="F64" s="224"/>
      <c r="G64" s="225"/>
      <c r="H64" s="236"/>
      <c r="I64" s="227"/>
      <c r="J64" s="227"/>
      <c r="K64" s="227"/>
      <c r="L64" s="228"/>
      <c r="M64" s="223" t="s">
        <v>423</v>
      </c>
      <c r="N64" s="224">
        <v>3750000</v>
      </c>
      <c r="O64" s="224">
        <v>1</v>
      </c>
      <c r="P64" s="225">
        <f t="shared" si="12"/>
        <v>3750000</v>
      </c>
      <c r="Q64" s="226"/>
      <c r="R64" s="227"/>
      <c r="S64" s="227"/>
      <c r="T64" s="228"/>
      <c r="U64" s="230"/>
      <c r="V64" s="224"/>
      <c r="W64" s="224"/>
      <c r="X64" s="225"/>
    </row>
    <row r="65" spans="1:25" s="6" customFormat="1" ht="61.35" customHeight="1" x14ac:dyDescent="0.3">
      <c r="A65" s="396"/>
      <c r="B65" s="393"/>
      <c r="C65" s="223"/>
      <c r="D65" s="224"/>
      <c r="E65" s="224"/>
      <c r="F65" s="224"/>
      <c r="G65" s="225"/>
      <c r="H65" s="236"/>
      <c r="I65" s="227"/>
      <c r="J65" s="227"/>
      <c r="K65" s="227"/>
      <c r="L65" s="228"/>
      <c r="M65" s="223" t="s">
        <v>81</v>
      </c>
      <c r="N65" s="224">
        <v>800000</v>
      </c>
      <c r="O65" s="224">
        <v>1</v>
      </c>
      <c r="P65" s="225">
        <f t="shared" si="12"/>
        <v>800000</v>
      </c>
      <c r="Q65" s="226"/>
      <c r="R65" s="227"/>
      <c r="S65" s="227"/>
      <c r="T65" s="228"/>
      <c r="U65" s="230"/>
      <c r="V65" s="224"/>
      <c r="W65" s="224"/>
      <c r="X65" s="225"/>
    </row>
    <row r="66" spans="1:25" s="6" customFormat="1" ht="43.2" x14ac:dyDescent="0.3">
      <c r="A66" s="397"/>
      <c r="B66" s="393"/>
      <c r="C66" s="223"/>
      <c r="D66" s="224"/>
      <c r="E66" s="224"/>
      <c r="F66" s="224"/>
      <c r="G66" s="225"/>
      <c r="H66" s="236"/>
      <c r="I66" s="227"/>
      <c r="J66" s="227"/>
      <c r="K66" s="227"/>
      <c r="L66" s="228"/>
      <c r="M66" s="223" t="s">
        <v>82</v>
      </c>
      <c r="N66" s="224">
        <v>700000</v>
      </c>
      <c r="O66" s="224">
        <v>1</v>
      </c>
      <c r="P66" s="225">
        <f t="shared" si="12"/>
        <v>700000</v>
      </c>
      <c r="Q66" s="254"/>
      <c r="R66" s="227"/>
      <c r="S66" s="227"/>
      <c r="T66" s="255"/>
      <c r="U66" s="230"/>
      <c r="V66" s="224"/>
      <c r="W66" s="224"/>
      <c r="X66" s="225"/>
    </row>
    <row r="67" spans="1:25" s="6" customFormat="1" ht="93" customHeight="1" x14ac:dyDescent="0.3">
      <c r="A67" s="54" t="s">
        <v>83</v>
      </c>
      <c r="B67" s="251">
        <f>SUM(G67:G67)+SUM(L67:L67)+SUM(P67:P67)+SUM(T67:T67)+SUM(X67:X67)</f>
        <v>172126.4</v>
      </c>
      <c r="C67" s="223"/>
      <c r="D67" s="224"/>
      <c r="E67" s="224"/>
      <c r="F67" s="224"/>
      <c r="G67" s="225">
        <f>D67*E67*F67</f>
        <v>0</v>
      </c>
      <c r="H67" s="236" t="s">
        <v>84</v>
      </c>
      <c r="I67" s="227">
        <f>Prices!D4</f>
        <v>20354.399999999998</v>
      </c>
      <c r="J67" s="227">
        <v>3</v>
      </c>
      <c r="K67" s="227">
        <v>2</v>
      </c>
      <c r="L67" s="228">
        <f>I67*J67*K67</f>
        <v>122126.39999999999</v>
      </c>
      <c r="M67" s="223"/>
      <c r="N67" s="224"/>
      <c r="O67" s="224"/>
      <c r="P67" s="225"/>
      <c r="Q67" s="226" t="s">
        <v>85</v>
      </c>
      <c r="R67" s="227">
        <v>10000</v>
      </c>
      <c r="S67" s="227">
        <v>5</v>
      </c>
      <c r="T67" s="228">
        <f>R67*S67</f>
        <v>50000</v>
      </c>
      <c r="U67" s="230"/>
      <c r="V67" s="224"/>
      <c r="W67" s="224"/>
      <c r="X67" s="225"/>
    </row>
    <row r="68" spans="1:25" s="6" customFormat="1" ht="185.25" customHeight="1" x14ac:dyDescent="0.3">
      <c r="A68" s="250" t="s">
        <v>86</v>
      </c>
      <c r="B68" s="251">
        <f>SUM(G68:G68)+SUM(L68:L68)+SUM(P68:P68)+SUM(T68:T68)+SUM(X68:X68)</f>
        <v>122126.39999999999</v>
      </c>
      <c r="C68" s="223"/>
      <c r="D68" s="224"/>
      <c r="E68" s="224"/>
      <c r="F68" s="224"/>
      <c r="G68" s="225">
        <f>D68*E68*F68</f>
        <v>0</v>
      </c>
      <c r="H68" s="236" t="s">
        <v>87</v>
      </c>
      <c r="I68" s="227">
        <f>Prices!D4</f>
        <v>20354.399999999998</v>
      </c>
      <c r="J68" s="227">
        <v>3</v>
      </c>
      <c r="K68" s="227">
        <v>2</v>
      </c>
      <c r="L68" s="228">
        <f>I68*J68*K68</f>
        <v>122126.39999999999</v>
      </c>
      <c r="M68" s="224"/>
      <c r="N68" s="224"/>
      <c r="O68" s="224"/>
      <c r="P68" s="225"/>
      <c r="Q68" s="254"/>
      <c r="R68" s="227"/>
      <c r="S68" s="227"/>
      <c r="T68" s="255"/>
      <c r="U68" s="230"/>
      <c r="V68" s="224"/>
      <c r="W68" s="224"/>
      <c r="X68" s="225"/>
    </row>
    <row r="69" spans="1:25" s="1" customFormat="1" x14ac:dyDescent="0.3">
      <c r="A69" s="221" t="s">
        <v>88</v>
      </c>
      <c r="B69" s="214">
        <f>B70+B80</f>
        <v>5122105.2</v>
      </c>
      <c r="C69" s="411" t="s">
        <v>89</v>
      </c>
      <c r="D69" s="412"/>
      <c r="E69" s="412"/>
      <c r="F69" s="412"/>
      <c r="G69" s="412"/>
      <c r="H69" s="412"/>
      <c r="I69" s="412"/>
      <c r="J69" s="412"/>
      <c r="K69" s="412"/>
      <c r="L69" s="412"/>
      <c r="M69" s="412"/>
      <c r="N69" s="412"/>
      <c r="O69" s="412"/>
      <c r="P69" s="412"/>
      <c r="Q69" s="412"/>
      <c r="R69" s="412"/>
      <c r="S69" s="412"/>
      <c r="T69" s="412"/>
      <c r="U69" s="412"/>
      <c r="V69" s="412"/>
      <c r="W69" s="412"/>
      <c r="X69" s="412"/>
      <c r="Y69" s="215"/>
    </row>
    <row r="70" spans="1:25" s="1" customFormat="1" ht="31.5" customHeight="1" x14ac:dyDescent="0.3">
      <c r="A70" s="148" t="s">
        <v>90</v>
      </c>
      <c r="B70" s="149">
        <f>SUM(B71:B79)</f>
        <v>1083680</v>
      </c>
      <c r="C70" s="150"/>
      <c r="D70" s="150"/>
      <c r="E70" s="150"/>
      <c r="F70" s="150"/>
      <c r="G70" s="150"/>
      <c r="H70" s="150"/>
      <c r="I70" s="150"/>
      <c r="J70" s="150"/>
      <c r="K70" s="150"/>
      <c r="L70" s="150"/>
      <c r="M70" s="150"/>
      <c r="N70" s="150"/>
      <c r="O70" s="150"/>
      <c r="P70" s="150"/>
      <c r="Q70" s="150"/>
      <c r="R70" s="150"/>
      <c r="S70" s="150"/>
      <c r="T70" s="150"/>
      <c r="U70" s="150"/>
      <c r="V70" s="150"/>
      <c r="W70" s="150"/>
      <c r="X70" s="151"/>
      <c r="Y70" s="215"/>
    </row>
    <row r="71" spans="1:25" s="1" customFormat="1" ht="62.7" customHeight="1" x14ac:dyDescent="0.3">
      <c r="A71" s="404" t="s">
        <v>91</v>
      </c>
      <c r="B71" s="406">
        <f>SUM(G71:G74)+SUM(L71:L74)+SUM(P71:P74)+SUM(T71:T74)+SUM(X71:X74)</f>
        <v>258000</v>
      </c>
      <c r="C71" s="223" t="s">
        <v>92</v>
      </c>
      <c r="D71" s="224">
        <f>Prices!D2</f>
        <v>16500</v>
      </c>
      <c r="E71" s="224">
        <v>6</v>
      </c>
      <c r="F71" s="224">
        <v>1</v>
      </c>
      <c r="G71" s="225">
        <f t="shared" ref="G71:G79" si="13">D71*E71*F71</f>
        <v>99000</v>
      </c>
      <c r="H71" s="226"/>
      <c r="I71" s="227"/>
      <c r="J71" s="227"/>
      <c r="K71" s="227"/>
      <c r="L71" s="228">
        <f t="shared" ref="L71:L93" si="14">I71*J71*K71</f>
        <v>0</v>
      </c>
      <c r="M71" s="223" t="s">
        <v>93</v>
      </c>
      <c r="N71" s="224">
        <v>30000</v>
      </c>
      <c r="O71" s="224">
        <v>1</v>
      </c>
      <c r="P71" s="225">
        <f t="shared" ref="P71:P79" si="15">N71*O71</f>
        <v>30000</v>
      </c>
      <c r="Q71" s="226" t="s">
        <v>18</v>
      </c>
      <c r="R71" s="227"/>
      <c r="S71" s="227"/>
      <c r="T71" s="228">
        <f t="shared" ref="T71:T79" si="16">R71*S71</f>
        <v>0</v>
      </c>
      <c r="U71" s="230"/>
      <c r="V71" s="224"/>
      <c r="W71" s="224"/>
      <c r="X71" s="225">
        <f t="shared" ref="X71:X79" si="17">V71*W71</f>
        <v>0</v>
      </c>
      <c r="Y71" s="215"/>
    </row>
    <row r="72" spans="1:25" s="1" customFormat="1" ht="67.95" customHeight="1" x14ac:dyDescent="0.3">
      <c r="A72" s="404"/>
      <c r="B72" s="407"/>
      <c r="C72" s="223" t="s">
        <v>452</v>
      </c>
      <c r="D72" s="224">
        <f>Prices!D2</f>
        <v>16500</v>
      </c>
      <c r="E72" s="224">
        <v>3</v>
      </c>
      <c r="F72" s="224">
        <v>1</v>
      </c>
      <c r="G72" s="225">
        <f t="shared" si="13"/>
        <v>49500</v>
      </c>
      <c r="H72" s="226"/>
      <c r="I72" s="227"/>
      <c r="J72" s="227"/>
      <c r="K72" s="227"/>
      <c r="L72" s="228">
        <f t="shared" si="14"/>
        <v>0</v>
      </c>
      <c r="M72" s="223" t="s">
        <v>94</v>
      </c>
      <c r="N72" s="224">
        <v>30000</v>
      </c>
      <c r="O72" s="224">
        <v>1</v>
      </c>
      <c r="P72" s="225">
        <f t="shared" si="15"/>
        <v>30000</v>
      </c>
      <c r="Q72" s="226"/>
      <c r="R72" s="227"/>
      <c r="S72" s="227"/>
      <c r="T72" s="228">
        <f t="shared" si="16"/>
        <v>0</v>
      </c>
      <c r="U72" s="230"/>
      <c r="V72" s="224"/>
      <c r="W72" s="224"/>
      <c r="X72" s="225">
        <f t="shared" si="17"/>
        <v>0</v>
      </c>
      <c r="Y72" s="215"/>
    </row>
    <row r="73" spans="1:25" s="1" customFormat="1" ht="43.2" x14ac:dyDescent="0.3">
      <c r="A73" s="404"/>
      <c r="B73" s="407"/>
      <c r="C73" s="223" t="s">
        <v>95</v>
      </c>
      <c r="D73" s="224">
        <f>Prices!D2</f>
        <v>16500</v>
      </c>
      <c r="E73" s="224">
        <v>3</v>
      </c>
      <c r="F73" s="224">
        <v>1</v>
      </c>
      <c r="G73" s="225">
        <f t="shared" si="13"/>
        <v>49500</v>
      </c>
      <c r="H73" s="226"/>
      <c r="I73" s="227"/>
      <c r="J73" s="227"/>
      <c r="K73" s="227"/>
      <c r="L73" s="228">
        <f t="shared" si="14"/>
        <v>0</v>
      </c>
      <c r="M73" s="223"/>
      <c r="N73" s="224"/>
      <c r="O73" s="224"/>
      <c r="P73" s="225">
        <f t="shared" si="15"/>
        <v>0</v>
      </c>
      <c r="Q73" s="226"/>
      <c r="R73" s="227"/>
      <c r="S73" s="227"/>
      <c r="T73" s="228">
        <f t="shared" si="16"/>
        <v>0</v>
      </c>
      <c r="U73" s="230"/>
      <c r="V73" s="224"/>
      <c r="W73" s="224"/>
      <c r="X73" s="225">
        <f t="shared" si="17"/>
        <v>0</v>
      </c>
      <c r="Y73" s="215"/>
    </row>
    <row r="74" spans="1:25" s="1" customFormat="1" ht="15" customHeight="1" x14ac:dyDescent="0.3">
      <c r="A74" s="404"/>
      <c r="B74" s="408"/>
      <c r="C74" s="223"/>
      <c r="D74" s="224"/>
      <c r="E74" s="224"/>
      <c r="F74" s="224"/>
      <c r="G74" s="225">
        <f t="shared" si="13"/>
        <v>0</v>
      </c>
      <c r="H74" s="226"/>
      <c r="I74" s="227"/>
      <c r="J74" s="227"/>
      <c r="K74" s="227"/>
      <c r="L74" s="228">
        <f t="shared" si="14"/>
        <v>0</v>
      </c>
      <c r="M74" s="223"/>
      <c r="N74" s="224"/>
      <c r="O74" s="224"/>
      <c r="P74" s="225">
        <f t="shared" si="15"/>
        <v>0</v>
      </c>
      <c r="Q74" s="226"/>
      <c r="R74" s="227"/>
      <c r="S74" s="227"/>
      <c r="T74" s="228">
        <f t="shared" si="16"/>
        <v>0</v>
      </c>
      <c r="U74" s="230"/>
      <c r="V74" s="224"/>
      <c r="W74" s="224"/>
      <c r="X74" s="225">
        <f t="shared" si="17"/>
        <v>0</v>
      </c>
      <c r="Y74" s="215"/>
    </row>
    <row r="75" spans="1:25" s="1" customFormat="1" ht="43.2" x14ac:dyDescent="0.3">
      <c r="A75" s="404" t="s">
        <v>96</v>
      </c>
      <c r="B75" s="406">
        <f>SUM(G75:G77)+SUM(L75:L77)+SUM(P75:P77)+SUM(T75:T77)+SUM(X75:X77)</f>
        <v>593680</v>
      </c>
      <c r="C75" s="223" t="s">
        <v>97</v>
      </c>
      <c r="D75" s="224">
        <f>Prices!D2</f>
        <v>16500</v>
      </c>
      <c r="E75" s="224">
        <v>6</v>
      </c>
      <c r="F75" s="224">
        <v>2</v>
      </c>
      <c r="G75" s="225">
        <f t="shared" si="13"/>
        <v>198000</v>
      </c>
      <c r="H75" s="226"/>
      <c r="I75" s="227"/>
      <c r="J75" s="227"/>
      <c r="K75" s="227"/>
      <c r="L75" s="228">
        <f t="shared" si="14"/>
        <v>0</v>
      </c>
      <c r="M75" s="223" t="s">
        <v>98</v>
      </c>
      <c r="N75" s="224">
        <v>100000</v>
      </c>
      <c r="O75" s="224">
        <v>1</v>
      </c>
      <c r="P75" s="225">
        <f t="shared" si="15"/>
        <v>100000</v>
      </c>
      <c r="Q75" s="226"/>
      <c r="R75" s="227"/>
      <c r="S75" s="227"/>
      <c r="T75" s="228">
        <f t="shared" si="16"/>
        <v>0</v>
      </c>
      <c r="U75" s="230"/>
      <c r="V75" s="224"/>
      <c r="W75" s="224"/>
      <c r="X75" s="225">
        <f t="shared" si="17"/>
        <v>0</v>
      </c>
      <c r="Y75" s="215"/>
    </row>
    <row r="76" spans="1:25" s="1" customFormat="1" ht="86.4" x14ac:dyDescent="0.3">
      <c r="A76" s="404"/>
      <c r="B76" s="407"/>
      <c r="C76" s="223" t="s">
        <v>99</v>
      </c>
      <c r="D76" s="224">
        <f>Prices!B3</f>
        <v>3080</v>
      </c>
      <c r="E76" s="224">
        <v>12</v>
      </c>
      <c r="F76" s="224">
        <v>8</v>
      </c>
      <c r="G76" s="225">
        <f t="shared" si="13"/>
        <v>295680</v>
      </c>
      <c r="H76" s="226"/>
      <c r="I76" s="227"/>
      <c r="J76" s="227"/>
      <c r="K76" s="227"/>
      <c r="L76" s="228">
        <f t="shared" si="14"/>
        <v>0</v>
      </c>
      <c r="M76" s="223"/>
      <c r="N76" s="224"/>
      <c r="O76" s="224"/>
      <c r="P76" s="225">
        <f t="shared" si="15"/>
        <v>0</v>
      </c>
      <c r="Q76" s="226"/>
      <c r="R76" s="227"/>
      <c r="S76" s="227"/>
      <c r="T76" s="228">
        <f t="shared" si="16"/>
        <v>0</v>
      </c>
      <c r="U76" s="230"/>
      <c r="V76" s="224"/>
      <c r="W76" s="224"/>
      <c r="X76" s="225">
        <f t="shared" si="17"/>
        <v>0</v>
      </c>
      <c r="Y76" s="215"/>
    </row>
    <row r="77" spans="1:25" s="1" customFormat="1" x14ac:dyDescent="0.3">
      <c r="A77" s="404"/>
      <c r="B77" s="407"/>
      <c r="C77" s="223"/>
      <c r="D77" s="224"/>
      <c r="E77" s="224"/>
      <c r="F77" s="224"/>
      <c r="G77" s="225">
        <f t="shared" si="13"/>
        <v>0</v>
      </c>
      <c r="H77" s="226"/>
      <c r="I77" s="227"/>
      <c r="J77" s="227"/>
      <c r="K77" s="227"/>
      <c r="L77" s="228">
        <f t="shared" si="14"/>
        <v>0</v>
      </c>
      <c r="M77" s="223"/>
      <c r="N77" s="224"/>
      <c r="O77" s="224"/>
      <c r="P77" s="225">
        <f t="shared" si="15"/>
        <v>0</v>
      </c>
      <c r="Q77" s="226"/>
      <c r="R77" s="227"/>
      <c r="S77" s="227"/>
      <c r="T77" s="228">
        <f t="shared" si="16"/>
        <v>0</v>
      </c>
      <c r="U77" s="230"/>
      <c r="V77" s="224"/>
      <c r="W77" s="224"/>
      <c r="X77" s="225">
        <f t="shared" si="17"/>
        <v>0</v>
      </c>
      <c r="Y77" s="215"/>
    </row>
    <row r="78" spans="1:25" s="1" customFormat="1" ht="57.6" x14ac:dyDescent="0.3">
      <c r="A78" s="404" t="s">
        <v>100</v>
      </c>
      <c r="B78" s="406">
        <f>SUM(G78:G79)+SUM(L78:L79)+SUM(P78:P79)+SUM(T78:T79)+SUM(X78:X79)</f>
        <v>232000</v>
      </c>
      <c r="C78" s="223" t="s">
        <v>101</v>
      </c>
      <c r="D78" s="224">
        <f>Prices!D2</f>
        <v>16500</v>
      </c>
      <c r="E78" s="224">
        <v>4</v>
      </c>
      <c r="F78" s="224">
        <v>2</v>
      </c>
      <c r="G78" s="225">
        <f t="shared" si="13"/>
        <v>132000</v>
      </c>
      <c r="H78" s="226"/>
      <c r="I78" s="227"/>
      <c r="J78" s="227"/>
      <c r="K78" s="227"/>
      <c r="L78" s="228">
        <f t="shared" si="14"/>
        <v>0</v>
      </c>
      <c r="M78" s="223" t="s">
        <v>102</v>
      </c>
      <c r="N78" s="224">
        <v>100000</v>
      </c>
      <c r="O78" s="224">
        <v>1</v>
      </c>
      <c r="P78" s="225">
        <f t="shared" si="15"/>
        <v>100000</v>
      </c>
      <c r="Q78" s="226"/>
      <c r="R78" s="227"/>
      <c r="S78" s="227"/>
      <c r="T78" s="228">
        <f t="shared" si="16"/>
        <v>0</v>
      </c>
      <c r="U78" s="230"/>
      <c r="V78" s="224"/>
      <c r="W78" s="224"/>
      <c r="X78" s="225">
        <f t="shared" si="17"/>
        <v>0</v>
      </c>
      <c r="Y78" s="215"/>
    </row>
    <row r="79" spans="1:25" s="1" customFormat="1" ht="31.5" customHeight="1" thickBot="1" x14ac:dyDescent="0.35">
      <c r="A79" s="405"/>
      <c r="B79" s="407"/>
      <c r="C79" s="152"/>
      <c r="D79" s="30"/>
      <c r="E79" s="30"/>
      <c r="F79" s="30"/>
      <c r="G79" s="31">
        <f t="shared" si="13"/>
        <v>0</v>
      </c>
      <c r="H79" s="32"/>
      <c r="I79" s="33"/>
      <c r="J79" s="33"/>
      <c r="K79" s="33"/>
      <c r="L79" s="34">
        <f t="shared" si="14"/>
        <v>0</v>
      </c>
      <c r="M79" s="152"/>
      <c r="N79" s="30"/>
      <c r="O79" s="30"/>
      <c r="P79" s="31">
        <f t="shared" si="15"/>
        <v>0</v>
      </c>
      <c r="Q79" s="32"/>
      <c r="R79" s="33"/>
      <c r="S79" s="33"/>
      <c r="T79" s="34">
        <f t="shared" si="16"/>
        <v>0</v>
      </c>
      <c r="U79" s="35"/>
      <c r="V79" s="30"/>
      <c r="W79" s="30"/>
      <c r="X79" s="31">
        <f t="shared" si="17"/>
        <v>0</v>
      </c>
      <c r="Y79" s="215"/>
    </row>
    <row r="80" spans="1:25" s="1" customFormat="1" ht="58.2" thickBot="1" x14ac:dyDescent="0.35">
      <c r="A80" s="57" t="s">
        <v>103</v>
      </c>
      <c r="B80" s="43">
        <f>SUM(B81:B99)</f>
        <v>4038425.2</v>
      </c>
      <c r="C80" s="44"/>
      <c r="D80" s="44"/>
      <c r="E80" s="44"/>
      <c r="F80" s="44"/>
      <c r="G80" s="44"/>
      <c r="H80" s="44"/>
      <c r="I80" s="44"/>
      <c r="J80" s="44"/>
      <c r="K80" s="44"/>
      <c r="L80" s="44"/>
      <c r="M80" s="44"/>
      <c r="N80" s="44"/>
      <c r="O80" s="44"/>
      <c r="P80" s="44"/>
      <c r="Q80" s="44"/>
      <c r="R80" s="44"/>
      <c r="S80" s="44"/>
      <c r="T80" s="44"/>
      <c r="U80" s="44"/>
      <c r="V80" s="44"/>
      <c r="W80" s="44"/>
      <c r="X80" s="45"/>
      <c r="Y80" s="29"/>
    </row>
    <row r="81" spans="1:31" s="1" customFormat="1" ht="90" customHeight="1" x14ac:dyDescent="0.3">
      <c r="A81" s="405" t="s">
        <v>104</v>
      </c>
      <c r="B81" s="389">
        <f>SUM(G81:G85)++SUM(L81:L85)+SUM(P81:P85)+SUM(T81:T85)+SUM(X81:X82)</f>
        <v>1114635.2</v>
      </c>
      <c r="C81" s="256" t="s">
        <v>105</v>
      </c>
      <c r="D81" s="256">
        <f>Prices!D2</f>
        <v>16500</v>
      </c>
      <c r="E81" s="256">
        <v>6</v>
      </c>
      <c r="F81" s="256">
        <v>2</v>
      </c>
      <c r="G81" s="257">
        <f>D81*E81*F81</f>
        <v>198000</v>
      </c>
      <c r="H81" s="226" t="s">
        <v>106</v>
      </c>
      <c r="I81" s="227">
        <f>Prices!D4</f>
        <v>20354.399999999998</v>
      </c>
      <c r="J81" s="227">
        <v>4</v>
      </c>
      <c r="K81" s="227">
        <v>2</v>
      </c>
      <c r="L81" s="228">
        <f t="shared" si="14"/>
        <v>162835.19999999998</v>
      </c>
      <c r="M81" s="223" t="s">
        <v>424</v>
      </c>
      <c r="N81" s="224">
        <v>21000</v>
      </c>
      <c r="O81" s="224">
        <v>1</v>
      </c>
      <c r="P81" s="225">
        <f t="shared" ref="P81:P93" si="18">N81*O81</f>
        <v>21000</v>
      </c>
      <c r="Q81" s="226" t="s">
        <v>425</v>
      </c>
      <c r="R81" s="227">
        <v>500</v>
      </c>
      <c r="S81" s="227">
        <v>100</v>
      </c>
      <c r="T81" s="228">
        <f>R81*S81</f>
        <v>50000</v>
      </c>
      <c r="U81" s="230"/>
      <c r="V81" s="224"/>
      <c r="W81" s="224"/>
      <c r="X81" s="225">
        <f>V81*W81</f>
        <v>0</v>
      </c>
      <c r="Y81" s="222">
        <f>X81+T81+P81+L81+G81</f>
        <v>431835.19999999995</v>
      </c>
    </row>
    <row r="82" spans="1:31" s="1" customFormat="1" ht="144" x14ac:dyDescent="0.3">
      <c r="A82" s="422"/>
      <c r="B82" s="426"/>
      <c r="C82" s="256" t="s">
        <v>107</v>
      </c>
      <c r="D82" s="256">
        <f>Prices!D2</f>
        <v>16500</v>
      </c>
      <c r="E82" s="258">
        <v>9</v>
      </c>
      <c r="F82" s="258">
        <v>1</v>
      </c>
      <c r="G82" s="257">
        <f t="shared" ref="G82:G98" si="19">D82*E82*F82</f>
        <v>148500</v>
      </c>
      <c r="H82" s="226" t="s">
        <v>108</v>
      </c>
      <c r="I82" s="227">
        <f>Prices!D8</f>
        <v>4620</v>
      </c>
      <c r="J82" s="227">
        <v>5</v>
      </c>
      <c r="K82" s="227">
        <v>3</v>
      </c>
      <c r="L82" s="228">
        <f t="shared" ref="L82" si="20">I82*J82*K82</f>
        <v>69300</v>
      </c>
      <c r="M82" s="223"/>
      <c r="N82" s="224"/>
      <c r="O82" s="224"/>
      <c r="P82" s="225">
        <f t="shared" si="18"/>
        <v>0</v>
      </c>
      <c r="Q82" s="226" t="s">
        <v>109</v>
      </c>
      <c r="R82" s="227">
        <v>500</v>
      </c>
      <c r="S82" s="227">
        <v>250</v>
      </c>
      <c r="T82" s="228">
        <f>R82*S82</f>
        <v>125000</v>
      </c>
      <c r="U82" s="230"/>
      <c r="V82" s="224"/>
      <c r="W82" s="224"/>
      <c r="X82" s="225">
        <f>V82*W82</f>
        <v>0</v>
      </c>
      <c r="Y82" s="222">
        <f t="shared" ref="Y82:Y85" si="21">X82+T82+P82+L82+G82</f>
        <v>342800</v>
      </c>
    </row>
    <row r="83" spans="1:31" s="55" customFormat="1" ht="88.5" customHeight="1" x14ac:dyDescent="0.3">
      <c r="A83" s="422"/>
      <c r="B83" s="426"/>
      <c r="C83" s="256" t="s">
        <v>426</v>
      </c>
      <c r="D83" s="256">
        <f>Prices!D5</f>
        <v>16500</v>
      </c>
      <c r="E83" s="258">
        <v>2</v>
      </c>
      <c r="F83" s="258">
        <v>1</v>
      </c>
      <c r="G83" s="257">
        <f t="shared" si="19"/>
        <v>33000</v>
      </c>
      <c r="H83" s="226"/>
      <c r="I83" s="227"/>
      <c r="J83" s="227"/>
      <c r="K83" s="227"/>
      <c r="L83" s="228"/>
      <c r="M83" s="223"/>
      <c r="N83" s="224"/>
      <c r="O83" s="224"/>
      <c r="P83" s="225"/>
      <c r="Q83" s="226"/>
      <c r="R83" s="227"/>
      <c r="S83" s="227"/>
      <c r="T83" s="228"/>
      <c r="U83" s="230"/>
      <c r="V83" s="224"/>
      <c r="W83" s="224"/>
      <c r="X83" s="225"/>
      <c r="Y83" s="222">
        <f t="shared" si="21"/>
        <v>33000</v>
      </c>
    </row>
    <row r="84" spans="1:31" s="1" customFormat="1" ht="63.75" customHeight="1" x14ac:dyDescent="0.3">
      <c r="A84" s="422"/>
      <c r="B84" s="426"/>
      <c r="C84" s="256" t="s">
        <v>110</v>
      </c>
      <c r="D84" s="256">
        <f>Prices!D2</f>
        <v>16500</v>
      </c>
      <c r="E84" s="256">
        <v>6</v>
      </c>
      <c r="F84" s="256">
        <v>2</v>
      </c>
      <c r="G84" s="257">
        <f t="shared" si="19"/>
        <v>198000</v>
      </c>
      <c r="H84" s="226"/>
      <c r="I84" s="227"/>
      <c r="J84" s="227"/>
      <c r="K84" s="227"/>
      <c r="L84" s="228">
        <f t="shared" si="14"/>
        <v>0</v>
      </c>
      <c r="M84" s="223"/>
      <c r="N84" s="224"/>
      <c r="O84" s="224"/>
      <c r="P84" s="225">
        <f t="shared" si="18"/>
        <v>0</v>
      </c>
      <c r="Q84" s="226"/>
      <c r="R84" s="227"/>
      <c r="S84" s="227"/>
      <c r="T84" s="228">
        <f t="shared" ref="T84:T92" si="22">R84*S84</f>
        <v>0</v>
      </c>
      <c r="U84" s="230"/>
      <c r="V84" s="224"/>
      <c r="W84" s="224"/>
      <c r="X84" s="225">
        <f t="shared" ref="X84:X92" si="23">V84*W84</f>
        <v>0</v>
      </c>
      <c r="Y84" s="222">
        <f t="shared" si="21"/>
        <v>198000</v>
      </c>
    </row>
    <row r="85" spans="1:31" s="1" customFormat="1" ht="57.6" x14ac:dyDescent="0.3">
      <c r="A85" s="422"/>
      <c r="B85" s="410"/>
      <c r="C85" s="256" t="s">
        <v>111</v>
      </c>
      <c r="D85" s="256">
        <f>Prices!D2</f>
        <v>16500</v>
      </c>
      <c r="E85" s="256">
        <v>6</v>
      </c>
      <c r="F85" s="256">
        <v>1</v>
      </c>
      <c r="G85" s="257">
        <f t="shared" si="19"/>
        <v>99000</v>
      </c>
      <c r="H85" s="226"/>
      <c r="I85" s="227"/>
      <c r="J85" s="227"/>
      <c r="K85" s="227"/>
      <c r="L85" s="228">
        <f t="shared" si="14"/>
        <v>0</v>
      </c>
      <c r="M85" s="223"/>
      <c r="N85" s="224"/>
      <c r="O85" s="224"/>
      <c r="P85" s="225">
        <f t="shared" si="18"/>
        <v>0</v>
      </c>
      <c r="Q85" s="226" t="s">
        <v>112</v>
      </c>
      <c r="R85" s="227">
        <v>20</v>
      </c>
      <c r="S85" s="227">
        <v>500</v>
      </c>
      <c r="T85" s="228">
        <f t="shared" si="22"/>
        <v>10000</v>
      </c>
      <c r="U85" s="230"/>
      <c r="V85" s="224"/>
      <c r="W85" s="224"/>
      <c r="X85" s="225">
        <f t="shared" si="23"/>
        <v>0</v>
      </c>
      <c r="Y85" s="222">
        <f t="shared" si="21"/>
        <v>109000</v>
      </c>
      <c r="Z85" s="222">
        <f>SUM(Y81:Y85)</f>
        <v>1114635.2</v>
      </c>
      <c r="AA85" s="215"/>
      <c r="AB85" s="215"/>
      <c r="AC85" s="215"/>
      <c r="AD85" s="215"/>
      <c r="AE85" s="215"/>
    </row>
    <row r="86" spans="1:31" s="1" customFormat="1" ht="43.2" x14ac:dyDescent="0.3">
      <c r="A86" s="405" t="s">
        <v>113</v>
      </c>
      <c r="B86" s="393">
        <f>SUM(G86:G88)++SUM(L86:L88)+SUM(P86:P88)+SUM(T86:T88)+SUM(X86:X88)</f>
        <v>165000</v>
      </c>
      <c r="C86" s="36" t="s">
        <v>114</v>
      </c>
      <c r="D86" s="37">
        <f>Prices!D2</f>
        <v>16500</v>
      </c>
      <c r="E86" s="37">
        <v>5</v>
      </c>
      <c r="F86" s="37">
        <v>1</v>
      </c>
      <c r="G86" s="38">
        <f>D86*E86*F86</f>
        <v>82500</v>
      </c>
      <c r="H86" s="39"/>
      <c r="I86" s="40"/>
      <c r="J86" s="40"/>
      <c r="K86" s="40"/>
      <c r="L86" s="41">
        <f>I86*J86*K86</f>
        <v>0</v>
      </c>
      <c r="M86" s="36"/>
      <c r="N86" s="36"/>
      <c r="O86" s="36"/>
      <c r="P86" s="36">
        <f>N86*O86</f>
        <v>0</v>
      </c>
      <c r="Q86" s="39"/>
      <c r="R86" s="40"/>
      <c r="S86" s="40"/>
      <c r="T86" s="41">
        <f>R86*S86</f>
        <v>0</v>
      </c>
      <c r="U86" s="42"/>
      <c r="V86" s="37"/>
      <c r="W86" s="37"/>
      <c r="X86" s="38">
        <f>V86*W86</f>
        <v>0</v>
      </c>
      <c r="Y86" s="215"/>
      <c r="Z86" s="215"/>
      <c r="AA86" s="215"/>
      <c r="AB86" s="215"/>
      <c r="AC86" s="215"/>
      <c r="AD86" s="215"/>
      <c r="AE86" s="215"/>
    </row>
    <row r="87" spans="1:31" s="5" customFormat="1" ht="140.69999999999999" customHeight="1" x14ac:dyDescent="0.3">
      <c r="A87" s="422"/>
      <c r="B87" s="393"/>
      <c r="C87" s="223" t="s">
        <v>115</v>
      </c>
      <c r="D87" s="224">
        <f>Prices!D2</f>
        <v>16500</v>
      </c>
      <c r="E87" s="224">
        <v>3</v>
      </c>
      <c r="F87" s="224">
        <v>1</v>
      </c>
      <c r="G87" s="225">
        <f>D87*E87*F87</f>
        <v>49500</v>
      </c>
      <c r="H87" s="226"/>
      <c r="I87" s="227"/>
      <c r="J87" s="227"/>
      <c r="K87" s="227"/>
      <c r="L87" s="228"/>
      <c r="M87" s="223"/>
      <c r="N87" s="223"/>
      <c r="O87" s="223"/>
      <c r="P87" s="223"/>
      <c r="Q87" s="226"/>
      <c r="R87" s="227"/>
      <c r="S87" s="227"/>
      <c r="T87" s="228"/>
      <c r="U87" s="230"/>
      <c r="V87" s="224"/>
      <c r="W87" s="224"/>
      <c r="X87" s="225"/>
      <c r="Y87" s="215"/>
      <c r="Z87" s="215"/>
      <c r="AA87" s="215"/>
      <c r="AB87" s="215"/>
      <c r="AC87" s="215"/>
      <c r="AD87" s="215"/>
      <c r="AE87" s="215"/>
    </row>
    <row r="88" spans="1:31" s="1" customFormat="1" ht="43.2" x14ac:dyDescent="0.3">
      <c r="A88" s="433"/>
      <c r="B88" s="393"/>
      <c r="C88" s="223" t="s">
        <v>116</v>
      </c>
      <c r="D88" s="256">
        <f>Prices!D2</f>
        <v>16500</v>
      </c>
      <c r="E88" s="256">
        <v>2</v>
      </c>
      <c r="F88" s="256">
        <v>1</v>
      </c>
      <c r="G88" s="257">
        <f>D88*E88*F88</f>
        <v>33000</v>
      </c>
      <c r="H88" s="226"/>
      <c r="I88" s="227"/>
      <c r="J88" s="227"/>
      <c r="K88" s="227"/>
      <c r="L88" s="228">
        <f>I88*J88*K88</f>
        <v>0</v>
      </c>
      <c r="M88" s="223"/>
      <c r="N88" s="224"/>
      <c r="O88" s="224"/>
      <c r="P88" s="225"/>
      <c r="Q88" s="226"/>
      <c r="R88" s="227"/>
      <c r="S88" s="227"/>
      <c r="T88" s="228"/>
      <c r="U88" s="230"/>
      <c r="V88" s="224"/>
      <c r="W88" s="224"/>
      <c r="X88" s="225"/>
      <c r="Y88" s="215"/>
      <c r="Z88" s="215"/>
      <c r="AA88" s="215"/>
      <c r="AB88" s="215"/>
      <c r="AC88" s="215"/>
      <c r="AD88" s="215"/>
      <c r="AE88" s="215"/>
    </row>
    <row r="89" spans="1:31" s="1" customFormat="1" ht="72" x14ac:dyDescent="0.3">
      <c r="A89" s="405" t="s">
        <v>117</v>
      </c>
      <c r="B89" s="389">
        <f>SUM(G89:G94)+SUM(L89:L94)+SUM(P89:P94)+SUM(T89:T94)+SUM(X89:X94)</f>
        <v>2073460</v>
      </c>
      <c r="C89" s="223" t="s">
        <v>118</v>
      </c>
      <c r="D89" s="256">
        <v>1500</v>
      </c>
      <c r="E89" s="256">
        <v>12</v>
      </c>
      <c r="F89" s="256">
        <v>15</v>
      </c>
      <c r="G89" s="257">
        <f t="shared" si="19"/>
        <v>270000</v>
      </c>
      <c r="H89" s="226" t="s">
        <v>119</v>
      </c>
      <c r="I89" s="227">
        <f>Prices!D8</f>
        <v>4620</v>
      </c>
      <c r="J89" s="227">
        <v>18</v>
      </c>
      <c r="K89" s="227">
        <v>6</v>
      </c>
      <c r="L89" s="228">
        <f t="shared" si="14"/>
        <v>498960</v>
      </c>
      <c r="M89" s="223" t="s">
        <v>120</v>
      </c>
      <c r="N89" s="224">
        <v>300</v>
      </c>
      <c r="O89" s="224">
        <v>15</v>
      </c>
      <c r="P89" s="225">
        <f t="shared" si="18"/>
        <v>4500</v>
      </c>
      <c r="Q89" s="226"/>
      <c r="R89" s="227"/>
      <c r="S89" s="227"/>
      <c r="T89" s="228">
        <f t="shared" si="22"/>
        <v>0</v>
      </c>
      <c r="U89" s="230"/>
      <c r="V89" s="224"/>
      <c r="W89" s="224"/>
      <c r="X89" s="225">
        <f t="shared" si="23"/>
        <v>0</v>
      </c>
      <c r="Y89" s="215"/>
      <c r="Z89" s="215"/>
      <c r="AA89" s="215"/>
      <c r="AB89" s="215"/>
      <c r="AC89" s="215"/>
      <c r="AD89" s="215"/>
      <c r="AE89" s="215"/>
    </row>
    <row r="90" spans="1:31" s="1" customFormat="1" ht="28.8" x14ac:dyDescent="0.3">
      <c r="A90" s="423"/>
      <c r="B90" s="390"/>
      <c r="C90" s="223" t="s">
        <v>121</v>
      </c>
      <c r="D90" s="256">
        <v>800</v>
      </c>
      <c r="E90" s="256">
        <v>12</v>
      </c>
      <c r="F90" s="256">
        <v>20</v>
      </c>
      <c r="G90" s="257">
        <f t="shared" si="19"/>
        <v>192000</v>
      </c>
      <c r="H90" s="226"/>
      <c r="I90" s="227"/>
      <c r="J90" s="227"/>
      <c r="K90" s="227"/>
      <c r="L90" s="228">
        <f t="shared" si="14"/>
        <v>0</v>
      </c>
      <c r="M90" s="223" t="s">
        <v>122</v>
      </c>
      <c r="N90" s="224">
        <f>Prices!B27</f>
        <v>2000</v>
      </c>
      <c r="O90" s="224">
        <v>45</v>
      </c>
      <c r="P90" s="225">
        <f t="shared" si="18"/>
        <v>90000</v>
      </c>
      <c r="Q90" s="226"/>
      <c r="R90" s="227"/>
      <c r="S90" s="227"/>
      <c r="T90" s="228">
        <f t="shared" si="22"/>
        <v>0</v>
      </c>
      <c r="U90" s="230"/>
      <c r="V90" s="224"/>
      <c r="W90" s="224"/>
      <c r="X90" s="225">
        <f t="shared" si="23"/>
        <v>0</v>
      </c>
      <c r="Y90" s="215"/>
      <c r="Z90" s="215"/>
      <c r="AA90" s="215"/>
      <c r="AB90" s="215"/>
      <c r="AC90" s="215"/>
      <c r="AD90" s="215"/>
      <c r="AE90" s="215"/>
    </row>
    <row r="91" spans="1:31" s="1" customFormat="1" ht="43.2" x14ac:dyDescent="0.3">
      <c r="A91" s="423"/>
      <c r="B91" s="390"/>
      <c r="C91" s="223" t="s">
        <v>123</v>
      </c>
      <c r="D91" s="256">
        <v>1000</v>
      </c>
      <c r="E91" s="256">
        <v>12</v>
      </c>
      <c r="F91" s="256">
        <v>30</v>
      </c>
      <c r="G91" s="257">
        <f t="shared" si="19"/>
        <v>360000</v>
      </c>
      <c r="H91" s="226"/>
      <c r="I91" s="227"/>
      <c r="J91" s="227"/>
      <c r="K91" s="227"/>
      <c r="L91" s="228">
        <f t="shared" si="14"/>
        <v>0</v>
      </c>
      <c r="M91" s="223" t="s">
        <v>124</v>
      </c>
      <c r="N91" s="224">
        <v>5000</v>
      </c>
      <c r="O91" s="224">
        <v>15</v>
      </c>
      <c r="P91" s="225">
        <f t="shared" si="18"/>
        <v>75000</v>
      </c>
      <c r="Q91" s="226"/>
      <c r="R91" s="227"/>
      <c r="S91" s="227"/>
      <c r="T91" s="228">
        <f t="shared" si="22"/>
        <v>0</v>
      </c>
      <c r="U91" s="230"/>
      <c r="V91" s="224"/>
      <c r="W91" s="224"/>
      <c r="X91" s="225">
        <f t="shared" si="23"/>
        <v>0</v>
      </c>
      <c r="Y91" s="215"/>
      <c r="Z91" s="215"/>
      <c r="AA91" s="215"/>
      <c r="AB91" s="215"/>
      <c r="AC91" s="215"/>
      <c r="AD91" s="215"/>
      <c r="AE91" s="215"/>
    </row>
    <row r="92" spans="1:31" s="1" customFormat="1" ht="43.2" x14ac:dyDescent="0.3">
      <c r="A92" s="423"/>
      <c r="B92" s="390"/>
      <c r="C92" s="223" t="s">
        <v>125</v>
      </c>
      <c r="D92" s="224">
        <v>700</v>
      </c>
      <c r="E92" s="224">
        <v>12</v>
      </c>
      <c r="F92" s="224">
        <v>10</v>
      </c>
      <c r="G92" s="225">
        <f t="shared" si="19"/>
        <v>84000</v>
      </c>
      <c r="H92" s="226"/>
      <c r="I92" s="227"/>
      <c r="J92" s="227"/>
      <c r="K92" s="227"/>
      <c r="L92" s="228">
        <f t="shared" si="14"/>
        <v>0</v>
      </c>
      <c r="M92" s="223" t="s">
        <v>126</v>
      </c>
      <c r="N92" s="224">
        <v>500</v>
      </c>
      <c r="O92" s="224">
        <v>5</v>
      </c>
      <c r="P92" s="225">
        <f t="shared" si="18"/>
        <v>2500</v>
      </c>
      <c r="Q92" s="226"/>
      <c r="R92" s="227"/>
      <c r="S92" s="227"/>
      <c r="T92" s="228">
        <f t="shared" si="22"/>
        <v>0</v>
      </c>
      <c r="U92" s="230"/>
      <c r="V92" s="224"/>
      <c r="W92" s="224"/>
      <c r="X92" s="225">
        <f t="shared" si="23"/>
        <v>0</v>
      </c>
      <c r="Y92" s="215"/>
      <c r="Z92" s="215"/>
      <c r="AA92" s="215"/>
      <c r="AB92" s="215"/>
      <c r="AC92" s="215"/>
      <c r="AD92" s="215"/>
      <c r="AE92" s="215"/>
    </row>
    <row r="93" spans="1:31" s="1" customFormat="1" ht="43.2" x14ac:dyDescent="0.3">
      <c r="A93" s="423"/>
      <c r="B93" s="390"/>
      <c r="C93" s="223" t="s">
        <v>127</v>
      </c>
      <c r="D93" s="224">
        <f>Prices!D2</f>
        <v>16500</v>
      </c>
      <c r="E93" s="224">
        <v>12</v>
      </c>
      <c r="F93" s="224">
        <v>1</v>
      </c>
      <c r="G93" s="225">
        <f t="shared" si="19"/>
        <v>198000</v>
      </c>
      <c r="H93" s="226"/>
      <c r="I93" s="227"/>
      <c r="J93" s="227"/>
      <c r="K93" s="227"/>
      <c r="L93" s="228">
        <f t="shared" si="14"/>
        <v>0</v>
      </c>
      <c r="M93" s="223" t="s">
        <v>128</v>
      </c>
      <c r="N93" s="224">
        <v>50</v>
      </c>
      <c r="O93" s="224">
        <v>30</v>
      </c>
      <c r="P93" s="225">
        <f t="shared" si="18"/>
        <v>1500</v>
      </c>
      <c r="Q93" s="226"/>
      <c r="R93" s="227"/>
      <c r="S93" s="227"/>
      <c r="T93" s="228"/>
      <c r="U93" s="230"/>
      <c r="V93" s="224"/>
      <c r="W93" s="224"/>
      <c r="X93" s="225"/>
      <c r="Y93" s="215"/>
      <c r="Z93" s="215"/>
      <c r="AA93" s="215"/>
      <c r="AB93" s="215"/>
      <c r="AC93" s="215"/>
      <c r="AD93" s="215"/>
      <c r="AE93" s="215"/>
    </row>
    <row r="94" spans="1:31" s="1" customFormat="1" ht="99.45" customHeight="1" x14ac:dyDescent="0.3">
      <c r="A94" s="423"/>
      <c r="B94" s="391"/>
      <c r="C94" s="223" t="s">
        <v>129</v>
      </c>
      <c r="D94" s="224">
        <f>Prices!D2</f>
        <v>16500</v>
      </c>
      <c r="E94" s="224">
        <v>9</v>
      </c>
      <c r="F94" s="224">
        <v>2</v>
      </c>
      <c r="G94" s="225">
        <f t="shared" si="19"/>
        <v>297000</v>
      </c>
      <c r="H94" s="226"/>
      <c r="I94" s="227"/>
      <c r="J94" s="227"/>
      <c r="K94" s="227"/>
      <c r="L94" s="228"/>
      <c r="M94" s="223"/>
      <c r="N94" s="224"/>
      <c r="O94" s="224"/>
      <c r="P94" s="225"/>
      <c r="Q94" s="226"/>
      <c r="R94" s="227"/>
      <c r="S94" s="227"/>
      <c r="T94" s="228"/>
      <c r="U94" s="230"/>
      <c r="V94" s="224"/>
      <c r="W94" s="224"/>
      <c r="X94" s="225"/>
      <c r="Y94" s="215"/>
      <c r="Z94" s="215"/>
      <c r="AA94" s="215"/>
      <c r="AB94" s="215"/>
      <c r="AC94" s="215"/>
      <c r="AD94" s="215"/>
      <c r="AE94" s="215"/>
    </row>
    <row r="95" spans="1:31" s="1" customFormat="1" ht="42.45" customHeight="1" x14ac:dyDescent="0.3">
      <c r="A95" s="405" t="s">
        <v>130</v>
      </c>
      <c r="B95" s="389">
        <f>SUM(G95:G99)+SUM(L95:L99)+SUM(P95:P99)+SUM(T95:T99)+SUM(X95:X99)</f>
        <v>685330</v>
      </c>
      <c r="C95" s="223" t="s">
        <v>131</v>
      </c>
      <c r="D95" s="224">
        <f>Prices!D2</f>
        <v>16500</v>
      </c>
      <c r="E95" s="224">
        <v>3</v>
      </c>
      <c r="F95" s="224">
        <v>1</v>
      </c>
      <c r="G95" s="225">
        <f t="shared" si="19"/>
        <v>49500</v>
      </c>
      <c r="H95" s="226"/>
      <c r="I95" s="227"/>
      <c r="J95" s="227"/>
      <c r="K95" s="227"/>
      <c r="L95" s="228">
        <f>I95*J95*K95</f>
        <v>0</v>
      </c>
      <c r="M95" s="223" t="s">
        <v>132</v>
      </c>
      <c r="N95" s="224">
        <v>22000</v>
      </c>
      <c r="O95" s="224">
        <v>5</v>
      </c>
      <c r="P95" s="225">
        <f>N95*O95</f>
        <v>110000</v>
      </c>
      <c r="Q95" s="226" t="s">
        <v>133</v>
      </c>
      <c r="R95" s="227">
        <f>655*10</f>
        <v>6550</v>
      </c>
      <c r="S95" s="227">
        <v>3</v>
      </c>
      <c r="T95" s="228">
        <f>R95*S95</f>
        <v>19650</v>
      </c>
      <c r="U95" s="230"/>
      <c r="V95" s="224"/>
      <c r="W95" s="224"/>
      <c r="X95" s="225">
        <f>V95*W95</f>
        <v>0</v>
      </c>
      <c r="Y95" s="215"/>
      <c r="Z95" s="215"/>
      <c r="AA95" s="215"/>
      <c r="AB95" s="215"/>
      <c r="AC95" s="215"/>
      <c r="AD95" s="215"/>
      <c r="AE95" s="215"/>
    </row>
    <row r="96" spans="1:31" s="1" customFormat="1" ht="28.8" x14ac:dyDescent="0.3">
      <c r="A96" s="423"/>
      <c r="B96" s="407"/>
      <c r="C96" s="424" t="s">
        <v>427</v>
      </c>
      <c r="D96" s="224">
        <f>Prices!D2</f>
        <v>16500</v>
      </c>
      <c r="E96" s="224">
        <v>6</v>
      </c>
      <c r="F96" s="224">
        <v>1</v>
      </c>
      <c r="G96" s="225">
        <f t="shared" si="19"/>
        <v>99000</v>
      </c>
      <c r="H96" s="226"/>
      <c r="I96" s="227"/>
      <c r="J96" s="227"/>
      <c r="K96" s="227"/>
      <c r="L96" s="228">
        <f>I96*J96*K96</f>
        <v>0</v>
      </c>
      <c r="M96" s="223" t="s">
        <v>134</v>
      </c>
      <c r="N96" s="224">
        <v>300</v>
      </c>
      <c r="O96" s="224">
        <v>40</v>
      </c>
      <c r="P96" s="225">
        <f>N96*O96</f>
        <v>12000</v>
      </c>
      <c r="Q96" s="226" t="s">
        <v>135</v>
      </c>
      <c r="R96" s="227">
        <v>100</v>
      </c>
      <c r="S96" s="227">
        <v>300</v>
      </c>
      <c r="T96" s="228">
        <f>R96*S96</f>
        <v>30000</v>
      </c>
      <c r="U96" s="230"/>
      <c r="V96" s="224"/>
      <c r="W96" s="224"/>
      <c r="X96" s="225">
        <f>V96*W96</f>
        <v>0</v>
      </c>
      <c r="Y96" s="215"/>
      <c r="Z96" s="215"/>
      <c r="AA96" s="215"/>
      <c r="AB96" s="215"/>
      <c r="AC96" s="215"/>
      <c r="AD96" s="215"/>
      <c r="AE96" s="215"/>
    </row>
    <row r="97" spans="1:31" s="1" customFormat="1" ht="43.2" x14ac:dyDescent="0.3">
      <c r="A97" s="423"/>
      <c r="B97" s="407"/>
      <c r="C97" s="425"/>
      <c r="D97" s="224">
        <f>Prices!B3</f>
        <v>3080</v>
      </c>
      <c r="E97" s="224">
        <v>12</v>
      </c>
      <c r="F97" s="224">
        <v>3</v>
      </c>
      <c r="G97" s="225">
        <f t="shared" si="19"/>
        <v>110880</v>
      </c>
      <c r="H97" s="226"/>
      <c r="I97" s="227"/>
      <c r="J97" s="227"/>
      <c r="K97" s="227"/>
      <c r="L97" s="228">
        <f>I97*J97*K97</f>
        <v>0</v>
      </c>
      <c r="M97" s="223" t="s">
        <v>136</v>
      </c>
      <c r="N97" s="224">
        <v>15000</v>
      </c>
      <c r="O97" s="224">
        <v>2</v>
      </c>
      <c r="P97" s="225">
        <f>N97*O97</f>
        <v>30000</v>
      </c>
      <c r="Q97" s="226" t="s">
        <v>137</v>
      </c>
      <c r="R97" s="227">
        <f>655*20</f>
        <v>13100</v>
      </c>
      <c r="S97" s="227">
        <v>3</v>
      </c>
      <c r="T97" s="228">
        <f>R97*S97</f>
        <v>39300</v>
      </c>
      <c r="U97" s="230"/>
      <c r="V97" s="224"/>
      <c r="W97" s="224"/>
      <c r="X97" s="225">
        <f>V97*W97</f>
        <v>0</v>
      </c>
      <c r="Y97" s="215"/>
      <c r="Z97" s="215"/>
      <c r="AA97" s="215"/>
      <c r="AB97" s="215"/>
      <c r="AC97" s="215"/>
      <c r="AD97" s="215"/>
      <c r="AE97" s="215"/>
    </row>
    <row r="98" spans="1:31" s="1" customFormat="1" ht="28.8" x14ac:dyDescent="0.3">
      <c r="A98" s="423"/>
      <c r="B98" s="407"/>
      <c r="C98" s="223"/>
      <c r="D98" s="224"/>
      <c r="E98" s="224"/>
      <c r="F98" s="224"/>
      <c r="G98" s="225">
        <f t="shared" si="19"/>
        <v>0</v>
      </c>
      <c r="H98" s="226"/>
      <c r="I98" s="227"/>
      <c r="J98" s="227"/>
      <c r="K98" s="227"/>
      <c r="L98" s="228">
        <f>I98*J98*K98</f>
        <v>0</v>
      </c>
      <c r="M98" s="223" t="s">
        <v>138</v>
      </c>
      <c r="N98" s="224">
        <v>2000</v>
      </c>
      <c r="O98" s="224">
        <v>40</v>
      </c>
      <c r="P98" s="225">
        <f>N98*O98</f>
        <v>80000</v>
      </c>
      <c r="Q98" s="226" t="s">
        <v>428</v>
      </c>
      <c r="R98" s="227">
        <v>15000</v>
      </c>
      <c r="S98" s="227">
        <v>2</v>
      </c>
      <c r="T98" s="228">
        <f>R98*S98</f>
        <v>30000</v>
      </c>
      <c r="U98" s="230"/>
      <c r="V98" s="224"/>
      <c r="W98" s="224"/>
      <c r="X98" s="225">
        <f>V98*W98</f>
        <v>0</v>
      </c>
      <c r="Y98" s="215"/>
      <c r="Z98" s="215"/>
      <c r="AA98" s="215"/>
      <c r="AB98" s="215"/>
      <c r="AC98" s="215"/>
      <c r="AD98" s="215"/>
      <c r="AE98" s="215"/>
    </row>
    <row r="99" spans="1:31" s="16" customFormat="1" x14ac:dyDescent="0.3">
      <c r="A99" s="388"/>
      <c r="B99" s="410"/>
      <c r="C99" s="46"/>
      <c r="D99" s="47"/>
      <c r="E99" s="47"/>
      <c r="F99" s="47"/>
      <c r="G99" s="48"/>
      <c r="H99" s="49"/>
      <c r="I99" s="50"/>
      <c r="J99" s="50"/>
      <c r="K99" s="50"/>
      <c r="L99" s="51"/>
      <c r="M99" s="223" t="s">
        <v>139</v>
      </c>
      <c r="N99" s="224">
        <v>1500</v>
      </c>
      <c r="O99" s="224">
        <v>50</v>
      </c>
      <c r="P99" s="225">
        <f>N99*O99</f>
        <v>75000</v>
      </c>
      <c r="Q99" s="49"/>
      <c r="R99" s="50"/>
      <c r="S99" s="50"/>
      <c r="T99" s="51"/>
      <c r="U99" s="52"/>
      <c r="V99" s="47"/>
      <c r="W99" s="47"/>
      <c r="X99" s="53"/>
      <c r="Y99" s="215"/>
      <c r="Z99" s="215"/>
      <c r="AA99" s="215"/>
      <c r="AB99" s="215"/>
      <c r="AC99" s="215"/>
      <c r="AD99" s="215"/>
      <c r="AE99" s="215"/>
    </row>
    <row r="100" spans="1:31" s="6" customFormat="1" ht="31.95" customHeight="1" x14ac:dyDescent="0.3">
      <c r="A100" s="259" t="s">
        <v>140</v>
      </c>
      <c r="B100" s="260">
        <f>SUM(B101:B114)</f>
        <v>2163800</v>
      </c>
      <c r="C100" s="419" t="s">
        <v>141</v>
      </c>
      <c r="D100" s="420"/>
      <c r="E100" s="420"/>
      <c r="F100" s="420"/>
      <c r="G100" s="420"/>
      <c r="H100" s="420"/>
      <c r="I100" s="420"/>
      <c r="J100" s="420"/>
      <c r="K100" s="420"/>
      <c r="L100" s="420"/>
      <c r="M100" s="420"/>
      <c r="N100" s="420"/>
      <c r="O100" s="420"/>
      <c r="P100" s="420"/>
      <c r="Q100" s="420"/>
      <c r="R100" s="420"/>
      <c r="S100" s="420"/>
      <c r="T100" s="420"/>
      <c r="U100" s="420"/>
      <c r="V100" s="420"/>
      <c r="W100" s="420"/>
      <c r="X100" s="421"/>
      <c r="Y100" s="215"/>
      <c r="Z100" s="215"/>
      <c r="AA100" s="215"/>
      <c r="AB100" s="215"/>
      <c r="AC100" s="215"/>
      <c r="AD100" s="215"/>
      <c r="AE100" s="215"/>
    </row>
    <row r="101" spans="1:31" s="6" customFormat="1" ht="28.8" x14ac:dyDescent="0.3">
      <c r="A101" s="261" t="s">
        <v>142</v>
      </c>
      <c r="B101" s="262">
        <f t="shared" ref="B101:B109" si="24">G101</f>
        <v>495000</v>
      </c>
      <c r="C101" s="223" t="s">
        <v>143</v>
      </c>
      <c r="D101" s="224">
        <f>Prices!D2</f>
        <v>16500</v>
      </c>
      <c r="E101" s="224">
        <v>15</v>
      </c>
      <c r="F101" s="224">
        <v>2</v>
      </c>
      <c r="G101" s="225">
        <f>D101*E101*F101</f>
        <v>495000</v>
      </c>
      <c r="H101" s="226"/>
      <c r="I101" s="227"/>
      <c r="J101" s="227"/>
      <c r="K101" s="227"/>
      <c r="L101" s="228">
        <f>I101*K101</f>
        <v>0</v>
      </c>
      <c r="M101" s="223"/>
      <c r="N101" s="224"/>
      <c r="O101" s="224"/>
      <c r="P101" s="225">
        <f>N101*O101</f>
        <v>0</v>
      </c>
      <c r="Q101" s="228"/>
      <c r="R101" s="228"/>
      <c r="S101" s="228"/>
      <c r="T101" s="228">
        <f>R101*S101</f>
        <v>0</v>
      </c>
      <c r="U101" s="228"/>
      <c r="V101" s="228"/>
      <c r="W101" s="228"/>
      <c r="X101" s="228">
        <f>V101*W101</f>
        <v>0</v>
      </c>
    </row>
    <row r="102" spans="1:31" s="6" customFormat="1" ht="28.8" x14ac:dyDescent="0.3">
      <c r="A102" s="261" t="s">
        <v>144</v>
      </c>
      <c r="B102" s="262">
        <f t="shared" si="24"/>
        <v>184800</v>
      </c>
      <c r="C102" s="223" t="s">
        <v>144</v>
      </c>
      <c r="D102" s="224">
        <f>Prices!B3</f>
        <v>3080</v>
      </c>
      <c r="E102" s="224">
        <v>60</v>
      </c>
      <c r="F102" s="224">
        <v>1</v>
      </c>
      <c r="G102" s="225">
        <f t="shared" ref="G102:G114" si="25">D102*E102*F102</f>
        <v>184800</v>
      </c>
      <c r="H102" s="226"/>
      <c r="I102" s="227"/>
      <c r="J102" s="227"/>
      <c r="K102" s="227"/>
      <c r="L102" s="228">
        <f>I102*K102</f>
        <v>0</v>
      </c>
      <c r="M102" s="223"/>
      <c r="N102" s="224"/>
      <c r="O102" s="224"/>
      <c r="P102" s="225">
        <f>N102*O102</f>
        <v>0</v>
      </c>
      <c r="Q102" s="228"/>
      <c r="R102" s="228"/>
      <c r="S102" s="228"/>
      <c r="T102" s="228">
        <f>R102*S102</f>
        <v>0</v>
      </c>
      <c r="U102" s="228"/>
      <c r="V102" s="228"/>
      <c r="W102" s="228"/>
      <c r="X102" s="228">
        <f>V102*W102</f>
        <v>0</v>
      </c>
    </row>
    <row r="103" spans="1:31" s="55" customFormat="1" ht="48" customHeight="1" x14ac:dyDescent="0.3">
      <c r="A103" s="261" t="s">
        <v>145</v>
      </c>
      <c r="B103" s="262">
        <f>G103</f>
        <v>90000</v>
      </c>
      <c r="C103" s="223"/>
      <c r="D103" s="224">
        <f>Prices!B7</f>
        <v>1500</v>
      </c>
      <c r="E103" s="224">
        <v>60</v>
      </c>
      <c r="F103" s="224">
        <v>1</v>
      </c>
      <c r="G103" s="225">
        <f>D103*E103*F103</f>
        <v>90000</v>
      </c>
      <c r="H103" s="226"/>
      <c r="I103" s="227"/>
      <c r="J103" s="227"/>
      <c r="K103" s="227"/>
      <c r="L103" s="228"/>
      <c r="M103" s="223"/>
      <c r="N103" s="224"/>
      <c r="O103" s="224"/>
      <c r="P103" s="225"/>
      <c r="Q103" s="228"/>
      <c r="R103" s="228"/>
      <c r="S103" s="228"/>
      <c r="T103" s="228"/>
      <c r="U103" s="228"/>
      <c r="V103" s="228"/>
      <c r="W103" s="228"/>
      <c r="X103" s="228"/>
    </row>
    <row r="104" spans="1:31" s="6" customFormat="1" ht="28.8" x14ac:dyDescent="0.3">
      <c r="A104" s="261" t="s">
        <v>146</v>
      </c>
      <c r="B104" s="262">
        <f>G104</f>
        <v>184800</v>
      </c>
      <c r="C104" s="223"/>
      <c r="D104" s="224">
        <f>Prices!B3</f>
        <v>3080</v>
      </c>
      <c r="E104" s="224">
        <v>60</v>
      </c>
      <c r="F104" s="224">
        <v>1</v>
      </c>
      <c r="G104" s="225">
        <f>D104*E104*F104</f>
        <v>184800</v>
      </c>
      <c r="H104" s="226"/>
      <c r="I104" s="227"/>
      <c r="J104" s="227"/>
      <c r="K104" s="227"/>
      <c r="L104" s="228">
        <f>I104*K104</f>
        <v>0</v>
      </c>
      <c r="M104" s="223"/>
      <c r="N104" s="224"/>
      <c r="O104" s="224"/>
      <c r="P104" s="225">
        <f>N104*O104</f>
        <v>0</v>
      </c>
      <c r="Q104" s="228"/>
      <c r="R104" s="228"/>
      <c r="S104" s="228"/>
      <c r="T104" s="228">
        <f>R104*S104</f>
        <v>0</v>
      </c>
      <c r="U104" s="228"/>
      <c r="V104" s="228"/>
      <c r="W104" s="228"/>
      <c r="X104" s="228">
        <f>V104*W104</f>
        <v>0</v>
      </c>
    </row>
    <row r="105" spans="1:31" s="16" customFormat="1" ht="28.8" x14ac:dyDescent="0.3">
      <c r="A105" s="261" t="s">
        <v>147</v>
      </c>
      <c r="B105" s="262">
        <f>G105</f>
        <v>184800</v>
      </c>
      <c r="C105" s="223"/>
      <c r="D105" s="224">
        <f>Prices!B3</f>
        <v>3080</v>
      </c>
      <c r="E105" s="224">
        <v>60</v>
      </c>
      <c r="F105" s="224">
        <v>1</v>
      </c>
      <c r="G105" s="225">
        <f>D105*E105*F105</f>
        <v>184800</v>
      </c>
      <c r="H105" s="226"/>
      <c r="I105" s="227"/>
      <c r="J105" s="227"/>
      <c r="K105" s="227"/>
      <c r="L105" s="228"/>
      <c r="M105" s="223"/>
      <c r="N105" s="224"/>
      <c r="O105" s="224"/>
      <c r="P105" s="225"/>
      <c r="Q105" s="228"/>
      <c r="R105" s="228"/>
      <c r="S105" s="228"/>
      <c r="T105" s="228"/>
      <c r="U105" s="228"/>
      <c r="V105" s="228"/>
      <c r="W105" s="228"/>
      <c r="X105" s="228"/>
    </row>
    <row r="106" spans="1:31" s="6" customFormat="1" ht="28.8" x14ac:dyDescent="0.3">
      <c r="A106" s="261" t="s">
        <v>148</v>
      </c>
      <c r="B106" s="262">
        <f t="shared" si="24"/>
        <v>184800</v>
      </c>
      <c r="C106" s="223" t="s">
        <v>148</v>
      </c>
      <c r="D106" s="224">
        <f>Prices!B3</f>
        <v>3080</v>
      </c>
      <c r="E106" s="224">
        <v>60</v>
      </c>
      <c r="F106" s="224">
        <v>1</v>
      </c>
      <c r="G106" s="225">
        <f t="shared" si="25"/>
        <v>184800</v>
      </c>
      <c r="H106" s="226"/>
      <c r="I106" s="227"/>
      <c r="J106" s="227"/>
      <c r="K106" s="227"/>
      <c r="L106" s="228">
        <f>I106*K106</f>
        <v>0</v>
      </c>
      <c r="M106" s="223"/>
      <c r="N106" s="224"/>
      <c r="O106" s="224"/>
      <c r="P106" s="225">
        <f>N106*O106</f>
        <v>0</v>
      </c>
      <c r="Q106" s="228"/>
      <c r="R106" s="228"/>
      <c r="S106" s="228"/>
      <c r="T106" s="228">
        <f>R106*S106</f>
        <v>0</v>
      </c>
      <c r="U106" s="228"/>
      <c r="V106" s="228"/>
      <c r="W106" s="228"/>
      <c r="X106" s="228">
        <f>V106*W106</f>
        <v>0</v>
      </c>
    </row>
    <row r="107" spans="1:31" s="6" customFormat="1" ht="43.2" x14ac:dyDescent="0.3">
      <c r="A107" s="261" t="s">
        <v>149</v>
      </c>
      <c r="B107" s="262">
        <f>G107</f>
        <v>90000</v>
      </c>
      <c r="C107" s="223"/>
      <c r="D107" s="224">
        <f>Prices!B7</f>
        <v>1500</v>
      </c>
      <c r="E107" s="224">
        <v>60</v>
      </c>
      <c r="F107" s="224">
        <v>1</v>
      </c>
      <c r="G107" s="225">
        <f>D107*E107*F107</f>
        <v>90000</v>
      </c>
      <c r="H107" s="226"/>
      <c r="I107" s="227"/>
      <c r="J107" s="227"/>
      <c r="K107" s="227"/>
      <c r="L107" s="228">
        <f>I107*K107</f>
        <v>0</v>
      </c>
      <c r="M107" s="223"/>
      <c r="N107" s="224"/>
      <c r="O107" s="224"/>
      <c r="P107" s="225">
        <f>N107*O107</f>
        <v>0</v>
      </c>
      <c r="Q107" s="228"/>
      <c r="R107" s="228"/>
      <c r="S107" s="228"/>
      <c r="T107" s="228">
        <f>R107*S107</f>
        <v>0</v>
      </c>
      <c r="U107" s="228"/>
      <c r="V107" s="228"/>
      <c r="W107" s="228"/>
      <c r="X107" s="228">
        <f>V107*W107</f>
        <v>0</v>
      </c>
    </row>
    <row r="108" spans="1:31" s="6" customFormat="1" ht="28.8" x14ac:dyDescent="0.3">
      <c r="A108" s="261" t="s">
        <v>150</v>
      </c>
      <c r="B108" s="262">
        <f t="shared" si="24"/>
        <v>184800</v>
      </c>
      <c r="C108" s="223"/>
      <c r="D108" s="224">
        <f>Prices!B3</f>
        <v>3080</v>
      </c>
      <c r="E108" s="224">
        <v>60</v>
      </c>
      <c r="F108" s="224">
        <v>1</v>
      </c>
      <c r="G108" s="225">
        <f t="shared" si="25"/>
        <v>184800</v>
      </c>
      <c r="H108" s="226"/>
      <c r="I108" s="227"/>
      <c r="J108" s="227"/>
      <c r="K108" s="227"/>
      <c r="L108" s="228">
        <f>I108*K108</f>
        <v>0</v>
      </c>
      <c r="M108" s="223"/>
      <c r="N108" s="224"/>
      <c r="O108" s="224"/>
      <c r="P108" s="225">
        <f>N108*O108</f>
        <v>0</v>
      </c>
      <c r="Q108" s="228"/>
      <c r="R108" s="228"/>
      <c r="S108" s="228"/>
      <c r="T108" s="228">
        <f>R108*S108</f>
        <v>0</v>
      </c>
      <c r="U108" s="228"/>
      <c r="V108" s="228"/>
      <c r="W108" s="228"/>
      <c r="X108" s="228">
        <f>V108*W108</f>
        <v>0</v>
      </c>
    </row>
    <row r="109" spans="1:31" s="6" customFormat="1" ht="28.8" x14ac:dyDescent="0.3">
      <c r="A109" s="261" t="s">
        <v>151</v>
      </c>
      <c r="B109" s="262">
        <f t="shared" si="24"/>
        <v>184800</v>
      </c>
      <c r="C109" s="223"/>
      <c r="D109" s="224">
        <f>Prices!B3</f>
        <v>3080</v>
      </c>
      <c r="E109" s="224">
        <v>60</v>
      </c>
      <c r="F109" s="224">
        <v>1</v>
      </c>
      <c r="G109" s="225">
        <f t="shared" si="25"/>
        <v>184800</v>
      </c>
      <c r="H109" s="226"/>
      <c r="I109" s="227"/>
      <c r="J109" s="227"/>
      <c r="K109" s="227"/>
      <c r="L109" s="228">
        <f t="shared" ref="L109:L114" si="26">I109*K109</f>
        <v>0</v>
      </c>
      <c r="M109" s="223"/>
      <c r="N109" s="224"/>
      <c r="O109" s="224"/>
      <c r="P109" s="225">
        <f t="shared" ref="P109:P114" si="27">N109*O109</f>
        <v>0</v>
      </c>
      <c r="Q109" s="228"/>
      <c r="R109" s="228"/>
      <c r="S109" s="228"/>
      <c r="T109" s="228">
        <f t="shared" ref="T109:T114" si="28">R109*S109</f>
        <v>0</v>
      </c>
      <c r="U109" s="228"/>
      <c r="V109" s="228"/>
      <c r="W109" s="228"/>
      <c r="X109" s="228">
        <f t="shared" ref="X109:X114" si="29">V109*W109</f>
        <v>0</v>
      </c>
    </row>
    <row r="110" spans="1:31" s="6" customFormat="1" x14ac:dyDescent="0.3">
      <c r="A110" s="427" t="s">
        <v>152</v>
      </c>
      <c r="B110" s="430">
        <f>SUM(G110:G113)</f>
        <v>180000</v>
      </c>
      <c r="C110" s="223" t="s">
        <v>153</v>
      </c>
      <c r="D110" s="224">
        <v>20000</v>
      </c>
      <c r="E110" s="224">
        <v>1</v>
      </c>
      <c r="F110" s="224">
        <v>1</v>
      </c>
      <c r="G110" s="225">
        <f t="shared" si="25"/>
        <v>20000</v>
      </c>
      <c r="H110" s="226"/>
      <c r="I110" s="227"/>
      <c r="J110" s="227"/>
      <c r="K110" s="227"/>
      <c r="L110" s="228">
        <f t="shared" si="26"/>
        <v>0</v>
      </c>
      <c r="M110" s="223"/>
      <c r="N110" s="224"/>
      <c r="O110" s="224"/>
      <c r="P110" s="225">
        <f t="shared" si="27"/>
        <v>0</v>
      </c>
      <c r="Q110" s="228"/>
      <c r="R110" s="228"/>
      <c r="S110" s="228"/>
      <c r="T110" s="228">
        <f t="shared" si="28"/>
        <v>0</v>
      </c>
      <c r="U110" s="228"/>
      <c r="V110" s="228"/>
      <c r="W110" s="228"/>
      <c r="X110" s="228">
        <f t="shared" si="29"/>
        <v>0</v>
      </c>
    </row>
    <row r="111" spans="1:31" s="6" customFormat="1" ht="15" customHeight="1" x14ac:dyDescent="0.3">
      <c r="A111" s="428"/>
      <c r="B111" s="431"/>
      <c r="C111" s="223" t="s">
        <v>154</v>
      </c>
      <c r="D111" s="224">
        <v>30000</v>
      </c>
      <c r="E111" s="224">
        <v>1</v>
      </c>
      <c r="F111" s="224">
        <v>1</v>
      </c>
      <c r="G111" s="225">
        <f t="shared" si="25"/>
        <v>30000</v>
      </c>
      <c r="H111" s="226"/>
      <c r="I111" s="227"/>
      <c r="J111" s="227"/>
      <c r="K111" s="227"/>
      <c r="L111" s="228">
        <f t="shared" si="26"/>
        <v>0</v>
      </c>
      <c r="M111" s="223"/>
      <c r="N111" s="224"/>
      <c r="O111" s="224"/>
      <c r="P111" s="225">
        <f t="shared" si="27"/>
        <v>0</v>
      </c>
      <c r="Q111" s="228"/>
      <c r="R111" s="228"/>
      <c r="S111" s="228"/>
      <c r="T111" s="228">
        <f t="shared" si="28"/>
        <v>0</v>
      </c>
      <c r="U111" s="228"/>
      <c r="V111" s="228"/>
      <c r="W111" s="228"/>
      <c r="X111" s="228">
        <f t="shared" si="29"/>
        <v>0</v>
      </c>
    </row>
    <row r="112" spans="1:31" s="6" customFormat="1" ht="15" customHeight="1" x14ac:dyDescent="0.3">
      <c r="A112" s="428"/>
      <c r="B112" s="431"/>
      <c r="C112" s="223" t="s">
        <v>155</v>
      </c>
      <c r="D112" s="224">
        <v>100000</v>
      </c>
      <c r="E112" s="224">
        <v>1</v>
      </c>
      <c r="F112" s="224">
        <v>1</v>
      </c>
      <c r="G112" s="225">
        <f t="shared" si="25"/>
        <v>100000</v>
      </c>
      <c r="H112" s="226"/>
      <c r="I112" s="227"/>
      <c r="J112" s="227"/>
      <c r="K112" s="227"/>
      <c r="L112" s="228">
        <f t="shared" si="26"/>
        <v>0</v>
      </c>
      <c r="M112" s="223"/>
      <c r="N112" s="224"/>
      <c r="O112" s="224"/>
      <c r="P112" s="225">
        <f t="shared" si="27"/>
        <v>0</v>
      </c>
      <c r="Q112" s="228"/>
      <c r="R112" s="228"/>
      <c r="S112" s="228"/>
      <c r="T112" s="228">
        <f t="shared" si="28"/>
        <v>0</v>
      </c>
      <c r="U112" s="228"/>
      <c r="V112" s="228"/>
      <c r="W112" s="228"/>
      <c r="X112" s="228">
        <f t="shared" si="29"/>
        <v>0</v>
      </c>
    </row>
    <row r="113" spans="1:24" s="6" customFormat="1" ht="15" customHeight="1" x14ac:dyDescent="0.3">
      <c r="A113" s="429"/>
      <c r="B113" s="431"/>
      <c r="C113" s="223" t="s">
        <v>156</v>
      </c>
      <c r="D113" s="224">
        <v>30000</v>
      </c>
      <c r="E113" s="224">
        <v>1</v>
      </c>
      <c r="F113" s="224">
        <v>1</v>
      </c>
      <c r="G113" s="225">
        <f t="shared" si="25"/>
        <v>30000</v>
      </c>
      <c r="H113" s="226"/>
      <c r="I113" s="227"/>
      <c r="J113" s="227"/>
      <c r="K113" s="227"/>
      <c r="L113" s="228">
        <f t="shared" si="26"/>
        <v>0</v>
      </c>
      <c r="M113" s="223"/>
      <c r="N113" s="224"/>
      <c r="O113" s="224"/>
      <c r="P113" s="225">
        <f t="shared" si="27"/>
        <v>0</v>
      </c>
      <c r="Q113" s="228"/>
      <c r="R113" s="228"/>
      <c r="S113" s="228"/>
      <c r="T113" s="228">
        <f t="shared" si="28"/>
        <v>0</v>
      </c>
      <c r="U113" s="228"/>
      <c r="V113" s="228"/>
      <c r="W113" s="228"/>
      <c r="X113" s="228">
        <f t="shared" si="29"/>
        <v>0</v>
      </c>
    </row>
    <row r="114" spans="1:24" s="6" customFormat="1" x14ac:dyDescent="0.3">
      <c r="A114" s="261" t="s">
        <v>157</v>
      </c>
      <c r="B114" s="263">
        <f>G114</f>
        <v>200000</v>
      </c>
      <c r="C114" s="223" t="s">
        <v>158</v>
      </c>
      <c r="D114" s="224">
        <v>20000</v>
      </c>
      <c r="E114" s="224">
        <v>5</v>
      </c>
      <c r="F114" s="224">
        <v>2</v>
      </c>
      <c r="G114" s="225">
        <f t="shared" si="25"/>
        <v>200000</v>
      </c>
      <c r="H114" s="226"/>
      <c r="I114" s="227"/>
      <c r="J114" s="227"/>
      <c r="K114" s="227"/>
      <c r="L114" s="228">
        <f t="shared" si="26"/>
        <v>0</v>
      </c>
      <c r="M114" s="223"/>
      <c r="N114" s="224"/>
      <c r="O114" s="224"/>
      <c r="P114" s="225">
        <f t="shared" si="27"/>
        <v>0</v>
      </c>
      <c r="Q114" s="228"/>
      <c r="R114" s="228"/>
      <c r="S114" s="228"/>
      <c r="T114" s="228">
        <f t="shared" si="28"/>
        <v>0</v>
      </c>
      <c r="U114" s="228"/>
      <c r="V114" s="228"/>
      <c r="W114" s="228"/>
      <c r="X114" s="228">
        <f t="shared" si="29"/>
        <v>0</v>
      </c>
    </row>
    <row r="115" spans="1:24" s="6" customFormat="1" x14ac:dyDescent="0.3">
      <c r="A115" s="432" t="s">
        <v>159</v>
      </c>
      <c r="B115" s="399"/>
      <c r="C115" s="264"/>
      <c r="D115" s="265"/>
      <c r="E115" s="265"/>
      <c r="F115" s="265"/>
      <c r="G115" s="266">
        <f>SUM(G101:G114)</f>
        <v>2163800</v>
      </c>
      <c r="H115" s="267"/>
      <c r="I115" s="265"/>
      <c r="J115" s="265"/>
      <c r="K115" s="265"/>
      <c r="L115" s="266"/>
      <c r="M115" s="264"/>
      <c r="N115" s="265"/>
      <c r="O115" s="265"/>
      <c r="P115" s="266"/>
      <c r="Q115" s="267"/>
      <c r="R115" s="265"/>
      <c r="S115" s="265"/>
      <c r="T115" s="266"/>
      <c r="U115" s="267"/>
      <c r="V115" s="265"/>
      <c r="W115" s="265"/>
      <c r="X115" s="266"/>
    </row>
    <row r="116" spans="1:24" s="6" customFormat="1" x14ac:dyDescent="0.3">
      <c r="A116" s="268" t="s">
        <v>160</v>
      </c>
      <c r="B116" s="344">
        <v>1347300</v>
      </c>
      <c r="C116" s="419"/>
      <c r="D116" s="420"/>
      <c r="E116" s="420"/>
      <c r="F116" s="420"/>
      <c r="G116" s="420"/>
      <c r="H116" s="420"/>
      <c r="I116" s="420"/>
      <c r="J116" s="420"/>
      <c r="K116" s="420"/>
      <c r="L116" s="420"/>
      <c r="M116" s="420"/>
      <c r="N116" s="420"/>
      <c r="O116" s="420"/>
      <c r="P116" s="420"/>
      <c r="Q116" s="420"/>
      <c r="R116" s="420"/>
      <c r="S116" s="420"/>
      <c r="T116" s="420"/>
      <c r="U116" s="420"/>
      <c r="V116" s="420"/>
      <c r="W116" s="420"/>
      <c r="X116" s="421"/>
    </row>
    <row r="117" spans="1:24" x14ac:dyDescent="0.3">
      <c r="B117" s="3"/>
    </row>
    <row r="118" spans="1:24" x14ac:dyDescent="0.3">
      <c r="C118" s="135"/>
      <c r="G118" s="135">
        <f>SUM(G7:G114)</f>
        <v>11050960</v>
      </c>
      <c r="L118" s="135">
        <f>SUM(L7:L114)</f>
        <v>6409260.0000000009</v>
      </c>
      <c r="M118" s="137">
        <f>L118-'3. Procurement Plan - PA'!G86</f>
        <v>0</v>
      </c>
      <c r="P118" s="135">
        <f>SUM(P7:P114)</f>
        <v>19456500</v>
      </c>
      <c r="T118" s="135">
        <f>SUM(T7:T114)</f>
        <v>11735980</v>
      </c>
    </row>
    <row r="119" spans="1:24" x14ac:dyDescent="0.3">
      <c r="B119" s="3"/>
      <c r="C119" s="135"/>
    </row>
    <row r="120" spans="1:24" x14ac:dyDescent="0.3">
      <c r="A120" s="58" t="s">
        <v>161</v>
      </c>
      <c r="B120" s="3">
        <f>+G7+G20+G23+G25+G28+G32+G52</f>
        <v>1455960</v>
      </c>
      <c r="C120" s="135"/>
    </row>
    <row r="121" spans="1:24" ht="14.4" customHeight="1" x14ac:dyDescent="0.3">
      <c r="A121" s="58" t="s">
        <v>162</v>
      </c>
      <c r="B121" s="135">
        <f>SUM(G102:G109)/5</f>
        <v>257760</v>
      </c>
    </row>
    <row r="122" spans="1:24" x14ac:dyDescent="0.3">
      <c r="A122" s="58" t="s">
        <v>163</v>
      </c>
      <c r="B122" s="135">
        <f>+B120+B121</f>
        <v>1713720</v>
      </c>
      <c r="P122" s="137">
        <f>P118-'3. Procurement Plan - PA'!G118</f>
        <v>0</v>
      </c>
    </row>
    <row r="125" spans="1:24" x14ac:dyDescent="0.3">
      <c r="D125" s="348"/>
    </row>
    <row r="126" spans="1:24" x14ac:dyDescent="0.3">
      <c r="D126" s="348"/>
    </row>
    <row r="127" spans="1:24" x14ac:dyDescent="0.3">
      <c r="D127" s="349"/>
    </row>
    <row r="128" spans="1:24" x14ac:dyDescent="0.3">
      <c r="D128" s="349"/>
      <c r="H128" s="347"/>
    </row>
    <row r="129" spans="4:4" x14ac:dyDescent="0.3">
      <c r="D129" s="349"/>
    </row>
    <row r="130" spans="4:4" x14ac:dyDescent="0.3">
      <c r="D130" s="349"/>
    </row>
    <row r="131" spans="4:4" x14ac:dyDescent="0.3">
      <c r="D131" s="349"/>
    </row>
    <row r="132" spans="4:4" x14ac:dyDescent="0.3">
      <c r="D132" s="349"/>
    </row>
    <row r="133" spans="4:4" x14ac:dyDescent="0.3">
      <c r="D133" s="348"/>
    </row>
    <row r="135" spans="4:4" x14ac:dyDescent="0.3">
      <c r="D135" s="135"/>
    </row>
  </sheetData>
  <mergeCells count="61">
    <mergeCell ref="C116:X116"/>
    <mergeCell ref="A81:A85"/>
    <mergeCell ref="A89:A94"/>
    <mergeCell ref="B89:B94"/>
    <mergeCell ref="C96:C97"/>
    <mergeCell ref="C100:X100"/>
    <mergeCell ref="B81:B85"/>
    <mergeCell ref="A110:A113"/>
    <mergeCell ref="B110:B113"/>
    <mergeCell ref="A115:B115"/>
    <mergeCell ref="B95:B99"/>
    <mergeCell ref="A95:A99"/>
    <mergeCell ref="A86:A88"/>
    <mergeCell ref="B86:B88"/>
    <mergeCell ref="C5:X5"/>
    <mergeCell ref="A7:A10"/>
    <mergeCell ref="B7:B10"/>
    <mergeCell ref="A11:A12"/>
    <mergeCell ref="B11:B12"/>
    <mergeCell ref="B20:B22"/>
    <mergeCell ref="A16:A18"/>
    <mergeCell ref="B16:B18"/>
    <mergeCell ref="A25:A27"/>
    <mergeCell ref="B25:B27"/>
    <mergeCell ref="A23:A24"/>
    <mergeCell ref="C1:X1"/>
    <mergeCell ref="A2:B4"/>
    <mergeCell ref="C2:E3"/>
    <mergeCell ref="H2:L3"/>
    <mergeCell ref="M2:P2"/>
    <mergeCell ref="Q2:T2"/>
    <mergeCell ref="U2:X2"/>
    <mergeCell ref="A53:A56"/>
    <mergeCell ref="B60:B66"/>
    <mergeCell ref="A58:A59"/>
    <mergeCell ref="B58:B59"/>
    <mergeCell ref="C69:X69"/>
    <mergeCell ref="B53:B56"/>
    <mergeCell ref="A60:A66"/>
    <mergeCell ref="A78:A79"/>
    <mergeCell ref="B78:B79"/>
    <mergeCell ref="A71:A74"/>
    <mergeCell ref="B71:B74"/>
    <mergeCell ref="A75:A77"/>
    <mergeCell ref="B75:B77"/>
    <mergeCell ref="A13:A15"/>
    <mergeCell ref="B13:B15"/>
    <mergeCell ref="A50:A52"/>
    <mergeCell ref="B50:B52"/>
    <mergeCell ref="A46:A48"/>
    <mergeCell ref="B46:B48"/>
    <mergeCell ref="B37:B42"/>
    <mergeCell ref="A37:A42"/>
    <mergeCell ref="A28:A30"/>
    <mergeCell ref="B23:B24"/>
    <mergeCell ref="B28:B30"/>
    <mergeCell ref="A31:A36"/>
    <mergeCell ref="B31:B36"/>
    <mergeCell ref="A44:A45"/>
    <mergeCell ref="B44:B45"/>
    <mergeCell ref="A20:A22"/>
  </mergeCells>
  <pageMargins left="0" right="0" top="0.75" bottom="0.75" header="0.3" footer="0.3"/>
  <pageSetup paperSize="5"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zoomScale="80" zoomScaleNormal="80" workbookViewId="0">
      <selection activeCell="M61" sqref="M61"/>
    </sheetView>
  </sheetViews>
  <sheetFormatPr defaultColWidth="9" defaultRowHeight="14.4" x14ac:dyDescent="0.3"/>
  <cols>
    <col min="1" max="1" width="45.09765625" style="59" customWidth="1"/>
    <col min="2" max="2" width="11.8984375" style="59" bestFit="1" customWidth="1"/>
    <col min="3" max="3" width="5.8984375" style="63" customWidth="1"/>
    <col min="4" max="4" width="9.8984375" style="59" bestFit="1" customWidth="1"/>
    <col min="5" max="5" width="6.19921875" style="63" bestFit="1" customWidth="1"/>
    <col min="6" max="6" width="10.3984375" style="59" bestFit="1" customWidth="1"/>
    <col min="7" max="7" width="6.19921875" style="63" bestFit="1" customWidth="1"/>
    <col min="8" max="8" width="10.3984375" style="59" bestFit="1" customWidth="1"/>
    <col min="9" max="9" width="6.19921875" style="63" bestFit="1" customWidth="1"/>
    <col min="10" max="10" width="10.3984375" style="59" bestFit="1" customWidth="1"/>
    <col min="11" max="11" width="5.59765625" style="63" customWidth="1"/>
    <col min="12" max="12" width="9.8984375" style="59" bestFit="1" customWidth="1"/>
    <col min="13" max="13" width="7.69921875" style="144" bestFit="1" customWidth="1"/>
    <col min="14" max="16384" width="9" style="7"/>
  </cols>
  <sheetData>
    <row r="1" spans="1:24" ht="24" customHeight="1" thickBot="1" x14ac:dyDescent="0.35">
      <c r="A1" s="437" t="s">
        <v>164</v>
      </c>
      <c r="B1" s="438"/>
      <c r="C1" s="438"/>
      <c r="D1" s="438"/>
      <c r="E1" s="438"/>
      <c r="F1" s="438"/>
      <c r="G1" s="438"/>
      <c r="H1" s="438"/>
      <c r="I1" s="438"/>
      <c r="J1" s="438"/>
      <c r="K1" s="438"/>
      <c r="L1" s="438"/>
      <c r="M1" s="153"/>
      <c r="N1" s="154"/>
      <c r="O1" s="154"/>
      <c r="P1" s="154"/>
      <c r="Q1" s="154"/>
      <c r="R1" s="154"/>
      <c r="S1" s="154"/>
      <c r="T1" s="154"/>
      <c r="U1" s="154"/>
      <c r="V1" s="154"/>
      <c r="W1" s="154"/>
      <c r="X1" s="154"/>
    </row>
    <row r="2" spans="1:24" x14ac:dyDescent="0.3">
      <c r="A2" s="8" t="s">
        <v>165</v>
      </c>
      <c r="B2" s="60">
        <f>B4+B27+B48+B49</f>
        <v>50000000</v>
      </c>
      <c r="C2" s="269">
        <f>D2/$B2*100</f>
        <v>5.8706140880000008</v>
      </c>
      <c r="D2" s="60">
        <f>D4+D27+D48+D49</f>
        <v>2935307.0440000002</v>
      </c>
      <c r="E2" s="269">
        <f>F2/$B2*100</f>
        <v>26.894700839999995</v>
      </c>
      <c r="F2" s="60">
        <f>F4+F27+F48+F49</f>
        <v>13447350.419999998</v>
      </c>
      <c r="G2" s="269">
        <f>H2/$B2*100</f>
        <v>31.170197840000004</v>
      </c>
      <c r="H2" s="60">
        <f>H4+H27+H48+H49</f>
        <v>15585098.92</v>
      </c>
      <c r="I2" s="269">
        <f>J2/$B2*100</f>
        <v>21.311422912000001</v>
      </c>
      <c r="J2" s="60">
        <f>J4+J27+J48+J49</f>
        <v>10655711.456</v>
      </c>
      <c r="K2" s="269">
        <f>L2/$B2*100</f>
        <v>14.75306432</v>
      </c>
      <c r="L2" s="60">
        <f>L4+L27+L48+L49</f>
        <v>7376532.1600000001</v>
      </c>
      <c r="M2" s="153">
        <f>C2+E2+G2+I2+K2</f>
        <v>100</v>
      </c>
      <c r="N2" s="155"/>
      <c r="O2" s="155"/>
      <c r="P2" s="155"/>
      <c r="Q2" s="155"/>
      <c r="R2" s="155"/>
      <c r="S2" s="155"/>
      <c r="T2" s="156"/>
      <c r="U2" s="156"/>
      <c r="V2" s="156"/>
      <c r="W2" s="156"/>
      <c r="X2" s="156"/>
    </row>
    <row r="3" spans="1:24" ht="14.85" customHeight="1" x14ac:dyDescent="0.3">
      <c r="A3" s="439" t="s">
        <v>166</v>
      </c>
      <c r="B3" s="61" t="s">
        <v>167</v>
      </c>
      <c r="C3" s="270" t="s">
        <v>168</v>
      </c>
      <c r="D3" s="271" t="s">
        <v>169</v>
      </c>
      <c r="E3" s="270" t="s">
        <v>168</v>
      </c>
      <c r="F3" s="271" t="s">
        <v>170</v>
      </c>
      <c r="G3" s="270" t="s">
        <v>168</v>
      </c>
      <c r="H3" s="271" t="s">
        <v>171</v>
      </c>
      <c r="I3" s="270" t="s">
        <v>168</v>
      </c>
      <c r="J3" s="271" t="s">
        <v>172</v>
      </c>
      <c r="K3" s="270" t="s">
        <v>168</v>
      </c>
      <c r="L3" s="271" t="s">
        <v>173</v>
      </c>
      <c r="M3" s="153"/>
      <c r="N3" s="156"/>
      <c r="O3" s="156"/>
      <c r="P3" s="156"/>
      <c r="Q3" s="156"/>
      <c r="R3" s="156"/>
      <c r="S3" s="156"/>
      <c r="T3" s="156"/>
      <c r="U3" s="156"/>
      <c r="V3" s="156"/>
      <c r="W3" s="156"/>
      <c r="X3" s="156"/>
    </row>
    <row r="4" spans="1:24" x14ac:dyDescent="0.3">
      <c r="A4" s="440"/>
      <c r="B4" s="62">
        <f>SUM(B5:B24)</f>
        <v>41366794.799999997</v>
      </c>
      <c r="C4" s="272">
        <f>D4/$B4*100</f>
        <v>5.2547437008583522</v>
      </c>
      <c r="D4" s="62">
        <f>SUM(D5:D24)</f>
        <v>2173719.0440000002</v>
      </c>
      <c r="E4" s="272">
        <f>F4/$B4*100</f>
        <v>28.333617425926359</v>
      </c>
      <c r="F4" s="62">
        <f>SUM(F5:F24)</f>
        <v>11720709.379999999</v>
      </c>
      <c r="G4" s="272">
        <f>H4/$B4*100</f>
        <v>32.263189412006369</v>
      </c>
      <c r="H4" s="62">
        <f>SUM(H5:H24)</f>
        <v>13346247.359999999</v>
      </c>
      <c r="I4" s="272">
        <f>J4/$B4*100</f>
        <v>20.490414925741359</v>
      </c>
      <c r="J4" s="62">
        <f>SUM(J5:J24)</f>
        <v>8476227.8959999997</v>
      </c>
      <c r="K4" s="272">
        <f>L4/$B4*100</f>
        <v>13.658034535467564</v>
      </c>
      <c r="L4" s="62">
        <f>SUM(L5:L24)</f>
        <v>5649891.1200000001</v>
      </c>
      <c r="M4" s="153">
        <f t="shared" ref="M4" si="0">C4+E4+G4+I4+K4</f>
        <v>100.00000000000001</v>
      </c>
      <c r="N4" s="156"/>
      <c r="O4" s="156"/>
      <c r="P4" s="156"/>
      <c r="Q4" s="156"/>
      <c r="R4" s="156"/>
      <c r="S4" s="156"/>
      <c r="T4" s="156"/>
      <c r="U4" s="156"/>
      <c r="V4" s="156"/>
      <c r="W4" s="156"/>
      <c r="X4" s="156"/>
    </row>
    <row r="5" spans="1:24" ht="28.8" x14ac:dyDescent="0.3">
      <c r="A5" s="273" t="str">
        <f>'1. Detailed Budget '!A7</f>
        <v>1.1 Estructura Organizacional de la DGII actualizada e implementada</v>
      </c>
      <c r="B5" s="62">
        <f>'1. Detailed Budget '!B7</f>
        <v>2481177.5999999996</v>
      </c>
      <c r="C5" s="272">
        <v>6</v>
      </c>
      <c r="D5" s="274">
        <f>($B5*C5/100)</f>
        <v>148870.65599999999</v>
      </c>
      <c r="E5" s="272">
        <v>40</v>
      </c>
      <c r="F5" s="274">
        <f t="shared" ref="D5:L24" si="1">$B5*E5/100</f>
        <v>992471.0399999998</v>
      </c>
      <c r="G5" s="272">
        <v>40</v>
      </c>
      <c r="H5" s="274">
        <f t="shared" si="1"/>
        <v>992471.0399999998</v>
      </c>
      <c r="I5" s="272">
        <v>14</v>
      </c>
      <c r="J5" s="274">
        <f t="shared" si="1"/>
        <v>347364.86399999988</v>
      </c>
      <c r="K5" s="272">
        <v>0</v>
      </c>
      <c r="L5" s="274">
        <f t="shared" si="1"/>
        <v>0</v>
      </c>
      <c r="M5" s="153">
        <f>C5+E5+G5+I5+K5</f>
        <v>100</v>
      </c>
      <c r="N5" s="156"/>
      <c r="O5" s="156"/>
      <c r="P5" s="156"/>
      <c r="Q5" s="156"/>
      <c r="R5" s="156"/>
      <c r="S5" s="156"/>
      <c r="T5" s="156"/>
      <c r="U5" s="156"/>
      <c r="V5" s="154"/>
      <c r="W5" s="154"/>
      <c r="X5" s="154"/>
    </row>
    <row r="6" spans="1:24" x14ac:dyDescent="0.3">
      <c r="A6" s="273" t="str">
        <f>'1. Detailed Budget '!A11</f>
        <v xml:space="preserve">1.2 Marco Normativo e instrumentos de soporte ajustados </v>
      </c>
      <c r="B6" s="62">
        <f>'1. Detailed Budget '!B11</f>
        <v>587440</v>
      </c>
      <c r="C6" s="272">
        <v>0</v>
      </c>
      <c r="D6" s="274">
        <f t="shared" si="1"/>
        <v>0</v>
      </c>
      <c r="E6" s="272">
        <v>75</v>
      </c>
      <c r="F6" s="274">
        <f t="shared" si="1"/>
        <v>440580</v>
      </c>
      <c r="G6" s="272">
        <v>25</v>
      </c>
      <c r="H6" s="274">
        <f t="shared" si="1"/>
        <v>146860</v>
      </c>
      <c r="I6" s="272">
        <v>0</v>
      </c>
      <c r="J6" s="274">
        <f t="shared" si="1"/>
        <v>0</v>
      </c>
      <c r="K6" s="272">
        <v>0</v>
      </c>
      <c r="L6" s="274">
        <f t="shared" si="1"/>
        <v>0</v>
      </c>
      <c r="M6" s="153">
        <f t="shared" ref="M6:M24" si="2">C6+E6+G6+I6+K6</f>
        <v>100</v>
      </c>
      <c r="N6" s="156"/>
      <c r="O6" s="156"/>
      <c r="P6" s="156"/>
      <c r="Q6" s="156"/>
      <c r="R6" s="156"/>
      <c r="S6" s="156"/>
      <c r="T6" s="156"/>
      <c r="U6" s="156"/>
      <c r="V6" s="154"/>
      <c r="W6" s="154"/>
      <c r="X6" s="154"/>
    </row>
    <row r="7" spans="1:24" ht="28.8" x14ac:dyDescent="0.3">
      <c r="A7" s="273" t="str">
        <f>'1. Detailed Budget '!A13</f>
        <v>1.3 Programa de apoyo a la gestión de cambio de la DGII implantado</v>
      </c>
      <c r="B7" s="62">
        <f>'1. Detailed Budget '!B13</f>
        <v>1495557.6</v>
      </c>
      <c r="C7" s="272">
        <v>0</v>
      </c>
      <c r="D7" s="274">
        <f t="shared" si="1"/>
        <v>0</v>
      </c>
      <c r="E7" s="272">
        <v>30</v>
      </c>
      <c r="F7" s="274">
        <f t="shared" si="1"/>
        <v>448667.28</v>
      </c>
      <c r="G7" s="272">
        <v>30</v>
      </c>
      <c r="H7" s="274">
        <f t="shared" si="1"/>
        <v>448667.28</v>
      </c>
      <c r="I7" s="272">
        <v>20</v>
      </c>
      <c r="J7" s="274">
        <f t="shared" si="1"/>
        <v>299111.52</v>
      </c>
      <c r="K7" s="272">
        <v>20</v>
      </c>
      <c r="L7" s="274">
        <f t="shared" si="1"/>
        <v>299111.52</v>
      </c>
      <c r="M7" s="153">
        <f t="shared" si="2"/>
        <v>100</v>
      </c>
      <c r="N7" s="156"/>
      <c r="O7" s="156"/>
      <c r="P7" s="156"/>
      <c r="Q7" s="156"/>
      <c r="R7" s="156"/>
      <c r="S7" s="156"/>
      <c r="T7" s="156"/>
      <c r="U7" s="156"/>
      <c r="V7" s="154"/>
      <c r="W7" s="154"/>
      <c r="X7" s="154"/>
    </row>
    <row r="8" spans="1:24" ht="28.8" x14ac:dyDescent="0.3">
      <c r="A8" s="273" t="str">
        <f>'1. Detailed Budget '!A16</f>
        <v>1.4 Programa de fortalecimiento de los recursos humanos de la DGII, con enfoque de género, implantado</v>
      </c>
      <c r="B8" s="62">
        <f>'1. Detailed Budget '!B16</f>
        <v>7699219.5999999996</v>
      </c>
      <c r="C8" s="272">
        <v>3</v>
      </c>
      <c r="D8" s="382">
        <f t="shared" si="1"/>
        <v>230976.58799999996</v>
      </c>
      <c r="E8" s="272">
        <v>25</v>
      </c>
      <c r="F8" s="274">
        <f t="shared" si="1"/>
        <v>1924804.9</v>
      </c>
      <c r="G8" s="272">
        <v>30</v>
      </c>
      <c r="H8" s="274">
        <f t="shared" si="1"/>
        <v>2309765.88</v>
      </c>
      <c r="I8" s="272">
        <v>22</v>
      </c>
      <c r="J8" s="274">
        <f t="shared" si="1"/>
        <v>1693828.3119999999</v>
      </c>
      <c r="K8" s="272">
        <v>20</v>
      </c>
      <c r="L8" s="274">
        <f t="shared" si="1"/>
        <v>1539843.92</v>
      </c>
      <c r="M8" s="153">
        <f t="shared" si="2"/>
        <v>100</v>
      </c>
      <c r="N8" s="156"/>
      <c r="O8" s="156"/>
      <c r="P8" s="156"/>
      <c r="Q8" s="156"/>
      <c r="R8" s="156"/>
      <c r="S8" s="156"/>
      <c r="T8" s="156"/>
      <c r="U8" s="156"/>
      <c r="V8" s="154"/>
      <c r="W8" s="154"/>
      <c r="X8" s="154"/>
    </row>
    <row r="9" spans="1:24" ht="30.6" customHeight="1" x14ac:dyDescent="0.3">
      <c r="A9" s="273" t="str">
        <f>'1. Detailed Budget '!A20</f>
        <v>1.5 Nuevo modelo del Registro Nacional de Contribuyentes (RNC) implementado y automatizado</v>
      </c>
      <c r="B9" s="62">
        <f>'1. Detailed Budget '!B20</f>
        <v>1389680</v>
      </c>
      <c r="C9" s="272">
        <v>4</v>
      </c>
      <c r="D9" s="274">
        <f t="shared" si="1"/>
        <v>55587.199999999997</v>
      </c>
      <c r="E9" s="272">
        <v>31</v>
      </c>
      <c r="F9" s="274">
        <f t="shared" si="1"/>
        <v>430800.8</v>
      </c>
      <c r="G9" s="272">
        <v>30</v>
      </c>
      <c r="H9" s="274">
        <f t="shared" si="1"/>
        <v>416904</v>
      </c>
      <c r="I9" s="272">
        <v>20</v>
      </c>
      <c r="J9" s="274">
        <f t="shared" si="1"/>
        <v>277936</v>
      </c>
      <c r="K9" s="272">
        <v>15</v>
      </c>
      <c r="L9" s="274">
        <f t="shared" si="1"/>
        <v>208452</v>
      </c>
      <c r="M9" s="153">
        <f t="shared" si="2"/>
        <v>100</v>
      </c>
      <c r="N9" s="156"/>
      <c r="O9" s="156"/>
      <c r="P9" s="156"/>
      <c r="Q9" s="156"/>
      <c r="R9" s="156"/>
      <c r="S9" s="156"/>
      <c r="T9" s="156"/>
      <c r="U9" s="156"/>
      <c r="V9" s="154"/>
      <c r="W9" s="154"/>
      <c r="X9" s="154"/>
    </row>
    <row r="10" spans="1:24" ht="30.6" customHeight="1" x14ac:dyDescent="0.3">
      <c r="A10" s="273" t="str">
        <f>'1. Detailed Budget '!A23</f>
        <v>1.6 Modelo funcional de la cuenta corriente de los contribuyentes implantado y automatizado</v>
      </c>
      <c r="B10" s="62">
        <f>'1. Detailed Budget '!B23</f>
        <v>690000</v>
      </c>
      <c r="C10" s="272">
        <v>5</v>
      </c>
      <c r="D10" s="274">
        <f t="shared" si="1"/>
        <v>34500</v>
      </c>
      <c r="E10" s="272">
        <v>30</v>
      </c>
      <c r="F10" s="274">
        <f t="shared" si="1"/>
        <v>207000</v>
      </c>
      <c r="G10" s="272">
        <v>30</v>
      </c>
      <c r="H10" s="274">
        <f t="shared" si="1"/>
        <v>207000</v>
      </c>
      <c r="I10" s="272">
        <v>20</v>
      </c>
      <c r="J10" s="274">
        <f t="shared" si="1"/>
        <v>138000</v>
      </c>
      <c r="K10" s="272">
        <v>15</v>
      </c>
      <c r="L10" s="274">
        <f t="shared" si="1"/>
        <v>103500</v>
      </c>
      <c r="M10" s="153">
        <f t="shared" si="2"/>
        <v>100</v>
      </c>
      <c r="N10" s="156"/>
      <c r="O10" s="156"/>
      <c r="P10" s="156"/>
      <c r="Q10" s="156"/>
      <c r="R10" s="156"/>
      <c r="S10" s="156"/>
      <c r="T10" s="156"/>
      <c r="U10" s="156"/>
      <c r="V10" s="154"/>
      <c r="W10" s="154"/>
      <c r="X10" s="154"/>
    </row>
    <row r="11" spans="1:24" ht="43.2" x14ac:dyDescent="0.3">
      <c r="A11" s="273" t="str">
        <f>'1. Detailed Budget '!A25</f>
        <v xml:space="preserve">1.7 Nuevo Modelo operativo de servicio al contribuyente y de educación tributaria implementado y facilidades para los contribuyentes automatizadas </v>
      </c>
      <c r="B11" s="62">
        <f>'1. Detailed Budget '!B25</f>
        <v>693000</v>
      </c>
      <c r="C11" s="272">
        <v>0</v>
      </c>
      <c r="D11" s="274">
        <f t="shared" si="1"/>
        <v>0</v>
      </c>
      <c r="E11" s="272">
        <v>30</v>
      </c>
      <c r="F11" s="274">
        <f t="shared" si="1"/>
        <v>207900</v>
      </c>
      <c r="G11" s="272">
        <v>30</v>
      </c>
      <c r="H11" s="274">
        <f t="shared" si="1"/>
        <v>207900</v>
      </c>
      <c r="I11" s="272">
        <v>20</v>
      </c>
      <c r="J11" s="274">
        <f t="shared" si="1"/>
        <v>138600</v>
      </c>
      <c r="K11" s="272">
        <v>20</v>
      </c>
      <c r="L11" s="274">
        <f t="shared" si="1"/>
        <v>138600</v>
      </c>
      <c r="M11" s="153">
        <f t="shared" si="2"/>
        <v>100</v>
      </c>
      <c r="N11" s="156"/>
      <c r="O11" s="156"/>
      <c r="P11" s="156"/>
      <c r="Q11" s="156"/>
      <c r="R11" s="156"/>
      <c r="S11" s="156"/>
      <c r="T11" s="156"/>
      <c r="U11" s="156"/>
      <c r="V11" s="154"/>
      <c r="W11" s="154"/>
      <c r="X11" s="154"/>
    </row>
    <row r="12" spans="1:24" ht="28.8" x14ac:dyDescent="0.3">
      <c r="A12" s="273" t="str">
        <f>'1. Detailed Budget '!A28</f>
        <v>1.8 Modelo de Facturación actualizado (confirmar con Iván)</v>
      </c>
      <c r="B12" s="62">
        <f>'1. Detailed Budget '!B28</f>
        <v>1178280</v>
      </c>
      <c r="C12" s="272">
        <v>9</v>
      </c>
      <c r="D12" s="274">
        <f t="shared" si="1"/>
        <v>106045.2</v>
      </c>
      <c r="E12" s="272">
        <v>31</v>
      </c>
      <c r="F12" s="274">
        <f t="shared" si="1"/>
        <v>365266.8</v>
      </c>
      <c r="G12" s="272">
        <v>40</v>
      </c>
      <c r="H12" s="274">
        <f t="shared" si="1"/>
        <v>471312</v>
      </c>
      <c r="I12" s="272">
        <v>20</v>
      </c>
      <c r="J12" s="274">
        <f t="shared" si="1"/>
        <v>235656</v>
      </c>
      <c r="K12" s="272">
        <v>0</v>
      </c>
      <c r="L12" s="274">
        <f t="shared" si="1"/>
        <v>0</v>
      </c>
      <c r="M12" s="153">
        <f t="shared" si="2"/>
        <v>100</v>
      </c>
      <c r="N12" s="156"/>
      <c r="O12" s="156"/>
      <c r="P12" s="156"/>
      <c r="Q12" s="156"/>
      <c r="R12" s="156"/>
      <c r="S12" s="156"/>
      <c r="T12" s="156"/>
      <c r="U12" s="156"/>
      <c r="V12" s="154"/>
      <c r="W12" s="154"/>
      <c r="X12" s="154"/>
    </row>
    <row r="13" spans="1:24" ht="28.8" x14ac:dyDescent="0.3">
      <c r="A13" s="273" t="str">
        <f>'1. Detailed Budget '!A31</f>
        <v>1.9 Modelo de Cobranza y Recaudación actualizado e implantado y procesos automatizados</v>
      </c>
      <c r="B13" s="62">
        <f>'1. Detailed Budget '!B31</f>
        <v>1373320</v>
      </c>
      <c r="C13" s="272">
        <v>9</v>
      </c>
      <c r="D13" s="274">
        <f t="shared" si="1"/>
        <v>123598.8</v>
      </c>
      <c r="E13" s="272">
        <v>31</v>
      </c>
      <c r="F13" s="274">
        <f t="shared" si="1"/>
        <v>425729.2</v>
      </c>
      <c r="G13" s="272">
        <v>30</v>
      </c>
      <c r="H13" s="274">
        <f t="shared" si="1"/>
        <v>411996</v>
      </c>
      <c r="I13" s="272">
        <v>30</v>
      </c>
      <c r="J13" s="274">
        <f t="shared" si="1"/>
        <v>411996</v>
      </c>
      <c r="K13" s="272">
        <v>0</v>
      </c>
      <c r="L13" s="274">
        <f t="shared" si="1"/>
        <v>0</v>
      </c>
      <c r="M13" s="153">
        <f t="shared" si="2"/>
        <v>100</v>
      </c>
      <c r="N13" s="156"/>
      <c r="O13" s="156"/>
      <c r="P13" s="156"/>
      <c r="Q13" s="156"/>
      <c r="R13" s="156"/>
      <c r="S13" s="156"/>
      <c r="T13" s="156"/>
      <c r="U13" s="156"/>
      <c r="V13" s="154"/>
      <c r="W13" s="154"/>
      <c r="X13" s="154"/>
    </row>
    <row r="14" spans="1:24" ht="28.8" x14ac:dyDescent="0.3">
      <c r="A14" s="273" t="str">
        <f>'1. Detailed Budget '!A37</f>
        <v>1.10 Modelo de Fiscalización revisado e implantado y procesos automatizados</v>
      </c>
      <c r="B14" s="62">
        <f>'1. Detailed Budget '!B37</f>
        <v>2065920</v>
      </c>
      <c r="C14" s="272">
        <v>27</v>
      </c>
      <c r="D14" s="274">
        <f t="shared" si="1"/>
        <v>557798.40000000002</v>
      </c>
      <c r="E14" s="272">
        <v>35</v>
      </c>
      <c r="F14" s="274">
        <f t="shared" si="1"/>
        <v>723072</v>
      </c>
      <c r="G14" s="272">
        <v>32</v>
      </c>
      <c r="H14" s="274">
        <f t="shared" si="1"/>
        <v>661094.40000000002</v>
      </c>
      <c r="I14" s="272">
        <v>6</v>
      </c>
      <c r="J14" s="274">
        <f t="shared" si="1"/>
        <v>123955.2</v>
      </c>
      <c r="K14" s="272">
        <v>0</v>
      </c>
      <c r="L14" s="274">
        <f t="shared" si="1"/>
        <v>0</v>
      </c>
      <c r="M14" s="153">
        <f t="shared" si="2"/>
        <v>100</v>
      </c>
      <c r="N14" s="156" t="s">
        <v>174</v>
      </c>
      <c r="O14" s="156"/>
      <c r="P14" s="156"/>
      <c r="Q14" s="156"/>
      <c r="R14" s="156"/>
      <c r="S14" s="156"/>
      <c r="T14" s="156"/>
      <c r="U14" s="156"/>
      <c r="V14" s="154"/>
      <c r="W14" s="154"/>
      <c r="X14" s="154"/>
    </row>
    <row r="15" spans="1:24" ht="57.6" x14ac:dyDescent="0.3">
      <c r="A15" s="273" t="str">
        <f>'1. Detailed Budget '!A44</f>
        <v>1.11 Servicios y seguridad de la Oficina Virtual (OFV) para los contribuyentes ampliado (I01) 
0bj1.-Incrementar la productividad de los procedimientos de trabajo</v>
      </c>
      <c r="B15" s="62">
        <f>'1. Detailed Budget '!B44</f>
        <v>166320</v>
      </c>
      <c r="C15" s="272">
        <v>25</v>
      </c>
      <c r="D15" s="274">
        <f t="shared" si="1"/>
        <v>41580</v>
      </c>
      <c r="E15" s="272">
        <v>40</v>
      </c>
      <c r="F15" s="274">
        <f t="shared" si="1"/>
        <v>66528</v>
      </c>
      <c r="G15" s="272">
        <v>20</v>
      </c>
      <c r="H15" s="274">
        <f t="shared" si="1"/>
        <v>33264</v>
      </c>
      <c r="I15" s="272">
        <v>15</v>
      </c>
      <c r="J15" s="274">
        <f t="shared" si="1"/>
        <v>24948</v>
      </c>
      <c r="K15" s="272">
        <v>0</v>
      </c>
      <c r="L15" s="274">
        <f t="shared" si="1"/>
        <v>0</v>
      </c>
      <c r="M15" s="153">
        <f t="shared" si="2"/>
        <v>100</v>
      </c>
      <c r="N15" s="156"/>
      <c r="O15" s="156"/>
      <c r="P15" s="156"/>
      <c r="Q15" s="156"/>
      <c r="R15" s="156"/>
      <c r="S15" s="156"/>
      <c r="T15" s="156"/>
      <c r="U15" s="156"/>
      <c r="V15" s="156"/>
      <c r="W15" s="156"/>
      <c r="X15" s="156"/>
    </row>
    <row r="16" spans="1:24" ht="27" customHeight="1" x14ac:dyDescent="0.3">
      <c r="A16" s="273" t="str">
        <f>'1. Detailed Budget '!A46</f>
        <v>1.12 Sistema de gestión de procesos operativos (workflow) implantado  (I02) 
0bj1.-Incrementar la productividad de los procedimientos de trabajo</v>
      </c>
      <c r="B16" s="62">
        <f>'1. Detailed Budget '!B46</f>
        <v>810880</v>
      </c>
      <c r="C16" s="272">
        <v>7</v>
      </c>
      <c r="D16" s="274">
        <f t="shared" si="1"/>
        <v>56761.599999999999</v>
      </c>
      <c r="E16" s="272">
        <v>40</v>
      </c>
      <c r="F16" s="274">
        <f t="shared" si="1"/>
        <v>324352</v>
      </c>
      <c r="G16" s="272">
        <v>25</v>
      </c>
      <c r="H16" s="274">
        <f t="shared" si="1"/>
        <v>202720</v>
      </c>
      <c r="I16" s="272">
        <v>20</v>
      </c>
      <c r="J16" s="274">
        <f t="shared" si="1"/>
        <v>162176</v>
      </c>
      <c r="K16" s="272">
        <v>8</v>
      </c>
      <c r="L16" s="274">
        <f t="shared" si="1"/>
        <v>64870.400000000001</v>
      </c>
      <c r="M16" s="153">
        <f t="shared" si="2"/>
        <v>100</v>
      </c>
      <c r="N16" s="156"/>
      <c r="O16" s="156"/>
      <c r="P16" s="156"/>
      <c r="Q16" s="156"/>
      <c r="R16" s="156"/>
      <c r="S16" s="156"/>
      <c r="T16" s="156"/>
      <c r="U16" s="156"/>
      <c r="V16" s="156"/>
      <c r="W16" s="156"/>
      <c r="X16" s="156"/>
    </row>
    <row r="17" spans="1:24" ht="57.6" x14ac:dyDescent="0.3">
      <c r="A17" s="273" t="str">
        <f>'1. Detailed Budget '!A49</f>
        <v>1.13 Almacén de datos corporativo (Datawarehouse) implementado (I03)
0bj2.- Aumentar la capacidad para dotarse de soluciones informáticas.</v>
      </c>
      <c r="B17" s="62">
        <f>'1. Detailed Budget '!B49</f>
        <v>500000</v>
      </c>
      <c r="C17" s="272">
        <v>0</v>
      </c>
      <c r="D17" s="274">
        <f t="shared" si="1"/>
        <v>0</v>
      </c>
      <c r="E17" s="272">
        <v>50</v>
      </c>
      <c r="F17" s="274">
        <f t="shared" si="1"/>
        <v>250000</v>
      </c>
      <c r="G17" s="272">
        <v>50</v>
      </c>
      <c r="H17" s="274">
        <f t="shared" si="1"/>
        <v>250000</v>
      </c>
      <c r="I17" s="272">
        <v>0</v>
      </c>
      <c r="J17" s="274">
        <f t="shared" si="1"/>
        <v>0</v>
      </c>
      <c r="K17" s="272">
        <v>0</v>
      </c>
      <c r="L17" s="274">
        <f t="shared" si="1"/>
        <v>0</v>
      </c>
      <c r="M17" s="153">
        <f t="shared" si="2"/>
        <v>100</v>
      </c>
      <c r="N17" s="156"/>
      <c r="O17" s="156"/>
      <c r="P17" s="156"/>
      <c r="Q17" s="156"/>
      <c r="R17" s="156"/>
      <c r="S17" s="156"/>
      <c r="T17" s="156"/>
      <c r="U17" s="156"/>
      <c r="V17" s="156"/>
      <c r="W17" s="156"/>
      <c r="X17" s="156"/>
    </row>
    <row r="18" spans="1:24" ht="51" customHeight="1" x14ac:dyDescent="0.3">
      <c r="A18" s="273" t="str">
        <f>'1. Detailed Budget '!A50</f>
        <v>1.14 Arquitectura institucional de S/TI implantada (I04)
0bj2.- Aumentar la capacidad para dotarse de soluciones informáticas.</v>
      </c>
      <c r="B18" s="62">
        <f>'1. Detailed Budget '!B50</f>
        <v>397715.99999999994</v>
      </c>
      <c r="C18" s="272">
        <v>25</v>
      </c>
      <c r="D18" s="274">
        <f t="shared" si="1"/>
        <v>99428.999999999985</v>
      </c>
      <c r="E18" s="272">
        <v>28</v>
      </c>
      <c r="F18" s="274">
        <f t="shared" si="1"/>
        <v>111360.47999999998</v>
      </c>
      <c r="G18" s="272">
        <v>27</v>
      </c>
      <c r="H18" s="274">
        <f t="shared" si="1"/>
        <v>107383.31999999998</v>
      </c>
      <c r="I18" s="272">
        <v>20</v>
      </c>
      <c r="J18" s="274">
        <f t="shared" si="1"/>
        <v>79543.199999999997</v>
      </c>
      <c r="K18" s="272">
        <v>0</v>
      </c>
      <c r="L18" s="274">
        <f t="shared" si="1"/>
        <v>0</v>
      </c>
      <c r="M18" s="153">
        <f t="shared" si="2"/>
        <v>100</v>
      </c>
      <c r="N18" s="156"/>
      <c r="O18" s="156"/>
      <c r="P18" s="156"/>
      <c r="Q18" s="156"/>
      <c r="R18" s="156"/>
      <c r="S18" s="156"/>
      <c r="T18" s="156"/>
      <c r="U18" s="156"/>
      <c r="V18" s="156"/>
      <c r="W18" s="156"/>
      <c r="X18" s="156"/>
    </row>
    <row r="19" spans="1:24" ht="74.400000000000006" customHeight="1" x14ac:dyDescent="0.3">
      <c r="A19" s="273" t="str">
        <f>'1. Detailed Budget '!A53</f>
        <v>1.15 Plan de mejora de los Procedimientos, capacidades, metodologías y herramientas del área TIC, en especial, de desarrollo,  implantado (I06)
0bj2.- Aumentar la capacidad para dotarse de soluciones informáticas.</v>
      </c>
      <c r="B19" s="62">
        <f>'1. Detailed Budget '!B53</f>
        <v>1867011.2</v>
      </c>
      <c r="C19" s="272">
        <v>5</v>
      </c>
      <c r="D19" s="274">
        <f t="shared" si="1"/>
        <v>93350.56</v>
      </c>
      <c r="E19" s="272">
        <v>40</v>
      </c>
      <c r="F19" s="274">
        <f t="shared" si="1"/>
        <v>746804.48</v>
      </c>
      <c r="G19" s="272">
        <v>30</v>
      </c>
      <c r="H19" s="274">
        <f t="shared" si="1"/>
        <v>560103.36</v>
      </c>
      <c r="I19" s="272">
        <v>25</v>
      </c>
      <c r="J19" s="274">
        <f t="shared" si="1"/>
        <v>466752.8</v>
      </c>
      <c r="K19" s="272">
        <v>0</v>
      </c>
      <c r="L19" s="274">
        <f t="shared" si="1"/>
        <v>0</v>
      </c>
      <c r="M19" s="153">
        <f t="shared" si="2"/>
        <v>100</v>
      </c>
      <c r="N19" s="156"/>
      <c r="O19" s="156"/>
      <c r="P19" s="156"/>
      <c r="Q19" s="156"/>
      <c r="R19" s="156"/>
      <c r="S19" s="156"/>
      <c r="T19" s="156"/>
      <c r="U19" s="156"/>
      <c r="V19" s="156"/>
      <c r="W19" s="156"/>
      <c r="X19" s="156"/>
    </row>
    <row r="20" spans="1:24" ht="62.25" customHeight="1" x14ac:dyDescent="0.3">
      <c r="A20" s="273" t="str">
        <f>'1. Detailed Budget '!A57</f>
        <v>1.16 Aplicación (off-the-Shelf) para la gestión administrativa y de RRHH implantado (I07)
0bj2.- Aumentar la capacidad para dotarse de soluciones informáticas.</v>
      </c>
      <c r="B20" s="62">
        <f>'1. Detailed Budget '!B57</f>
        <v>1020000</v>
      </c>
      <c r="C20" s="272">
        <v>20</v>
      </c>
      <c r="D20" s="274">
        <f t="shared" si="1"/>
        <v>204000</v>
      </c>
      <c r="E20" s="272">
        <v>60</v>
      </c>
      <c r="F20" s="274">
        <f t="shared" si="1"/>
        <v>612000</v>
      </c>
      <c r="G20" s="272">
        <v>20</v>
      </c>
      <c r="H20" s="274">
        <f t="shared" si="1"/>
        <v>204000</v>
      </c>
      <c r="I20" s="272">
        <v>0</v>
      </c>
      <c r="J20" s="274">
        <f t="shared" si="1"/>
        <v>0</v>
      </c>
      <c r="K20" s="272">
        <v>0</v>
      </c>
      <c r="L20" s="274">
        <f t="shared" si="1"/>
        <v>0</v>
      </c>
      <c r="M20" s="153">
        <f t="shared" si="2"/>
        <v>100</v>
      </c>
      <c r="N20" s="156"/>
      <c r="O20" s="156"/>
      <c r="P20" s="156"/>
      <c r="Q20" s="156"/>
      <c r="R20" s="156"/>
      <c r="S20" s="156"/>
      <c r="T20" s="156"/>
      <c r="U20" s="156"/>
      <c r="V20" s="156"/>
      <c r="W20" s="156"/>
      <c r="X20" s="156"/>
    </row>
    <row r="21" spans="1:24" ht="55.5" customHeight="1" x14ac:dyDescent="0.3">
      <c r="A21" s="273" t="str">
        <f>'1. Detailed Budget '!A58</f>
        <v>1.17 Sistema de seguridad fortalecido (I09) y (I10)
0bj3.- Mejorar la seguridad del sistema de información.</v>
      </c>
      <c r="B21" s="62">
        <f>'1. Detailed Budget '!B58</f>
        <v>351580</v>
      </c>
      <c r="C21" s="272">
        <v>80</v>
      </c>
      <c r="D21" s="274">
        <f t="shared" si="1"/>
        <v>281264</v>
      </c>
      <c r="E21" s="272">
        <v>10</v>
      </c>
      <c r="F21" s="274">
        <f t="shared" si="1"/>
        <v>35158</v>
      </c>
      <c r="G21" s="272">
        <v>10</v>
      </c>
      <c r="H21" s="274">
        <f t="shared" si="1"/>
        <v>35158</v>
      </c>
      <c r="I21" s="272">
        <v>0</v>
      </c>
      <c r="J21" s="274">
        <f t="shared" si="1"/>
        <v>0</v>
      </c>
      <c r="K21" s="272">
        <v>0</v>
      </c>
      <c r="L21" s="274">
        <f t="shared" si="1"/>
        <v>0</v>
      </c>
      <c r="M21" s="153">
        <f t="shared" si="2"/>
        <v>100</v>
      </c>
      <c r="N21" s="156"/>
      <c r="O21" s="156"/>
      <c r="P21" s="156"/>
      <c r="Q21" s="156"/>
      <c r="R21" s="156"/>
      <c r="S21" s="156"/>
      <c r="T21" s="156"/>
      <c r="U21" s="156"/>
      <c r="V21" s="156"/>
      <c r="W21" s="156"/>
      <c r="X21" s="156"/>
    </row>
    <row r="22" spans="1:24" ht="43.2" x14ac:dyDescent="0.3">
      <c r="A22" s="273" t="str">
        <f>'1. Detailed Budget '!A60</f>
        <v>1.18 Plan de actualización de la Infraestructura tecnológica implantado (I11)
0bj3.- Mejorar la seguridad del sistema de información.</v>
      </c>
      <c r="B22" s="62">
        <f>'1. Detailed Budget '!B60</f>
        <v>16305440</v>
      </c>
      <c r="C22" s="272">
        <v>0.7</v>
      </c>
      <c r="D22" s="274">
        <f t="shared" si="1"/>
        <v>114138.08</v>
      </c>
      <c r="E22" s="272">
        <v>20</v>
      </c>
      <c r="F22" s="274">
        <f t="shared" si="1"/>
        <v>3261088</v>
      </c>
      <c r="G22" s="272">
        <v>34.299999999999997</v>
      </c>
      <c r="H22" s="274">
        <f t="shared" si="1"/>
        <v>5592765.9199999999</v>
      </c>
      <c r="I22" s="272">
        <v>25</v>
      </c>
      <c r="J22" s="274">
        <f t="shared" si="1"/>
        <v>4076360</v>
      </c>
      <c r="K22" s="272">
        <v>20</v>
      </c>
      <c r="L22" s="274">
        <f t="shared" si="1"/>
        <v>3261088</v>
      </c>
      <c r="M22" s="153">
        <f t="shared" si="2"/>
        <v>100</v>
      </c>
      <c r="N22" s="156"/>
      <c r="O22" s="156"/>
      <c r="P22" s="156"/>
      <c r="Q22" s="156"/>
      <c r="R22" s="156"/>
      <c r="S22" s="156"/>
      <c r="T22" s="156"/>
      <c r="U22" s="156"/>
      <c r="V22" s="156"/>
      <c r="W22" s="156"/>
      <c r="X22" s="156"/>
    </row>
    <row r="23" spans="1:24" ht="43.2" x14ac:dyDescent="0.3">
      <c r="A23" s="273" t="str">
        <f>'1. Detailed Budget '!A67</f>
        <v>1.19 Nueva Estructura de gobernanza de las TIC implantada (I12)
0bj4.- Fortalecer el Gobierno y Gestión de las TIC.</v>
      </c>
      <c r="B23" s="62">
        <f>'1. Detailed Budget '!B67</f>
        <v>172126.4</v>
      </c>
      <c r="C23" s="272">
        <v>15</v>
      </c>
      <c r="D23" s="274">
        <f t="shared" si="1"/>
        <v>25818.959999999999</v>
      </c>
      <c r="E23" s="272">
        <v>50</v>
      </c>
      <c r="F23" s="274">
        <f t="shared" si="1"/>
        <v>86063.2</v>
      </c>
      <c r="G23" s="272">
        <v>15</v>
      </c>
      <c r="H23" s="274">
        <f t="shared" si="1"/>
        <v>25818.959999999999</v>
      </c>
      <c r="I23" s="272">
        <v>0</v>
      </c>
      <c r="J23" s="274">
        <f t="shared" si="1"/>
        <v>0</v>
      </c>
      <c r="K23" s="272">
        <v>20</v>
      </c>
      <c r="L23" s="274">
        <f t="shared" si="1"/>
        <v>34425.279999999999</v>
      </c>
      <c r="M23" s="153">
        <f t="shared" si="2"/>
        <v>100</v>
      </c>
      <c r="N23" s="156"/>
      <c r="O23" s="156"/>
      <c r="P23" s="156"/>
      <c r="Q23" s="156"/>
      <c r="R23" s="156"/>
      <c r="S23" s="156"/>
      <c r="T23" s="156"/>
      <c r="U23" s="156"/>
      <c r="V23" s="156"/>
      <c r="W23" s="156"/>
      <c r="X23" s="156"/>
    </row>
    <row r="24" spans="1:24" ht="28.8" x14ac:dyDescent="0.3">
      <c r="A24" s="273" t="str">
        <f>'1. Detailed Budget '!A68</f>
        <v>1.20 Sistema de gestión de las TIC implantado (I13)
0bj4.- Fortalecer el Gobierno y Gestión de las TIC.</v>
      </c>
      <c r="B24" s="62">
        <f>'1. Detailed Budget '!B68</f>
        <v>122126.39999999999</v>
      </c>
      <c r="C24" s="272">
        <v>0</v>
      </c>
      <c r="D24" s="274">
        <f t="shared" si="1"/>
        <v>0</v>
      </c>
      <c r="E24" s="272">
        <v>50</v>
      </c>
      <c r="F24" s="274">
        <f t="shared" si="1"/>
        <v>61063.199999999997</v>
      </c>
      <c r="G24" s="272">
        <v>50</v>
      </c>
      <c r="H24" s="274">
        <f t="shared" si="1"/>
        <v>61063.199999999997</v>
      </c>
      <c r="I24" s="272">
        <v>0</v>
      </c>
      <c r="J24" s="274">
        <f t="shared" si="1"/>
        <v>0</v>
      </c>
      <c r="K24" s="272">
        <v>0</v>
      </c>
      <c r="L24" s="274">
        <f t="shared" si="1"/>
        <v>0</v>
      </c>
      <c r="M24" s="153">
        <f t="shared" si="2"/>
        <v>100</v>
      </c>
      <c r="N24" s="156"/>
      <c r="O24" s="156"/>
      <c r="P24" s="156"/>
      <c r="Q24" s="156"/>
      <c r="R24" s="156"/>
      <c r="S24" s="156"/>
      <c r="T24" s="156"/>
      <c r="U24" s="156"/>
      <c r="V24" s="156"/>
      <c r="W24" s="156"/>
      <c r="X24" s="156"/>
    </row>
    <row r="25" spans="1:24" x14ac:dyDescent="0.3">
      <c r="A25" s="441"/>
      <c r="B25" s="435"/>
      <c r="C25" s="435"/>
      <c r="D25" s="435"/>
      <c r="E25" s="435"/>
      <c r="F25" s="435"/>
      <c r="G25" s="435"/>
      <c r="H25" s="435"/>
      <c r="I25" s="435"/>
      <c r="J25" s="435"/>
      <c r="K25" s="435"/>
      <c r="L25" s="436"/>
      <c r="M25" s="153"/>
      <c r="N25" s="156"/>
      <c r="O25" s="156"/>
      <c r="P25" s="156"/>
      <c r="Q25" s="156"/>
      <c r="R25" s="156"/>
      <c r="S25" s="156"/>
      <c r="T25" s="156"/>
      <c r="U25" s="156"/>
      <c r="V25" s="156"/>
      <c r="W25" s="156"/>
      <c r="X25" s="156"/>
    </row>
    <row r="26" spans="1:24" x14ac:dyDescent="0.3">
      <c r="A26" s="442" t="s">
        <v>175</v>
      </c>
      <c r="B26" s="271" t="s">
        <v>167</v>
      </c>
      <c r="C26" s="270" t="s">
        <v>168</v>
      </c>
      <c r="D26" s="271" t="s">
        <v>169</v>
      </c>
      <c r="E26" s="270" t="s">
        <v>168</v>
      </c>
      <c r="F26" s="271" t="s">
        <v>170</v>
      </c>
      <c r="G26" s="270" t="s">
        <v>168</v>
      </c>
      <c r="H26" s="271" t="s">
        <v>171</v>
      </c>
      <c r="I26" s="270" t="s">
        <v>168</v>
      </c>
      <c r="J26" s="271" t="s">
        <v>172</v>
      </c>
      <c r="K26" s="270" t="s">
        <v>168</v>
      </c>
      <c r="L26" s="271" t="s">
        <v>173</v>
      </c>
      <c r="M26" s="153"/>
      <c r="N26" s="156"/>
      <c r="O26" s="156"/>
      <c r="P26" s="156"/>
      <c r="Q26" s="156"/>
      <c r="R26" s="156"/>
      <c r="S26" s="156"/>
      <c r="T26" s="156"/>
      <c r="U26" s="156"/>
      <c r="V26" s="156"/>
      <c r="W26" s="156"/>
      <c r="X26" s="156"/>
    </row>
    <row r="27" spans="1:24" x14ac:dyDescent="0.3">
      <c r="A27" s="443"/>
      <c r="B27" s="275">
        <f>SUM(B28:B34)</f>
        <v>5122105.2</v>
      </c>
      <c r="C27" s="272">
        <f>D27/$B27*100</f>
        <v>1.1590546793142789</v>
      </c>
      <c r="D27" s="275">
        <f>SUM(D28:D34)</f>
        <v>59368</v>
      </c>
      <c r="E27" s="272">
        <f>F27/$B27*100</f>
        <v>20</v>
      </c>
      <c r="F27" s="275">
        <f>SUM(F28:F34)</f>
        <v>1024421.04</v>
      </c>
      <c r="G27" s="272">
        <f>H27/$B27*100</f>
        <v>30</v>
      </c>
      <c r="H27" s="275">
        <f>SUM(H28:H34)</f>
        <v>1536631.56</v>
      </c>
      <c r="I27" s="272">
        <f>J27/$B27*100</f>
        <v>28.840945320685723</v>
      </c>
      <c r="J27" s="275">
        <f>SUM(J28:J34)</f>
        <v>1477263.56</v>
      </c>
      <c r="K27" s="272">
        <f>L27/$B27*100</f>
        <v>20</v>
      </c>
      <c r="L27" s="275">
        <f>SUM(L28:L34)</f>
        <v>1024421.04</v>
      </c>
      <c r="M27" s="153"/>
      <c r="N27" s="156"/>
      <c r="O27" s="156"/>
      <c r="P27" s="156"/>
      <c r="Q27" s="156"/>
      <c r="R27" s="156"/>
      <c r="S27" s="156"/>
      <c r="T27" s="156"/>
      <c r="U27" s="156"/>
      <c r="V27" s="156"/>
      <c r="W27" s="156"/>
      <c r="X27" s="156"/>
    </row>
    <row r="28" spans="1:24" s="9" customFormat="1" ht="21.75" customHeight="1" x14ac:dyDescent="0.3">
      <c r="A28" s="273" t="str">
        <f>'1. Detailed Budget '!A71</f>
        <v>2.1 Modelo de programación financiera completado</v>
      </c>
      <c r="B28" s="62">
        <f>'1. Detailed Budget '!B71</f>
        <v>258000</v>
      </c>
      <c r="C28" s="272">
        <v>0</v>
      </c>
      <c r="D28" s="274">
        <f t="shared" ref="D28:D34" si="3">$B28*C28/100</f>
        <v>0</v>
      </c>
      <c r="E28" s="272">
        <v>20</v>
      </c>
      <c r="F28" s="274">
        <f t="shared" ref="F28:F34" si="4">$B28*E28/100</f>
        <v>51600</v>
      </c>
      <c r="G28" s="272">
        <v>30</v>
      </c>
      <c r="H28" s="274">
        <f t="shared" ref="H28:H29" si="5">$B28*G28/100</f>
        <v>77400</v>
      </c>
      <c r="I28" s="272">
        <v>30</v>
      </c>
      <c r="J28" s="274">
        <f t="shared" ref="J28:J34" si="6">$B28*I28/100</f>
        <v>77400</v>
      </c>
      <c r="K28" s="272">
        <v>20</v>
      </c>
      <c r="L28" s="274">
        <f t="shared" ref="L28:L34" si="7">$B28*K28/100</f>
        <v>51600</v>
      </c>
      <c r="M28" s="153">
        <f t="shared" ref="M28:M34" si="8">C28+E28+G28+I28+K28</f>
        <v>100</v>
      </c>
      <c r="N28" s="157"/>
      <c r="O28" s="157"/>
      <c r="P28" s="157"/>
      <c r="Q28" s="157"/>
      <c r="R28" s="157"/>
      <c r="S28" s="157"/>
      <c r="T28" s="157"/>
      <c r="U28" s="157"/>
      <c r="V28" s="157"/>
      <c r="W28" s="157"/>
      <c r="X28" s="157"/>
    </row>
    <row r="29" spans="1:24" s="9" customFormat="1" ht="33" customHeight="1" x14ac:dyDescent="0.3">
      <c r="A29" s="273" t="str">
        <f>'1. Detailed Budget '!A75</f>
        <v>2.2 Marco de Gasto de Mediano Plazo implantado (Política de Presupuesto Plurianual)</v>
      </c>
      <c r="B29" s="62">
        <f>'1. Detailed Budget '!B75</f>
        <v>593680</v>
      </c>
      <c r="C29" s="272">
        <v>10</v>
      </c>
      <c r="D29" s="274">
        <f t="shared" si="3"/>
        <v>59368</v>
      </c>
      <c r="E29" s="272">
        <v>20</v>
      </c>
      <c r="F29" s="274">
        <f t="shared" si="4"/>
        <v>118736</v>
      </c>
      <c r="G29" s="272">
        <v>30</v>
      </c>
      <c r="H29" s="274">
        <f t="shared" si="5"/>
        <v>178104</v>
      </c>
      <c r="I29" s="272">
        <v>20</v>
      </c>
      <c r="J29" s="274">
        <f t="shared" si="6"/>
        <v>118736</v>
      </c>
      <c r="K29" s="272">
        <v>20</v>
      </c>
      <c r="L29" s="274">
        <f t="shared" si="7"/>
        <v>118736</v>
      </c>
      <c r="M29" s="153">
        <f t="shared" si="8"/>
        <v>100</v>
      </c>
      <c r="N29" s="157"/>
      <c r="O29" s="157"/>
      <c r="P29" s="157"/>
      <c r="Q29" s="157"/>
      <c r="R29" s="157"/>
      <c r="S29" s="157"/>
      <c r="T29" s="157"/>
      <c r="U29" s="157"/>
      <c r="V29" s="157"/>
      <c r="W29" s="157"/>
      <c r="X29" s="157"/>
    </row>
    <row r="30" spans="1:24" s="9" customFormat="1" ht="28.8" x14ac:dyDescent="0.3">
      <c r="A30" s="273" t="str">
        <f>'1. Detailed Budget '!A78</f>
        <v>2.3 Modelo de tratamiento de información de la Unidad de Estadísticas Fiscales actualizado</v>
      </c>
      <c r="B30" s="62">
        <f>'1. Detailed Budget '!B78</f>
        <v>232000</v>
      </c>
      <c r="C30" s="272">
        <v>0</v>
      </c>
      <c r="D30" s="274">
        <f t="shared" si="3"/>
        <v>0</v>
      </c>
      <c r="E30" s="272">
        <v>20</v>
      </c>
      <c r="F30" s="274">
        <f t="shared" si="4"/>
        <v>46400</v>
      </c>
      <c r="G30" s="272">
        <v>30</v>
      </c>
      <c r="H30" s="274">
        <f t="shared" ref="H30:H34" si="9">$B30*G30/100</f>
        <v>69600</v>
      </c>
      <c r="I30" s="272">
        <v>30</v>
      </c>
      <c r="J30" s="274">
        <f t="shared" si="6"/>
        <v>69600</v>
      </c>
      <c r="K30" s="272">
        <v>20</v>
      </c>
      <c r="L30" s="274">
        <f t="shared" si="7"/>
        <v>46400</v>
      </c>
      <c r="M30" s="153">
        <f t="shared" si="8"/>
        <v>100</v>
      </c>
      <c r="N30" s="157"/>
      <c r="O30" s="157"/>
      <c r="P30" s="157"/>
      <c r="Q30" s="157"/>
      <c r="R30" s="157"/>
      <c r="S30" s="157"/>
      <c r="T30" s="157"/>
      <c r="U30" s="157"/>
      <c r="V30" s="157"/>
      <c r="W30" s="157"/>
      <c r="X30" s="157"/>
    </row>
    <row r="31" spans="1:24" s="9" customFormat="1" ht="43.2" x14ac:dyDescent="0.3">
      <c r="A31" s="273" t="str">
        <f>'1. Detailed Budget '!A81</f>
        <v>2.4 Modelo de negocios de la Tesorería, incluyendo consolidación de la CUT y fortalecimiento de la programación de caja, implantado</v>
      </c>
      <c r="B31" s="62">
        <f>'1. Detailed Budget '!B81</f>
        <v>1114635.2</v>
      </c>
      <c r="C31" s="272">
        <v>0</v>
      </c>
      <c r="D31" s="274">
        <f t="shared" si="3"/>
        <v>0</v>
      </c>
      <c r="E31" s="272">
        <v>20</v>
      </c>
      <c r="F31" s="274">
        <f t="shared" si="4"/>
        <v>222927.04</v>
      </c>
      <c r="G31" s="272">
        <v>30</v>
      </c>
      <c r="H31" s="274">
        <f t="shared" si="9"/>
        <v>334390.56</v>
      </c>
      <c r="I31" s="272">
        <v>30</v>
      </c>
      <c r="J31" s="274">
        <f t="shared" si="6"/>
        <v>334390.56</v>
      </c>
      <c r="K31" s="272">
        <v>20</v>
      </c>
      <c r="L31" s="274">
        <f t="shared" si="7"/>
        <v>222927.04</v>
      </c>
      <c r="M31" s="153">
        <f t="shared" si="8"/>
        <v>100</v>
      </c>
      <c r="N31" s="157"/>
      <c r="O31" s="157"/>
      <c r="P31" s="157"/>
      <c r="Q31" s="157"/>
      <c r="R31" s="157"/>
      <c r="S31" s="157"/>
      <c r="T31" s="157"/>
      <c r="U31" s="157"/>
      <c r="V31" s="157"/>
      <c r="W31" s="157"/>
      <c r="X31" s="157"/>
    </row>
    <row r="32" spans="1:24" ht="28.8" x14ac:dyDescent="0.3">
      <c r="A32" s="273" t="str">
        <f>'1. Detailed Budget '!A86</f>
        <v xml:space="preserve">2.5 Sistema de gestión de cuentas por cobrar y pagar implantado </v>
      </c>
      <c r="B32" s="62">
        <f>'1. Detailed Budget '!B86</f>
        <v>165000</v>
      </c>
      <c r="C32" s="272">
        <v>0</v>
      </c>
      <c r="D32" s="274">
        <f t="shared" si="3"/>
        <v>0</v>
      </c>
      <c r="E32" s="272">
        <v>20</v>
      </c>
      <c r="F32" s="274">
        <f t="shared" si="4"/>
        <v>33000</v>
      </c>
      <c r="G32" s="272">
        <v>30</v>
      </c>
      <c r="H32" s="274">
        <f t="shared" si="9"/>
        <v>49500</v>
      </c>
      <c r="I32" s="272">
        <v>30</v>
      </c>
      <c r="J32" s="274">
        <f t="shared" si="6"/>
        <v>49500</v>
      </c>
      <c r="K32" s="272">
        <v>20</v>
      </c>
      <c r="L32" s="274">
        <f t="shared" si="7"/>
        <v>33000</v>
      </c>
      <c r="M32" s="153">
        <f t="shared" si="8"/>
        <v>100</v>
      </c>
      <c r="N32" s="156"/>
      <c r="O32" s="156"/>
      <c r="P32" s="156"/>
      <c r="Q32" s="156"/>
      <c r="R32" s="156"/>
      <c r="S32" s="156"/>
      <c r="T32" s="156"/>
      <c r="U32" s="156"/>
      <c r="V32" s="156"/>
      <c r="W32" s="156"/>
      <c r="X32" s="156"/>
    </row>
    <row r="33" spans="1:24" x14ac:dyDescent="0.3">
      <c r="A33" s="273" t="str">
        <f>'1. Detailed Budget '!A89</f>
        <v>2.6 Sistema de gestión de bienes públicos implantado</v>
      </c>
      <c r="B33" s="62">
        <f>'1. Detailed Budget '!B89</f>
        <v>2073460</v>
      </c>
      <c r="C33" s="272">
        <v>0</v>
      </c>
      <c r="D33" s="274">
        <f t="shared" si="3"/>
        <v>0</v>
      </c>
      <c r="E33" s="272">
        <v>20</v>
      </c>
      <c r="F33" s="274">
        <f t="shared" si="4"/>
        <v>414692</v>
      </c>
      <c r="G33" s="272">
        <v>30</v>
      </c>
      <c r="H33" s="274">
        <f t="shared" si="9"/>
        <v>622038</v>
      </c>
      <c r="I33" s="272">
        <v>30</v>
      </c>
      <c r="J33" s="274">
        <f t="shared" si="6"/>
        <v>622038</v>
      </c>
      <c r="K33" s="272">
        <v>20</v>
      </c>
      <c r="L33" s="274">
        <f t="shared" si="7"/>
        <v>414692</v>
      </c>
      <c r="M33" s="153">
        <f t="shared" si="8"/>
        <v>100</v>
      </c>
      <c r="N33" s="156"/>
      <c r="O33" s="156"/>
      <c r="P33" s="156"/>
      <c r="Q33" s="156"/>
      <c r="R33" s="156"/>
      <c r="S33" s="156"/>
      <c r="T33" s="156"/>
      <c r="U33" s="156"/>
      <c r="V33" s="156"/>
      <c r="W33" s="156"/>
      <c r="X33" s="156"/>
    </row>
    <row r="34" spans="1:24" ht="28.8" x14ac:dyDescent="0.3">
      <c r="A34" s="273" t="str">
        <f>'1. Detailed Budget '!A95</f>
        <v>2.7 Plan de fortalecimiento del Catastro Nacional implantado</v>
      </c>
      <c r="B34" s="62">
        <f>'1. Detailed Budget '!B95</f>
        <v>685330</v>
      </c>
      <c r="C34" s="272">
        <v>0</v>
      </c>
      <c r="D34" s="274">
        <f t="shared" si="3"/>
        <v>0</v>
      </c>
      <c r="E34" s="272">
        <v>20</v>
      </c>
      <c r="F34" s="274">
        <f t="shared" si="4"/>
        <v>137066</v>
      </c>
      <c r="G34" s="272">
        <v>30</v>
      </c>
      <c r="H34" s="274">
        <f t="shared" si="9"/>
        <v>205599</v>
      </c>
      <c r="I34" s="272">
        <v>30</v>
      </c>
      <c r="J34" s="274">
        <f t="shared" si="6"/>
        <v>205599</v>
      </c>
      <c r="K34" s="272">
        <v>20</v>
      </c>
      <c r="L34" s="274">
        <f t="shared" si="7"/>
        <v>137066</v>
      </c>
      <c r="M34" s="153">
        <f t="shared" si="8"/>
        <v>100</v>
      </c>
      <c r="N34" s="156"/>
      <c r="O34" s="156"/>
      <c r="P34" s="156"/>
      <c r="Q34" s="156"/>
      <c r="R34" s="156"/>
      <c r="S34" s="156"/>
      <c r="T34" s="156"/>
      <c r="U34" s="156"/>
      <c r="V34" s="156"/>
      <c r="W34" s="156"/>
      <c r="X34" s="156"/>
    </row>
    <row r="35" spans="1:24" x14ac:dyDescent="0.3">
      <c r="A35" s="434"/>
      <c r="B35" s="435"/>
      <c r="C35" s="435"/>
      <c r="D35" s="435"/>
      <c r="E35" s="435"/>
      <c r="F35" s="435"/>
      <c r="G35" s="435"/>
      <c r="H35" s="435"/>
      <c r="I35" s="435"/>
      <c r="J35" s="435"/>
      <c r="K35" s="435"/>
      <c r="L35" s="436"/>
      <c r="M35" s="153"/>
      <c r="N35" s="156"/>
      <c r="O35" s="156"/>
      <c r="P35" s="156"/>
      <c r="Q35" s="156"/>
      <c r="R35" s="156"/>
      <c r="S35" s="156"/>
      <c r="T35" s="156"/>
      <c r="U35" s="156"/>
      <c r="V35" s="156"/>
      <c r="W35" s="156"/>
      <c r="X35" s="156"/>
    </row>
    <row r="36" spans="1:24" x14ac:dyDescent="0.3">
      <c r="A36" s="276" t="str">
        <f>'[2]1. Detailed Budget'!A95</f>
        <v>Total Administración Proyecto</v>
      </c>
      <c r="B36" s="271" t="s">
        <v>167</v>
      </c>
      <c r="C36" s="270" t="s">
        <v>168</v>
      </c>
      <c r="D36" s="271" t="s">
        <v>169</v>
      </c>
      <c r="E36" s="270" t="s">
        <v>168</v>
      </c>
      <c r="F36" s="271" t="s">
        <v>170</v>
      </c>
      <c r="G36" s="270" t="s">
        <v>168</v>
      </c>
      <c r="H36" s="271" t="s">
        <v>171</v>
      </c>
      <c r="I36" s="270" t="s">
        <v>168</v>
      </c>
      <c r="J36" s="271" t="s">
        <v>172</v>
      </c>
      <c r="K36" s="270" t="s">
        <v>168</v>
      </c>
      <c r="L36" s="271" t="s">
        <v>173</v>
      </c>
      <c r="M36" s="153"/>
      <c r="N36" s="156"/>
      <c r="O36" s="156"/>
      <c r="P36" s="156"/>
      <c r="Q36" s="156"/>
      <c r="R36" s="156"/>
      <c r="S36" s="156"/>
      <c r="T36" s="156"/>
      <c r="U36" s="156"/>
      <c r="V36" s="156"/>
      <c r="W36" s="156"/>
      <c r="X36" s="156"/>
    </row>
    <row r="37" spans="1:24" x14ac:dyDescent="0.3">
      <c r="A37" s="273" t="str">
        <f>'1. Detailed Budget '!A101</f>
        <v>Asesor Técnico del Componente I</v>
      </c>
      <c r="B37" s="62">
        <f>'1. Detailed Budget '!B101</f>
        <v>495000</v>
      </c>
      <c r="C37" s="270">
        <v>20</v>
      </c>
      <c r="D37" s="274">
        <f t="shared" ref="D37:D47" si="10">$B37*C37/100</f>
        <v>99000</v>
      </c>
      <c r="E37" s="270">
        <v>20</v>
      </c>
      <c r="F37" s="274">
        <f>$B37*E37/100</f>
        <v>99000</v>
      </c>
      <c r="G37" s="270">
        <v>20</v>
      </c>
      <c r="H37" s="274">
        <f>$B37*G37/100</f>
        <v>99000</v>
      </c>
      <c r="I37" s="270">
        <v>20</v>
      </c>
      <c r="J37" s="274">
        <f>$B37*I37/100</f>
        <v>99000</v>
      </c>
      <c r="K37" s="270">
        <v>20</v>
      </c>
      <c r="L37" s="274">
        <f>$B37*K37/100</f>
        <v>99000</v>
      </c>
      <c r="M37" s="153"/>
      <c r="N37" s="156"/>
      <c r="O37" s="156"/>
      <c r="P37" s="156"/>
      <c r="Q37" s="156"/>
      <c r="R37" s="156"/>
      <c r="S37" s="156"/>
      <c r="T37" s="156"/>
      <c r="U37" s="156"/>
      <c r="V37" s="156"/>
      <c r="W37" s="156"/>
      <c r="X37" s="156"/>
    </row>
    <row r="38" spans="1:24" x14ac:dyDescent="0.3">
      <c r="A38" s="273" t="str">
        <f>'1. Detailed Budget '!A102</f>
        <v>Coordinador Componente I</v>
      </c>
      <c r="B38" s="62">
        <f>'1. Detailed Budget '!B102</f>
        <v>184800</v>
      </c>
      <c r="C38" s="270">
        <v>20</v>
      </c>
      <c r="D38" s="274">
        <f t="shared" si="10"/>
        <v>36960</v>
      </c>
      <c r="E38" s="270">
        <v>20</v>
      </c>
      <c r="F38" s="274">
        <f t="shared" ref="F38:F47" si="11">$B38*E38/100</f>
        <v>36960</v>
      </c>
      <c r="G38" s="270">
        <v>20</v>
      </c>
      <c r="H38" s="274">
        <f t="shared" ref="H38:H46" si="12">$B38*G38/100</f>
        <v>36960</v>
      </c>
      <c r="I38" s="270">
        <v>20</v>
      </c>
      <c r="J38" s="274">
        <f t="shared" ref="J38:J47" si="13">$B38*I38/100</f>
        <v>36960</v>
      </c>
      <c r="K38" s="270">
        <v>20</v>
      </c>
      <c r="L38" s="274">
        <f t="shared" ref="L38:L47" si="14">$B38*K38/100</f>
        <v>36960</v>
      </c>
      <c r="M38" s="153">
        <f t="shared" ref="M38:M47" si="15">C38+E38+G38+I38+K38</f>
        <v>100</v>
      </c>
      <c r="N38" s="156"/>
      <c r="O38" s="156"/>
      <c r="P38" s="156"/>
      <c r="Q38" s="156"/>
      <c r="R38" s="156"/>
      <c r="S38" s="156"/>
      <c r="T38" s="156"/>
      <c r="U38" s="156"/>
      <c r="V38" s="156"/>
      <c r="W38" s="156"/>
      <c r="X38" s="156"/>
    </row>
    <row r="39" spans="1:24" x14ac:dyDescent="0.3">
      <c r="A39" s="273" t="str">
        <f>'1. Detailed Budget '!A103</f>
        <v>Oficial fiduciario-administrativos Componente I</v>
      </c>
      <c r="B39" s="62">
        <f>'1. Detailed Budget '!B103</f>
        <v>90000</v>
      </c>
      <c r="C39" s="270">
        <v>20</v>
      </c>
      <c r="D39" s="274">
        <f t="shared" si="10"/>
        <v>18000</v>
      </c>
      <c r="E39" s="270">
        <v>20</v>
      </c>
      <c r="F39" s="274">
        <f t="shared" si="11"/>
        <v>18000</v>
      </c>
      <c r="G39" s="270">
        <v>20</v>
      </c>
      <c r="H39" s="274">
        <f t="shared" si="12"/>
        <v>18000</v>
      </c>
      <c r="I39" s="270">
        <v>20</v>
      </c>
      <c r="J39" s="274">
        <f t="shared" si="13"/>
        <v>18000</v>
      </c>
      <c r="K39" s="270">
        <v>20</v>
      </c>
      <c r="L39" s="274">
        <f t="shared" si="14"/>
        <v>18000</v>
      </c>
      <c r="M39" s="153">
        <f t="shared" si="15"/>
        <v>100</v>
      </c>
      <c r="N39" s="156"/>
      <c r="O39" s="156"/>
      <c r="P39" s="156"/>
      <c r="Q39" s="156"/>
      <c r="R39" s="156"/>
      <c r="S39" s="156"/>
      <c r="T39" s="156"/>
      <c r="U39" s="156"/>
      <c r="V39" s="156"/>
      <c r="W39" s="156"/>
      <c r="X39" s="156"/>
    </row>
    <row r="40" spans="1:24" x14ac:dyDescent="0.3">
      <c r="A40" s="273" t="str">
        <f>'1. Detailed Budget '!A104</f>
        <v>Experto Adquisiciones Componente I</v>
      </c>
      <c r="B40" s="62">
        <f>'1. Detailed Budget '!B104</f>
        <v>184800</v>
      </c>
      <c r="C40" s="270">
        <v>20</v>
      </c>
      <c r="D40" s="274">
        <f t="shared" si="10"/>
        <v>36960</v>
      </c>
      <c r="E40" s="270">
        <v>20</v>
      </c>
      <c r="F40" s="274">
        <f t="shared" si="11"/>
        <v>36960</v>
      </c>
      <c r="G40" s="270">
        <v>20</v>
      </c>
      <c r="H40" s="274">
        <f t="shared" si="12"/>
        <v>36960</v>
      </c>
      <c r="I40" s="270">
        <v>20</v>
      </c>
      <c r="J40" s="274">
        <f t="shared" si="13"/>
        <v>36960</v>
      </c>
      <c r="K40" s="270">
        <v>20</v>
      </c>
      <c r="L40" s="274">
        <f t="shared" si="14"/>
        <v>36960</v>
      </c>
      <c r="M40" s="153">
        <f t="shared" si="15"/>
        <v>100</v>
      </c>
      <c r="N40" s="156"/>
      <c r="O40" s="156"/>
      <c r="P40" s="156"/>
      <c r="Q40" s="156"/>
      <c r="R40" s="156"/>
      <c r="S40" s="156"/>
      <c r="T40" s="156"/>
      <c r="U40" s="156"/>
      <c r="V40" s="156"/>
      <c r="W40" s="156"/>
      <c r="X40" s="156"/>
    </row>
    <row r="41" spans="1:24" x14ac:dyDescent="0.3">
      <c r="A41" s="273" t="str">
        <f>'1. Detailed Budget '!A105</f>
        <v>Monitoreo Componente I</v>
      </c>
      <c r="B41" s="62">
        <f>'1. Detailed Budget '!B105</f>
        <v>184800</v>
      </c>
      <c r="C41" s="270">
        <v>20</v>
      </c>
      <c r="D41" s="274">
        <f t="shared" si="10"/>
        <v>36960</v>
      </c>
      <c r="E41" s="270">
        <v>20</v>
      </c>
      <c r="F41" s="274">
        <f t="shared" si="11"/>
        <v>36960</v>
      </c>
      <c r="G41" s="270">
        <v>20</v>
      </c>
      <c r="H41" s="274">
        <f t="shared" si="12"/>
        <v>36960</v>
      </c>
      <c r="I41" s="270">
        <v>20</v>
      </c>
      <c r="J41" s="274">
        <f t="shared" si="13"/>
        <v>36960</v>
      </c>
      <c r="K41" s="270">
        <v>20</v>
      </c>
      <c r="L41" s="274">
        <f t="shared" si="14"/>
        <v>36960</v>
      </c>
      <c r="M41" s="153">
        <f t="shared" si="15"/>
        <v>100</v>
      </c>
      <c r="N41" s="156"/>
      <c r="O41" s="156"/>
      <c r="P41" s="156"/>
      <c r="Q41" s="156"/>
      <c r="R41" s="156"/>
      <c r="S41" s="156"/>
      <c r="T41" s="156"/>
      <c r="U41" s="156"/>
      <c r="V41" s="156"/>
      <c r="W41" s="156"/>
      <c r="X41" s="156"/>
    </row>
    <row r="42" spans="1:24" x14ac:dyDescent="0.3">
      <c r="A42" s="273" t="str">
        <f>'1. Detailed Budget '!A106</f>
        <v>Coordinador Componente II</v>
      </c>
      <c r="B42" s="62">
        <f>'1. Detailed Budget '!B106</f>
        <v>184800</v>
      </c>
      <c r="C42" s="270">
        <v>20</v>
      </c>
      <c r="D42" s="274">
        <f t="shared" si="10"/>
        <v>36960</v>
      </c>
      <c r="E42" s="270">
        <v>20</v>
      </c>
      <c r="F42" s="274">
        <f t="shared" si="11"/>
        <v>36960</v>
      </c>
      <c r="G42" s="270">
        <v>20</v>
      </c>
      <c r="H42" s="274">
        <f t="shared" si="12"/>
        <v>36960</v>
      </c>
      <c r="I42" s="270">
        <v>20</v>
      </c>
      <c r="J42" s="274">
        <f t="shared" si="13"/>
        <v>36960</v>
      </c>
      <c r="K42" s="270">
        <v>20</v>
      </c>
      <c r="L42" s="274">
        <f t="shared" si="14"/>
        <v>36960</v>
      </c>
      <c r="M42" s="153">
        <f t="shared" si="15"/>
        <v>100</v>
      </c>
      <c r="N42" s="154"/>
      <c r="O42" s="154"/>
      <c r="P42" s="154"/>
      <c r="Q42" s="154"/>
      <c r="R42" s="154"/>
      <c r="S42" s="154"/>
      <c r="T42" s="154"/>
      <c r="U42" s="154"/>
      <c r="V42" s="154"/>
      <c r="W42" s="154"/>
      <c r="X42" s="154"/>
    </row>
    <row r="43" spans="1:24" x14ac:dyDescent="0.3">
      <c r="A43" s="273" t="str">
        <f>'1. Detailed Budget '!A107</f>
        <v>Oficial fiduciario-administrativos Componente II</v>
      </c>
      <c r="B43" s="62">
        <f>'1. Detailed Budget '!B107</f>
        <v>90000</v>
      </c>
      <c r="C43" s="270">
        <v>20</v>
      </c>
      <c r="D43" s="274">
        <f t="shared" si="10"/>
        <v>18000</v>
      </c>
      <c r="E43" s="270">
        <v>20</v>
      </c>
      <c r="F43" s="274">
        <f t="shared" si="11"/>
        <v>18000</v>
      </c>
      <c r="G43" s="277">
        <v>20</v>
      </c>
      <c r="H43" s="274">
        <f t="shared" si="12"/>
        <v>18000</v>
      </c>
      <c r="I43" s="270">
        <v>20</v>
      </c>
      <c r="J43" s="274">
        <f t="shared" si="13"/>
        <v>18000</v>
      </c>
      <c r="K43" s="277">
        <v>20</v>
      </c>
      <c r="L43" s="274">
        <f t="shared" si="14"/>
        <v>18000</v>
      </c>
      <c r="M43" s="153">
        <f t="shared" si="15"/>
        <v>100</v>
      </c>
      <c r="N43" s="154"/>
      <c r="O43" s="154"/>
      <c r="P43" s="154"/>
      <c r="Q43" s="154"/>
      <c r="R43" s="154"/>
      <c r="S43" s="154"/>
      <c r="T43" s="154"/>
      <c r="U43" s="154"/>
      <c r="V43" s="154"/>
      <c r="W43" s="154"/>
      <c r="X43" s="154"/>
    </row>
    <row r="44" spans="1:24" x14ac:dyDescent="0.3">
      <c r="A44" s="273" t="str">
        <f>'1. Detailed Budget '!A108</f>
        <v>Experto Adquisiciones Componente II</v>
      </c>
      <c r="B44" s="62">
        <f>'1. Detailed Budget '!B108</f>
        <v>184800</v>
      </c>
      <c r="C44" s="270">
        <v>20</v>
      </c>
      <c r="D44" s="274">
        <f t="shared" si="10"/>
        <v>36960</v>
      </c>
      <c r="E44" s="270">
        <v>20</v>
      </c>
      <c r="F44" s="274">
        <f t="shared" si="11"/>
        <v>36960</v>
      </c>
      <c r="G44" s="270">
        <v>20</v>
      </c>
      <c r="H44" s="274">
        <f t="shared" si="12"/>
        <v>36960</v>
      </c>
      <c r="I44" s="277">
        <v>20</v>
      </c>
      <c r="J44" s="274">
        <f t="shared" si="13"/>
        <v>36960</v>
      </c>
      <c r="K44" s="277">
        <v>20</v>
      </c>
      <c r="L44" s="274">
        <f t="shared" si="14"/>
        <v>36960</v>
      </c>
      <c r="M44" s="153">
        <f t="shared" si="15"/>
        <v>100</v>
      </c>
      <c r="N44" s="154"/>
      <c r="O44" s="154"/>
      <c r="P44" s="154"/>
      <c r="Q44" s="154"/>
      <c r="R44" s="154"/>
      <c r="S44" s="154"/>
      <c r="T44" s="154"/>
      <c r="U44" s="154"/>
      <c r="V44" s="154"/>
      <c r="W44" s="154"/>
      <c r="X44" s="154"/>
    </row>
    <row r="45" spans="1:24" x14ac:dyDescent="0.3">
      <c r="A45" s="273" t="str">
        <f>'1. Detailed Budget '!A109</f>
        <v>Monitoreo Componente II</v>
      </c>
      <c r="B45" s="62">
        <f>'1. Detailed Budget '!B109</f>
        <v>184800</v>
      </c>
      <c r="C45" s="270">
        <v>20</v>
      </c>
      <c r="D45" s="274">
        <f t="shared" si="10"/>
        <v>36960</v>
      </c>
      <c r="E45" s="270">
        <v>20</v>
      </c>
      <c r="F45" s="274">
        <f t="shared" si="11"/>
        <v>36960</v>
      </c>
      <c r="G45" s="270">
        <v>20</v>
      </c>
      <c r="H45" s="274">
        <f t="shared" si="12"/>
        <v>36960</v>
      </c>
      <c r="I45" s="277">
        <v>20</v>
      </c>
      <c r="J45" s="274">
        <f t="shared" si="13"/>
        <v>36960</v>
      </c>
      <c r="K45" s="277">
        <v>20</v>
      </c>
      <c r="L45" s="274">
        <f t="shared" si="14"/>
        <v>36960</v>
      </c>
      <c r="M45" s="153">
        <f t="shared" si="15"/>
        <v>100</v>
      </c>
      <c r="N45" s="154"/>
      <c r="O45" s="154"/>
      <c r="P45" s="154"/>
      <c r="Q45" s="154"/>
      <c r="R45" s="154"/>
      <c r="S45" s="154"/>
      <c r="T45" s="154"/>
      <c r="U45" s="154"/>
      <c r="V45" s="154"/>
      <c r="W45" s="154"/>
      <c r="X45" s="154"/>
    </row>
    <row r="46" spans="1:24" x14ac:dyDescent="0.3">
      <c r="A46" s="273" t="str">
        <f>'1. Detailed Budget '!A110</f>
        <v>Evaluación</v>
      </c>
      <c r="B46" s="62">
        <f>'1. Detailed Budget '!B110</f>
        <v>180000</v>
      </c>
      <c r="C46" s="270">
        <v>20</v>
      </c>
      <c r="D46" s="274">
        <f t="shared" si="10"/>
        <v>36000</v>
      </c>
      <c r="E46" s="270">
        <v>20</v>
      </c>
      <c r="F46" s="274">
        <f t="shared" si="11"/>
        <v>36000</v>
      </c>
      <c r="G46" s="270">
        <v>20</v>
      </c>
      <c r="H46" s="274">
        <f t="shared" si="12"/>
        <v>36000</v>
      </c>
      <c r="I46" s="277">
        <v>20</v>
      </c>
      <c r="J46" s="274">
        <f t="shared" si="13"/>
        <v>36000</v>
      </c>
      <c r="K46" s="277">
        <v>20</v>
      </c>
      <c r="L46" s="274">
        <f t="shared" si="14"/>
        <v>36000</v>
      </c>
      <c r="M46" s="153">
        <f t="shared" si="15"/>
        <v>100</v>
      </c>
      <c r="N46" s="154"/>
      <c r="O46" s="154"/>
      <c r="P46" s="154"/>
      <c r="Q46" s="154"/>
      <c r="R46" s="154"/>
      <c r="S46" s="154"/>
      <c r="T46" s="154"/>
      <c r="U46" s="154"/>
      <c r="V46" s="154"/>
      <c r="W46" s="154"/>
      <c r="X46" s="154"/>
    </row>
    <row r="47" spans="1:24" x14ac:dyDescent="0.3">
      <c r="A47" s="273" t="str">
        <f>'1. Detailed Budget '!A114</f>
        <v>Auditoría</v>
      </c>
      <c r="B47" s="62">
        <f>'1. Detailed Budget '!B114</f>
        <v>200000</v>
      </c>
      <c r="C47" s="270">
        <v>20</v>
      </c>
      <c r="D47" s="274">
        <f t="shared" si="10"/>
        <v>40000</v>
      </c>
      <c r="E47" s="270">
        <v>20</v>
      </c>
      <c r="F47" s="274">
        <f t="shared" si="11"/>
        <v>40000</v>
      </c>
      <c r="G47" s="270">
        <v>20</v>
      </c>
      <c r="H47" s="274">
        <f>$B47*G47/100</f>
        <v>40000</v>
      </c>
      <c r="I47" s="277">
        <v>20</v>
      </c>
      <c r="J47" s="274">
        <f t="shared" si="13"/>
        <v>40000</v>
      </c>
      <c r="K47" s="277">
        <v>20</v>
      </c>
      <c r="L47" s="274">
        <f t="shared" si="14"/>
        <v>40000</v>
      </c>
      <c r="M47" s="153">
        <f t="shared" si="15"/>
        <v>100</v>
      </c>
      <c r="N47" s="154"/>
      <c r="O47" s="154"/>
      <c r="P47" s="154"/>
      <c r="Q47" s="154"/>
      <c r="R47" s="154"/>
      <c r="S47" s="154"/>
      <c r="T47" s="154"/>
      <c r="U47" s="154"/>
      <c r="V47" s="154"/>
      <c r="W47" s="154"/>
      <c r="X47" s="154"/>
    </row>
    <row r="48" spans="1:24" x14ac:dyDescent="0.3">
      <c r="A48" s="278" t="s">
        <v>11</v>
      </c>
      <c r="B48" s="279">
        <f>SUM(B37:B47)</f>
        <v>2163800</v>
      </c>
      <c r="C48" s="280">
        <v>20</v>
      </c>
      <c r="D48" s="279">
        <f>SUM(D37:D47)</f>
        <v>432760</v>
      </c>
      <c r="E48" s="280">
        <v>20</v>
      </c>
      <c r="F48" s="279">
        <f>SUM(F37:F47)</f>
        <v>432760</v>
      </c>
      <c r="G48" s="280">
        <v>20</v>
      </c>
      <c r="H48" s="279">
        <f>SUM(H37:H47)</f>
        <v>432760</v>
      </c>
      <c r="I48" s="281">
        <v>20</v>
      </c>
      <c r="J48" s="279">
        <f>SUM(J37:J47)</f>
        <v>432760</v>
      </c>
      <c r="K48" s="281">
        <v>20</v>
      </c>
      <c r="L48" s="279">
        <f>SUM(L37:L47)</f>
        <v>432760</v>
      </c>
      <c r="M48" s="153"/>
      <c r="N48" s="154"/>
      <c r="O48" s="154"/>
      <c r="P48" s="154"/>
      <c r="Q48" s="154"/>
      <c r="R48" s="154"/>
      <c r="S48" s="154"/>
      <c r="T48" s="154"/>
      <c r="U48" s="154"/>
      <c r="V48" s="154"/>
      <c r="W48" s="154"/>
      <c r="X48" s="154"/>
    </row>
    <row r="49" spans="1:13" x14ac:dyDescent="0.3">
      <c r="A49" s="154" t="s">
        <v>160</v>
      </c>
      <c r="B49" s="134">
        <f>'1. Detailed Budget '!B116</f>
        <v>1347300</v>
      </c>
      <c r="C49" s="270">
        <v>20</v>
      </c>
      <c r="D49" s="274">
        <f>$B49*C49/100</f>
        <v>269460</v>
      </c>
      <c r="E49" s="270">
        <v>20</v>
      </c>
      <c r="F49" s="274">
        <f>$B49*E49/100</f>
        <v>269460</v>
      </c>
      <c r="G49" s="270">
        <v>20</v>
      </c>
      <c r="H49" s="274">
        <f>$B49*G49/100</f>
        <v>269460</v>
      </c>
      <c r="I49" s="277">
        <v>20</v>
      </c>
      <c r="J49" s="274">
        <f>$B49*I49/100</f>
        <v>269460</v>
      </c>
      <c r="K49" s="277">
        <v>20</v>
      </c>
      <c r="L49" s="274">
        <f>$B49*K49/100</f>
        <v>269460</v>
      </c>
      <c r="M49" s="153">
        <f>C49+E49+G49+I49+K49</f>
        <v>100</v>
      </c>
    </row>
    <row r="51" spans="1:13" x14ac:dyDescent="0.3">
      <c r="A51" s="154"/>
      <c r="B51" s="156">
        <f>B2-B48-B49</f>
        <v>46488900</v>
      </c>
      <c r="C51" s="156"/>
      <c r="D51" s="156">
        <f>D2-D48-D49</f>
        <v>2233087.0440000002</v>
      </c>
      <c r="E51" s="156"/>
      <c r="F51" s="156">
        <f>F2-F48-F49</f>
        <v>12745130.419999998</v>
      </c>
      <c r="G51" s="156"/>
      <c r="H51" s="156">
        <f>H2-H48-H49</f>
        <v>14882878.92</v>
      </c>
      <c r="I51" s="156"/>
      <c r="J51" s="156">
        <f>J2-J48-J49</f>
        <v>9953491.4560000002</v>
      </c>
      <c r="K51" s="156"/>
      <c r="L51" s="156">
        <f>L2-L48-L49</f>
        <v>6674312.1600000001</v>
      </c>
      <c r="M51" s="153"/>
    </row>
  </sheetData>
  <mergeCells count="5">
    <mergeCell ref="A35:L35"/>
    <mergeCell ref="A1:L1"/>
    <mergeCell ref="A3:A4"/>
    <mergeCell ref="A25:L25"/>
    <mergeCell ref="A26:A2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1"/>
  <sheetViews>
    <sheetView topLeftCell="A35" zoomScale="80" zoomScaleNormal="80" workbookViewId="0">
      <selection activeCell="M61" sqref="M61"/>
    </sheetView>
  </sheetViews>
  <sheetFormatPr defaultRowHeight="15.6" x14ac:dyDescent="0.3"/>
  <cols>
    <col min="1" max="1" width="6.296875" bestFit="1" customWidth="1"/>
    <col min="2" max="2" width="44.69921875" customWidth="1"/>
    <col min="3" max="3" width="17.19921875" bestFit="1" customWidth="1"/>
    <col min="4" max="4" width="16.09765625" bestFit="1" customWidth="1"/>
    <col min="5" max="5" width="17.19921875" bestFit="1" customWidth="1"/>
    <col min="7" max="7" width="11.5" bestFit="1" customWidth="1"/>
    <col min="14" max="14" width="13.796875" bestFit="1" customWidth="1"/>
    <col min="15" max="15" width="12.296875" bestFit="1" customWidth="1"/>
  </cols>
  <sheetData>
    <row r="1" spans="1:13" ht="21" x14ac:dyDescent="0.4">
      <c r="A1" s="447"/>
      <c r="B1" s="448"/>
      <c r="C1" s="448"/>
      <c r="D1" s="448"/>
      <c r="E1" s="448"/>
      <c r="F1" s="448"/>
      <c r="G1" s="448"/>
      <c r="H1" s="448"/>
      <c r="I1" s="448"/>
      <c r="J1" s="448"/>
      <c r="K1" s="448"/>
      <c r="L1" s="448"/>
      <c r="M1" s="448"/>
    </row>
    <row r="2" spans="1:13" ht="21" x14ac:dyDescent="0.3">
      <c r="A2" s="449" t="s">
        <v>176</v>
      </c>
      <c r="B2" s="449"/>
      <c r="C2" s="449"/>
      <c r="D2" s="449"/>
      <c r="E2" s="449"/>
      <c r="F2" s="449"/>
      <c r="G2" s="449"/>
      <c r="H2" s="449"/>
      <c r="I2" s="449"/>
      <c r="J2" s="449"/>
      <c r="K2" s="449"/>
      <c r="L2" s="449"/>
      <c r="M2" s="449"/>
    </row>
    <row r="3" spans="1:13" x14ac:dyDescent="0.3">
      <c r="A3" s="64"/>
      <c r="B3" s="65"/>
      <c r="C3" s="64"/>
      <c r="D3" s="65"/>
      <c r="E3" s="64"/>
      <c r="F3" s="65"/>
      <c r="G3" s="64"/>
      <c r="H3" s="65"/>
      <c r="I3" s="64"/>
      <c r="J3" s="65"/>
      <c r="K3" s="64" t="s">
        <v>177</v>
      </c>
      <c r="L3" s="65"/>
      <c r="M3" s="64"/>
    </row>
    <row r="4" spans="1:13" ht="108" x14ac:dyDescent="0.3">
      <c r="A4" s="282" t="s">
        <v>178</v>
      </c>
      <c r="B4" s="282" t="s">
        <v>179</v>
      </c>
      <c r="C4" s="282" t="s">
        <v>180</v>
      </c>
      <c r="D4" s="282" t="s">
        <v>181</v>
      </c>
      <c r="E4" s="282" t="s">
        <v>182</v>
      </c>
      <c r="F4" s="282" t="s">
        <v>183</v>
      </c>
      <c r="G4" s="282" t="s">
        <v>184</v>
      </c>
      <c r="H4" s="282" t="s">
        <v>185</v>
      </c>
      <c r="I4" s="282" t="s">
        <v>186</v>
      </c>
      <c r="J4" s="282" t="s">
        <v>187</v>
      </c>
      <c r="K4" s="282" t="s">
        <v>188</v>
      </c>
      <c r="L4" s="282" t="s">
        <v>189</v>
      </c>
      <c r="M4" s="282" t="s">
        <v>190</v>
      </c>
    </row>
    <row r="5" spans="1:13" ht="18.600000000000001" thickBot="1" x14ac:dyDescent="0.35">
      <c r="A5" s="450" t="s">
        <v>191</v>
      </c>
      <c r="B5" s="451"/>
      <c r="C5" s="451"/>
      <c r="D5" s="451"/>
      <c r="E5" s="451"/>
      <c r="F5" s="451"/>
      <c r="G5" s="451"/>
      <c r="H5" s="451"/>
      <c r="I5" s="451"/>
      <c r="J5" s="451"/>
      <c r="K5" s="451"/>
      <c r="L5" s="451"/>
      <c r="M5" s="452"/>
    </row>
    <row r="6" spans="1:13" ht="58.2" thickBot="1" x14ac:dyDescent="0.35">
      <c r="A6" s="93">
        <v>1</v>
      </c>
      <c r="B6" s="158" t="str">
        <f>'1. Detailed Budget '!C7</f>
        <v>Consultoría especializada para el acompañamiento de la implementación del nuevo modelo de estructura organizacional de la DGII, con una clara separación de niveles estratégicos, operativos y de control.</v>
      </c>
      <c r="C6" s="94" t="s">
        <v>192</v>
      </c>
      <c r="D6" s="95" t="s">
        <v>193</v>
      </c>
      <c r="E6" s="66">
        <f>'1. Detailed Budget '!G7</f>
        <v>198000</v>
      </c>
      <c r="F6" s="66"/>
      <c r="G6" s="66">
        <f t="shared" ref="G6:G37" si="0">+E6+F6</f>
        <v>198000</v>
      </c>
      <c r="H6" s="67">
        <v>1</v>
      </c>
      <c r="I6" s="68" t="s">
        <v>194</v>
      </c>
      <c r="J6" s="72" t="s">
        <v>196</v>
      </c>
      <c r="K6" s="67">
        <v>2017</v>
      </c>
      <c r="L6" s="69">
        <v>2020</v>
      </c>
      <c r="M6" s="159"/>
    </row>
    <row r="7" spans="1:13" ht="43.8" thickBot="1" x14ac:dyDescent="0.35">
      <c r="A7" s="93">
        <f>A6+1</f>
        <v>2</v>
      </c>
      <c r="B7" s="158" t="str">
        <f>'1. Detailed Budget '!C11</f>
        <v>Consultoría especializada para la actualización del Marco Normativo y de la jurisprudencia (Ver Lista de normas en la Matriz de Resultados)</v>
      </c>
      <c r="C7" s="96" t="s">
        <v>192</v>
      </c>
      <c r="D7" s="283" t="s">
        <v>193</v>
      </c>
      <c r="E7" s="284">
        <f>'1. Detailed Budget '!G11</f>
        <v>132000</v>
      </c>
      <c r="F7" s="284"/>
      <c r="G7" s="284">
        <f t="shared" si="0"/>
        <v>132000</v>
      </c>
      <c r="H7" s="283">
        <v>1</v>
      </c>
      <c r="I7" s="68" t="s">
        <v>194</v>
      </c>
      <c r="J7" s="72" t="s">
        <v>196</v>
      </c>
      <c r="K7" s="67">
        <v>2017</v>
      </c>
      <c r="L7" s="69">
        <v>2019</v>
      </c>
      <c r="M7" s="285"/>
    </row>
    <row r="8" spans="1:13" ht="29.4" thickBot="1" x14ac:dyDescent="0.35">
      <c r="A8" s="93">
        <f t="shared" ref="A8:A62" si="1">A7+1</f>
        <v>3</v>
      </c>
      <c r="B8" s="158" t="str">
        <f>'1. Detailed Budget '!C12</f>
        <v>Diseño y Desarrollo de una aplicación para la consulta a la normativa</v>
      </c>
      <c r="C8" s="96" t="s">
        <v>192</v>
      </c>
      <c r="D8" s="283" t="s">
        <v>193</v>
      </c>
      <c r="E8" s="284">
        <f>'1. Detailed Budget '!G12</f>
        <v>55440</v>
      </c>
      <c r="F8" s="284"/>
      <c r="G8" s="284">
        <f t="shared" si="0"/>
        <v>55440</v>
      </c>
      <c r="H8" s="283">
        <v>1</v>
      </c>
      <c r="I8" s="68" t="s">
        <v>194</v>
      </c>
      <c r="J8" s="163" t="s">
        <v>195</v>
      </c>
      <c r="K8" s="67">
        <v>2017</v>
      </c>
      <c r="L8" s="69">
        <v>2019</v>
      </c>
      <c r="M8" s="285"/>
    </row>
    <row r="9" spans="1:13" ht="29.4" thickBot="1" x14ac:dyDescent="0.35">
      <c r="A9" s="93">
        <f t="shared" si="1"/>
        <v>4</v>
      </c>
      <c r="B9" s="158" t="str">
        <f>'1. Detailed Budget '!C20</f>
        <v>Consultoría especializada para el modelo de datos y la estrategia de actualización del Registro del Contribuyentes</v>
      </c>
      <c r="C9" s="96" t="s">
        <v>192</v>
      </c>
      <c r="D9" s="283" t="s">
        <v>193</v>
      </c>
      <c r="E9" s="284">
        <f>'1. Detailed Budget '!G20</f>
        <v>396000</v>
      </c>
      <c r="F9" s="284"/>
      <c r="G9" s="284">
        <f t="shared" si="0"/>
        <v>396000</v>
      </c>
      <c r="H9" s="283">
        <v>1</v>
      </c>
      <c r="I9" s="68" t="s">
        <v>194</v>
      </c>
      <c r="J9" s="72" t="s">
        <v>196</v>
      </c>
      <c r="K9" s="67">
        <v>2017</v>
      </c>
      <c r="L9" s="69">
        <v>2019</v>
      </c>
      <c r="M9" s="285"/>
    </row>
    <row r="10" spans="1:13" ht="29.4" thickBot="1" x14ac:dyDescent="0.35">
      <c r="A10" s="93">
        <f t="shared" si="1"/>
        <v>5</v>
      </c>
      <c r="B10" s="158" t="str">
        <f>'1. Detailed Budget '!C21</f>
        <v>Consultoría local de apoyo a la depuración de la información existente</v>
      </c>
      <c r="C10" s="96" t="s">
        <v>192</v>
      </c>
      <c r="D10" s="283" t="s">
        <v>193</v>
      </c>
      <c r="E10" s="284">
        <f>'1. Detailed Budget '!G21</f>
        <v>147840</v>
      </c>
      <c r="F10" s="284"/>
      <c r="G10" s="284">
        <f t="shared" si="0"/>
        <v>147840</v>
      </c>
      <c r="H10" s="283">
        <v>1</v>
      </c>
      <c r="I10" s="68" t="s">
        <v>194</v>
      </c>
      <c r="J10" s="163" t="s">
        <v>195</v>
      </c>
      <c r="K10" s="67">
        <v>2017</v>
      </c>
      <c r="L10" s="69">
        <v>2021</v>
      </c>
      <c r="M10" s="285"/>
    </row>
    <row r="11" spans="1:13" ht="43.8" thickBot="1" x14ac:dyDescent="0.35">
      <c r="A11" s="93">
        <f t="shared" si="1"/>
        <v>6</v>
      </c>
      <c r="B11" s="158" t="str">
        <f>'1. Detailed Budget '!C22</f>
        <v>Desarrollo e implementación de la aplicación de gestión del registro de contribuyentes, incluyendo las interfaces con otras entidades públicas y privadas.</v>
      </c>
      <c r="C11" s="160" t="s">
        <v>192</v>
      </c>
      <c r="D11" s="161" t="s">
        <v>193</v>
      </c>
      <c r="E11" s="284">
        <f>'1. Detailed Budget '!G22</f>
        <v>147840</v>
      </c>
      <c r="F11" s="162"/>
      <c r="G11" s="162">
        <f t="shared" si="0"/>
        <v>147840</v>
      </c>
      <c r="H11" s="161">
        <v>1</v>
      </c>
      <c r="I11" s="68" t="s">
        <v>194</v>
      </c>
      <c r="J11" s="163" t="s">
        <v>195</v>
      </c>
      <c r="K11" s="67">
        <v>2017</v>
      </c>
      <c r="L11" s="69">
        <v>2021</v>
      </c>
      <c r="M11" s="164"/>
    </row>
    <row r="12" spans="1:13" ht="29.4" thickBot="1" x14ac:dyDescent="0.35">
      <c r="A12" s="93">
        <f t="shared" si="1"/>
        <v>7</v>
      </c>
      <c r="B12" s="158" t="str">
        <f>'1. Detailed Budget '!C23</f>
        <v xml:space="preserve">Consultoría especializada para el diseño funcional y tecnológico de la cuenta corriente de los contribuyentes.  </v>
      </c>
      <c r="C12" s="71" t="s">
        <v>192</v>
      </c>
      <c r="D12" s="71" t="s">
        <v>193</v>
      </c>
      <c r="E12" s="284">
        <f>'1. Detailed Budget '!G23</f>
        <v>198000</v>
      </c>
      <c r="F12" s="70"/>
      <c r="G12" s="70">
        <f t="shared" si="0"/>
        <v>198000</v>
      </c>
      <c r="H12" s="71">
        <v>1</v>
      </c>
      <c r="I12" s="68" t="s">
        <v>194</v>
      </c>
      <c r="J12" s="72" t="s">
        <v>196</v>
      </c>
      <c r="K12" s="67">
        <v>2017</v>
      </c>
      <c r="L12" s="69">
        <v>2019</v>
      </c>
      <c r="M12" s="73"/>
    </row>
    <row r="13" spans="1:13" ht="29.4" thickBot="1" x14ac:dyDescent="0.35">
      <c r="A13" s="93">
        <f t="shared" si="1"/>
        <v>8</v>
      </c>
      <c r="B13" s="158" t="str">
        <f>'1. Detailed Budget '!C24</f>
        <v>Desarrollo e implementación de la cuenta corriente en el sistema Integrado de Administración Tributaria</v>
      </c>
      <c r="C13" s="286" t="s">
        <v>192</v>
      </c>
      <c r="D13" s="286" t="s">
        <v>193</v>
      </c>
      <c r="E13" s="284">
        <f>'1. Detailed Budget '!G24</f>
        <v>396000</v>
      </c>
      <c r="F13" s="284"/>
      <c r="G13" s="284">
        <f t="shared" si="0"/>
        <v>396000</v>
      </c>
      <c r="H13" s="71">
        <v>1</v>
      </c>
      <c r="I13" s="68" t="s">
        <v>194</v>
      </c>
      <c r="J13" s="72" t="s">
        <v>196</v>
      </c>
      <c r="K13" s="67">
        <v>2017</v>
      </c>
      <c r="L13" s="69">
        <v>2021</v>
      </c>
      <c r="M13" s="165"/>
    </row>
    <row r="14" spans="1:13" ht="72.599999999999994" thickBot="1" x14ac:dyDescent="0.35">
      <c r="A14" s="93">
        <f t="shared" si="1"/>
        <v>9</v>
      </c>
      <c r="B14" s="158" t="str">
        <f>'1. Detailed Budget '!C25</f>
        <v>Consultoría especializada para la actualización del modelo de servicio al contribuyente  (call center, asistencia electrónica y redes sociales, estudios de opinión, área regional de servicios, área de calidad del servicio, oficina virtual, atención presencial)</v>
      </c>
      <c r="C14" s="161" t="s">
        <v>192</v>
      </c>
      <c r="D14" s="161" t="s">
        <v>193</v>
      </c>
      <c r="E14" s="284">
        <f>'1. Detailed Budget '!G25</f>
        <v>132000</v>
      </c>
      <c r="F14" s="162"/>
      <c r="G14" s="284">
        <f t="shared" si="0"/>
        <v>132000</v>
      </c>
      <c r="H14" s="71">
        <v>1</v>
      </c>
      <c r="I14" s="68" t="s">
        <v>194</v>
      </c>
      <c r="J14" s="72" t="s">
        <v>196</v>
      </c>
      <c r="K14" s="67">
        <v>2017</v>
      </c>
      <c r="L14" s="69">
        <v>2019</v>
      </c>
      <c r="M14" s="166"/>
    </row>
    <row r="15" spans="1:13" ht="29.4" thickBot="1" x14ac:dyDescent="0.35">
      <c r="A15" s="93">
        <f t="shared" si="1"/>
        <v>10</v>
      </c>
      <c r="B15" s="158" t="str">
        <f>'1. Detailed Budget '!C26</f>
        <v>Consultoría para la implementación de la ampliación de servicios vía Oficina Virtual (OFV)</v>
      </c>
      <c r="C15" s="71" t="s">
        <v>192</v>
      </c>
      <c r="D15" s="71" t="s">
        <v>193</v>
      </c>
      <c r="E15" s="284">
        <f>'1. Detailed Budget '!G26</f>
        <v>198000</v>
      </c>
      <c r="F15" s="70"/>
      <c r="G15" s="284">
        <f t="shared" si="0"/>
        <v>198000</v>
      </c>
      <c r="H15" s="71">
        <v>1</v>
      </c>
      <c r="I15" s="68" t="s">
        <v>194</v>
      </c>
      <c r="J15" s="72" t="s">
        <v>196</v>
      </c>
      <c r="K15" s="67">
        <v>2017</v>
      </c>
      <c r="L15" s="69">
        <v>2021</v>
      </c>
      <c r="M15" s="73"/>
    </row>
    <row r="16" spans="1:13" ht="61.5" customHeight="1" thickBot="1" x14ac:dyDescent="0.35">
      <c r="A16" s="93">
        <f t="shared" si="1"/>
        <v>11</v>
      </c>
      <c r="B16" s="158" t="str">
        <f>'1. Detailed Budget '!C27</f>
        <v xml:space="preserve">Consultoría para ampliación del alcance y la calidad de los programas de educación tributaria de DGII y para diseño de nuevas y modernas herramientas de educación tributaria para diferentes grupos de contribuyentes </v>
      </c>
      <c r="C16" s="283" t="s">
        <v>192</v>
      </c>
      <c r="D16" s="283" t="s">
        <v>193</v>
      </c>
      <c r="E16" s="284">
        <f>'1. Detailed Budget '!G27</f>
        <v>198000</v>
      </c>
      <c r="F16" s="284"/>
      <c r="G16" s="284">
        <f t="shared" si="0"/>
        <v>198000</v>
      </c>
      <c r="H16" s="71">
        <v>1</v>
      </c>
      <c r="I16" s="68" t="s">
        <v>194</v>
      </c>
      <c r="J16" s="72" t="s">
        <v>196</v>
      </c>
      <c r="K16" s="67">
        <v>2017</v>
      </c>
      <c r="L16" s="69">
        <v>2021</v>
      </c>
      <c r="M16" s="165"/>
    </row>
    <row r="17" spans="1:13" ht="115.8" thickBot="1" x14ac:dyDescent="0.35">
      <c r="A17" s="93">
        <f t="shared" si="1"/>
        <v>12</v>
      </c>
      <c r="B17" s="158" t="str">
        <f>'1. Detailed Budget '!C28</f>
        <v xml:space="preserve">Consultoría especializada para la  actualización del Modelo conceptual de Control de Facturación (incluye sistema de gestión de comprobantes fiscales mejorado: algoritmo de autorización y asignación de secuencia y vencimiento de la autorización, formato de factura, relanzamiento de modelo de comprobante fiscal, solicitud a través de OFV y traspaso del proceso de alta a las AL en caso de que no se pueda hacer OFV). </v>
      </c>
      <c r="C17" s="283" t="s">
        <v>192</v>
      </c>
      <c r="D17" s="283" t="s">
        <v>193</v>
      </c>
      <c r="E17" s="284">
        <f>'1. Detailed Budget '!G28</f>
        <v>297000</v>
      </c>
      <c r="F17" s="284"/>
      <c r="G17" s="284">
        <f t="shared" si="0"/>
        <v>297000</v>
      </c>
      <c r="H17" s="71">
        <v>1</v>
      </c>
      <c r="I17" s="68" t="s">
        <v>194</v>
      </c>
      <c r="J17" s="72" t="s">
        <v>196</v>
      </c>
      <c r="K17" s="67">
        <v>2017</v>
      </c>
      <c r="L17" s="69">
        <v>2020</v>
      </c>
      <c r="M17" s="165"/>
    </row>
    <row r="18" spans="1:13" ht="29.4" thickBot="1" x14ac:dyDescent="0.35">
      <c r="A18" s="93">
        <f t="shared" si="1"/>
        <v>13</v>
      </c>
      <c r="B18" s="158" t="str">
        <f>'1. Detailed Budget '!C29</f>
        <v>Desarrollo e implementación del modelo lógico de facturación</v>
      </c>
      <c r="C18" s="283" t="s">
        <v>192</v>
      </c>
      <c r="D18" s="383" t="s">
        <v>449</v>
      </c>
      <c r="E18" s="284">
        <f>'1. Detailed Budget '!G29</f>
        <v>49280</v>
      </c>
      <c r="F18" s="284"/>
      <c r="G18" s="284">
        <f t="shared" si="0"/>
        <v>49280</v>
      </c>
      <c r="H18" s="71">
        <v>1</v>
      </c>
      <c r="I18" s="68" t="s">
        <v>194</v>
      </c>
      <c r="J18" s="163" t="s">
        <v>195</v>
      </c>
      <c r="K18" s="67">
        <v>2017</v>
      </c>
      <c r="L18" s="69">
        <v>2021</v>
      </c>
      <c r="M18" s="165"/>
    </row>
    <row r="19" spans="1:13" ht="29.4" thickBot="1" x14ac:dyDescent="0.35">
      <c r="A19" s="93">
        <f t="shared" si="1"/>
        <v>14</v>
      </c>
      <c r="B19" s="158" t="str">
        <f>'1. Detailed Budget '!C30</f>
        <v>Desarrollo e implantación de la factura electrónica en los grandes contribuyentes Nacionales y Locales</v>
      </c>
      <c r="C19" s="283" t="s">
        <v>192</v>
      </c>
      <c r="D19" s="283" t="s">
        <v>193</v>
      </c>
      <c r="E19" s="284">
        <f>'1. Detailed Budget '!G30</f>
        <v>792000</v>
      </c>
      <c r="F19" s="284"/>
      <c r="G19" s="284">
        <f t="shared" si="0"/>
        <v>792000</v>
      </c>
      <c r="H19" s="71">
        <v>1</v>
      </c>
      <c r="I19" s="68" t="s">
        <v>194</v>
      </c>
      <c r="J19" s="72" t="s">
        <v>196</v>
      </c>
      <c r="K19" s="67">
        <v>2017</v>
      </c>
      <c r="L19" s="69">
        <v>2021</v>
      </c>
      <c r="M19" s="165"/>
    </row>
    <row r="20" spans="1:13" ht="43.8" thickBot="1" x14ac:dyDescent="0.35">
      <c r="A20" s="93">
        <f t="shared" si="1"/>
        <v>15</v>
      </c>
      <c r="B20" s="158" t="str">
        <f>'1. Detailed Budget '!C31</f>
        <v>Consultoría para desarrollar la estrategia y coordinar la Digitalización de los Expedientes Cobranzas (incluye sistema documental dentro del producto 1.12)</v>
      </c>
      <c r="C20" s="283" t="s">
        <v>192</v>
      </c>
      <c r="D20" s="383" t="s">
        <v>449</v>
      </c>
      <c r="E20" s="284">
        <f>'1. Detailed Budget '!G31</f>
        <v>18480</v>
      </c>
      <c r="F20" s="284"/>
      <c r="G20" s="284">
        <f t="shared" si="0"/>
        <v>18480</v>
      </c>
      <c r="H20" s="71">
        <v>1</v>
      </c>
      <c r="I20" s="68" t="s">
        <v>194</v>
      </c>
      <c r="J20" s="163" t="s">
        <v>195</v>
      </c>
      <c r="K20" s="67">
        <v>2017</v>
      </c>
      <c r="L20" s="69">
        <v>2019</v>
      </c>
      <c r="M20" s="165"/>
    </row>
    <row r="21" spans="1:13" ht="87" thickBot="1" x14ac:dyDescent="0.35">
      <c r="A21" s="93">
        <f t="shared" si="1"/>
        <v>16</v>
      </c>
      <c r="B21" s="158" t="str">
        <f>'1. Detailed Budget '!C32</f>
        <v>Consultoría especializada para la  Modernización del modelo de Cobranza (incluye revisión de marco normativo, proceso de cobranza y controles, revisión de estructura organizacional y roles, diseño de sistemas y tecnología y aplicación del sistema de cobranza e implementación del modelo de cobranza)</v>
      </c>
      <c r="C21" s="283" t="s">
        <v>192</v>
      </c>
      <c r="D21" s="283" t="s">
        <v>193</v>
      </c>
      <c r="E21" s="284">
        <f>'1. Detailed Budget '!G32</f>
        <v>198000</v>
      </c>
      <c r="F21" s="284"/>
      <c r="G21" s="284">
        <f t="shared" si="0"/>
        <v>198000</v>
      </c>
      <c r="H21" s="71">
        <v>1</v>
      </c>
      <c r="I21" s="68" t="s">
        <v>194</v>
      </c>
      <c r="J21" s="72" t="s">
        <v>196</v>
      </c>
      <c r="K21" s="67">
        <v>2017</v>
      </c>
      <c r="L21" s="69">
        <v>2018</v>
      </c>
      <c r="M21" s="165"/>
    </row>
    <row r="22" spans="1:13" ht="29.4" thickBot="1" x14ac:dyDescent="0.35">
      <c r="A22" s="93">
        <f t="shared" si="1"/>
        <v>17</v>
      </c>
      <c r="B22" s="158" t="str">
        <f>'1. Detailed Budget '!C34</f>
        <v>Desarrollo e implementación de la aplicación de cobranza y ejecución del cobro coactivo</v>
      </c>
      <c r="C22" s="283" t="s">
        <v>192</v>
      </c>
      <c r="D22" s="283" t="s">
        <v>193</v>
      </c>
      <c r="E22" s="284">
        <f>'1. Detailed Budget '!G34</f>
        <v>147840</v>
      </c>
      <c r="F22" s="284"/>
      <c r="G22" s="284">
        <f t="shared" si="0"/>
        <v>147840</v>
      </c>
      <c r="H22" s="71">
        <v>1</v>
      </c>
      <c r="I22" s="68" t="s">
        <v>194</v>
      </c>
      <c r="J22" s="163" t="s">
        <v>195</v>
      </c>
      <c r="K22" s="67">
        <v>2017</v>
      </c>
      <c r="L22" s="69">
        <v>2021</v>
      </c>
      <c r="M22" s="165"/>
    </row>
    <row r="23" spans="1:13" ht="29.4" thickBot="1" x14ac:dyDescent="0.35">
      <c r="A23" s="93">
        <f t="shared" si="1"/>
        <v>18</v>
      </c>
      <c r="B23" s="158" t="str">
        <f>'1. Detailed Budget '!C35</f>
        <v>Consultoría especializada para el diseño e implantación de la unidad de análisis y evaluación de la recaudación</v>
      </c>
      <c r="C23" s="283" t="s">
        <v>192</v>
      </c>
      <c r="D23" s="283" t="s">
        <v>193</v>
      </c>
      <c r="E23" s="284">
        <f>'1. Detailed Budget '!G35</f>
        <v>264000</v>
      </c>
      <c r="F23" s="284"/>
      <c r="G23" s="284">
        <f t="shared" si="0"/>
        <v>264000</v>
      </c>
      <c r="H23" s="71">
        <v>1</v>
      </c>
      <c r="I23" s="68" t="s">
        <v>194</v>
      </c>
      <c r="J23" s="72" t="s">
        <v>196</v>
      </c>
      <c r="K23" s="67">
        <v>2017</v>
      </c>
      <c r="L23" s="69">
        <v>2021</v>
      </c>
      <c r="M23" s="167"/>
    </row>
    <row r="24" spans="1:13" ht="101.4" thickBot="1" x14ac:dyDescent="0.35">
      <c r="A24" s="93">
        <f t="shared" si="1"/>
        <v>19</v>
      </c>
      <c r="B24" s="158" t="str">
        <f>'1. Detailed Budget '!C36</f>
        <v>Consultoría especializada para la actualización e implementación del modelo de devoluciones y compensaciones -regímenes especiales (incluye revisión de marco normativo, proceso de cobranza y controles, revisión de estructura organizacional y roles, diseño de sistemas y tecnología y aplicación del sistema de cobranza e implementación del modelo de cobranza)</v>
      </c>
      <c r="C24" s="286" t="s">
        <v>192</v>
      </c>
      <c r="D24" s="286" t="s">
        <v>193</v>
      </c>
      <c r="E24" s="284">
        <f>'1. Detailed Budget '!G36</f>
        <v>198000</v>
      </c>
      <c r="F24" s="287"/>
      <c r="G24" s="284">
        <f t="shared" si="0"/>
        <v>198000</v>
      </c>
      <c r="H24" s="71">
        <v>1</v>
      </c>
      <c r="I24" s="68" t="s">
        <v>194</v>
      </c>
      <c r="J24" s="72" t="s">
        <v>196</v>
      </c>
      <c r="K24" s="67">
        <v>2017</v>
      </c>
      <c r="L24" s="69">
        <v>2019</v>
      </c>
      <c r="M24" s="288"/>
    </row>
    <row r="25" spans="1:13" ht="87" thickBot="1" x14ac:dyDescent="0.35">
      <c r="A25" s="93">
        <f t="shared" si="1"/>
        <v>20</v>
      </c>
      <c r="B25" s="158" t="str">
        <f>'1. Detailed Budget '!C37</f>
        <v>Consultoría especializada para la  actualización e implementación del Modelo de Fiscalización (masiva, selectiva, investigación de fraude y delito tributario), basado en un enfoque de riesgo.(actualización de criterios de selección, revisión de manuales, fuentes y de cruces de información)</v>
      </c>
      <c r="C25" s="67" t="s">
        <v>192</v>
      </c>
      <c r="D25" s="67" t="s">
        <v>193</v>
      </c>
      <c r="E25" s="284">
        <f>'1. Detailed Budget '!G37</f>
        <v>792000</v>
      </c>
      <c r="F25" s="66"/>
      <c r="G25" s="66">
        <f t="shared" si="0"/>
        <v>792000</v>
      </c>
      <c r="H25" s="71">
        <v>1</v>
      </c>
      <c r="I25" s="68" t="s">
        <v>194</v>
      </c>
      <c r="J25" s="72" t="s">
        <v>196</v>
      </c>
      <c r="K25" s="67">
        <v>2017</v>
      </c>
      <c r="L25" s="69">
        <v>2021</v>
      </c>
      <c r="M25" s="74"/>
    </row>
    <row r="26" spans="1:13" ht="29.4" thickBot="1" x14ac:dyDescent="0.35">
      <c r="A26" s="93">
        <f t="shared" si="1"/>
        <v>21</v>
      </c>
      <c r="B26" s="158" t="str">
        <f>'1. Detailed Budget '!C38</f>
        <v>Consultoría para el diseño e implementación de la Unidad de Riesgo y el diseño del modelo de análisis de riesgo</v>
      </c>
      <c r="C26" s="283" t="s">
        <v>192</v>
      </c>
      <c r="D26" s="283" t="s">
        <v>193</v>
      </c>
      <c r="E26" s="284">
        <f>'1. Detailed Budget '!G38</f>
        <v>198000</v>
      </c>
      <c r="F26" s="284"/>
      <c r="G26" s="284">
        <f t="shared" si="0"/>
        <v>198000</v>
      </c>
      <c r="H26" s="71">
        <v>1</v>
      </c>
      <c r="I26" s="68" t="s">
        <v>194</v>
      </c>
      <c r="J26" s="72" t="s">
        <v>196</v>
      </c>
      <c r="K26" s="67">
        <v>2017</v>
      </c>
      <c r="L26" s="69">
        <v>2018</v>
      </c>
      <c r="M26" s="165"/>
    </row>
    <row r="27" spans="1:13" ht="43.8" thickBot="1" x14ac:dyDescent="0.35">
      <c r="A27" s="93">
        <f t="shared" si="1"/>
        <v>22</v>
      </c>
      <c r="B27" s="158" t="str">
        <f>'1. Detailed Budget '!C39</f>
        <v xml:space="preserve">Rediseño y actualización de la aplicación de fiscalización (interfaces del Sistema de Control de Auditoría-SCA, que es un sistema de seguimiento). </v>
      </c>
      <c r="C27" s="283" t="s">
        <v>192</v>
      </c>
      <c r="D27" s="283" t="s">
        <v>193</v>
      </c>
      <c r="E27" s="284">
        <f>'1. Detailed Budget '!G39</f>
        <v>73920</v>
      </c>
      <c r="F27" s="70"/>
      <c r="G27" s="284">
        <f t="shared" si="0"/>
        <v>73920</v>
      </c>
      <c r="H27" s="71">
        <v>1</v>
      </c>
      <c r="I27" s="68" t="s">
        <v>194</v>
      </c>
      <c r="J27" s="163" t="s">
        <v>195</v>
      </c>
      <c r="K27" s="67">
        <v>2017</v>
      </c>
      <c r="L27" s="69">
        <v>2021</v>
      </c>
      <c r="M27" s="73"/>
    </row>
    <row r="28" spans="1:13" ht="43.8" thickBot="1" x14ac:dyDescent="0.35">
      <c r="A28" s="93">
        <f t="shared" si="1"/>
        <v>23</v>
      </c>
      <c r="B28" s="158" t="str">
        <f>'1. Detailed Budget '!C40</f>
        <v>Reforzar la Unidad de auditoría internacional (precios de transferencia, intercambio de información automático, a requerimiento y UBO -conocimiento del beneficiario final)</v>
      </c>
      <c r="C28" s="283" t="s">
        <v>192</v>
      </c>
      <c r="D28" s="283" t="s">
        <v>193</v>
      </c>
      <c r="E28" s="284">
        <f>'1. Detailed Budget '!G40</f>
        <v>297000</v>
      </c>
      <c r="F28" s="284"/>
      <c r="G28" s="284">
        <f t="shared" si="0"/>
        <v>297000</v>
      </c>
      <c r="H28" s="71">
        <v>1</v>
      </c>
      <c r="I28" s="68" t="s">
        <v>194</v>
      </c>
      <c r="J28" s="72" t="s">
        <v>196</v>
      </c>
      <c r="K28" s="67">
        <v>2017</v>
      </c>
      <c r="L28" s="69">
        <v>2021</v>
      </c>
      <c r="M28" s="165"/>
    </row>
    <row r="29" spans="1:13" ht="35.700000000000003" customHeight="1" thickBot="1" x14ac:dyDescent="0.35">
      <c r="A29" s="93">
        <f t="shared" si="1"/>
        <v>24</v>
      </c>
      <c r="B29" s="158" t="str">
        <f>'1. Detailed Budget '!C52</f>
        <v>Consultoría para la mejora del diseño y rendimiento de la bases de datos corporativas. (M042)</v>
      </c>
      <c r="C29" s="283" t="s">
        <v>192</v>
      </c>
      <c r="D29" s="383" t="s">
        <v>449</v>
      </c>
      <c r="E29" s="284">
        <f>'1. Detailed Budget '!G52</f>
        <v>36960</v>
      </c>
      <c r="F29" s="284"/>
      <c r="G29" s="284">
        <f t="shared" si="0"/>
        <v>36960</v>
      </c>
      <c r="H29" s="71">
        <v>1</v>
      </c>
      <c r="I29" s="68" t="s">
        <v>194</v>
      </c>
      <c r="J29" s="163" t="s">
        <v>195</v>
      </c>
      <c r="K29" s="67">
        <v>2017</v>
      </c>
      <c r="L29" s="69">
        <v>2021</v>
      </c>
      <c r="M29" s="165"/>
    </row>
    <row r="30" spans="1:13" ht="29.4" thickBot="1" x14ac:dyDescent="0.35">
      <c r="A30" s="362">
        <f t="shared" si="1"/>
        <v>25</v>
      </c>
      <c r="B30" s="363" t="str">
        <f>'1. Detailed Budget '!C71</f>
        <v xml:space="preserve">Consultoría especializada para la Consolidación del Marco Fiscal de Mediano Plazo </v>
      </c>
      <c r="C30" s="364" t="s">
        <v>192</v>
      </c>
      <c r="D30" s="364" t="s">
        <v>193</v>
      </c>
      <c r="E30" s="365">
        <f>'1. Detailed Budget '!G71</f>
        <v>99000</v>
      </c>
      <c r="F30" s="366"/>
      <c r="G30" s="367">
        <f t="shared" si="0"/>
        <v>99000</v>
      </c>
      <c r="H30" s="368">
        <v>2</v>
      </c>
      <c r="I30" s="369" t="s">
        <v>430</v>
      </c>
      <c r="J30" s="370" t="s">
        <v>196</v>
      </c>
      <c r="K30" s="371">
        <v>2018</v>
      </c>
      <c r="L30" s="364">
        <v>2020</v>
      </c>
      <c r="M30" s="372"/>
    </row>
    <row r="31" spans="1:13" ht="27" customHeight="1" thickBot="1" x14ac:dyDescent="0.35">
      <c r="A31" s="362">
        <f t="shared" si="1"/>
        <v>26</v>
      </c>
      <c r="B31" s="363" t="str">
        <f>'1. Detailed Budget '!C72</f>
        <v>Consultoría especializada para desarrollar e implantar los módulos del sector real y externo del modelo de la programación financiera</v>
      </c>
      <c r="C31" s="364" t="s">
        <v>192</v>
      </c>
      <c r="D31" s="364" t="s">
        <v>449</v>
      </c>
      <c r="E31" s="365">
        <f>'1. Detailed Budget '!G72</f>
        <v>49500</v>
      </c>
      <c r="F31" s="366"/>
      <c r="G31" s="367">
        <f t="shared" si="0"/>
        <v>49500</v>
      </c>
      <c r="H31" s="368">
        <v>2</v>
      </c>
      <c r="I31" s="369" t="s">
        <v>430</v>
      </c>
      <c r="J31" s="370" t="s">
        <v>196</v>
      </c>
      <c r="K31" s="371">
        <v>2018</v>
      </c>
      <c r="L31" s="364">
        <v>2021</v>
      </c>
      <c r="M31" s="372"/>
    </row>
    <row r="32" spans="1:13" ht="29.4" thickBot="1" x14ac:dyDescent="0.35">
      <c r="A32" s="362">
        <f t="shared" si="1"/>
        <v>27</v>
      </c>
      <c r="B32" s="363" t="str">
        <f>'1. Detailed Budget '!C73</f>
        <v>Consultoría especializada para desarrollar e implantar el modelo de consistencia macro económica</v>
      </c>
      <c r="C32" s="364" t="s">
        <v>192</v>
      </c>
      <c r="D32" s="364" t="s">
        <v>449</v>
      </c>
      <c r="E32" s="365">
        <f>'1. Detailed Budget '!G73</f>
        <v>49500</v>
      </c>
      <c r="F32" s="366"/>
      <c r="G32" s="367">
        <f t="shared" si="0"/>
        <v>49500</v>
      </c>
      <c r="H32" s="368">
        <v>2</v>
      </c>
      <c r="I32" s="369" t="s">
        <v>430</v>
      </c>
      <c r="J32" s="370" t="s">
        <v>196</v>
      </c>
      <c r="K32" s="371">
        <v>2018</v>
      </c>
      <c r="L32" s="364">
        <v>2021</v>
      </c>
      <c r="M32" s="372"/>
    </row>
    <row r="33" spans="1:13" ht="29.4" thickBot="1" x14ac:dyDescent="0.35">
      <c r="A33" s="362">
        <f t="shared" si="1"/>
        <v>28</v>
      </c>
      <c r="B33" s="363" t="str">
        <f>'1. Detailed Budget '!C75</f>
        <v>Consultoría especializada para el desarrollo e implantación del Marco de Gasto de Mediano Plazo</v>
      </c>
      <c r="C33" s="364" t="s">
        <v>192</v>
      </c>
      <c r="D33" s="364" t="s">
        <v>193</v>
      </c>
      <c r="E33" s="365">
        <f>'1. Detailed Budget '!G75</f>
        <v>198000</v>
      </c>
      <c r="F33" s="366"/>
      <c r="G33" s="367">
        <f t="shared" si="0"/>
        <v>198000</v>
      </c>
      <c r="H33" s="368">
        <v>2</v>
      </c>
      <c r="I33" s="369" t="s">
        <v>430</v>
      </c>
      <c r="J33" s="370" t="s">
        <v>196</v>
      </c>
      <c r="K33" s="371">
        <v>2018</v>
      </c>
      <c r="L33" s="364">
        <v>2021</v>
      </c>
      <c r="M33" s="372"/>
    </row>
    <row r="34" spans="1:13" ht="28.8" customHeight="1" thickBot="1" x14ac:dyDescent="0.35">
      <c r="A34" s="362">
        <f t="shared" si="1"/>
        <v>29</v>
      </c>
      <c r="B34" s="363" t="str">
        <f>'1. Detailed Budget '!C76</f>
        <v>Consultoría especializada para la elaboración de estudios de reingeniería de las entidades que gestionan recursos presupuestarios (104 entidades del sector publico no financiero)</v>
      </c>
      <c r="C34" s="364" t="s">
        <v>192</v>
      </c>
      <c r="D34" s="364" t="s">
        <v>193</v>
      </c>
      <c r="E34" s="365">
        <f>'1. Detailed Budget '!G76</f>
        <v>295680</v>
      </c>
      <c r="F34" s="366"/>
      <c r="G34" s="367">
        <f t="shared" si="0"/>
        <v>295680</v>
      </c>
      <c r="H34" s="368">
        <v>2</v>
      </c>
      <c r="I34" s="369" t="s">
        <v>430</v>
      </c>
      <c r="J34" s="370" t="s">
        <v>195</v>
      </c>
      <c r="K34" s="371">
        <v>2017</v>
      </c>
      <c r="L34" s="364">
        <v>2018</v>
      </c>
      <c r="M34" s="372"/>
    </row>
    <row r="35" spans="1:13" ht="29.4" thickBot="1" x14ac:dyDescent="0.35">
      <c r="A35" s="362">
        <f t="shared" si="1"/>
        <v>30</v>
      </c>
      <c r="B35" s="363" t="str">
        <f>'1. Detailed Budget '!C78</f>
        <v xml:space="preserve">Consultoría especializada para definir el modelo de tratamiento y publicación de información estadística fiscal </v>
      </c>
      <c r="C35" s="364" t="s">
        <v>192</v>
      </c>
      <c r="D35" s="364" t="s">
        <v>193</v>
      </c>
      <c r="E35" s="365">
        <f>'1. Detailed Budget '!G78</f>
        <v>132000</v>
      </c>
      <c r="F35" s="366"/>
      <c r="G35" s="367">
        <f t="shared" si="0"/>
        <v>132000</v>
      </c>
      <c r="H35" s="368">
        <v>2</v>
      </c>
      <c r="I35" s="369" t="s">
        <v>430</v>
      </c>
      <c r="J35" s="370" t="s">
        <v>196</v>
      </c>
      <c r="K35" s="371">
        <v>2018</v>
      </c>
      <c r="L35" s="364">
        <v>2021</v>
      </c>
      <c r="M35" s="372"/>
    </row>
    <row r="36" spans="1:13" ht="29.4" thickBot="1" x14ac:dyDescent="0.35">
      <c r="A36" s="362">
        <f t="shared" si="1"/>
        <v>31</v>
      </c>
      <c r="B36" s="363" t="str">
        <f>'1. Detailed Budget '!C86</f>
        <v>Consultoría Internacional para definición conceptual y funcional del módulo de Cuentas por Cobrar y Pagar</v>
      </c>
      <c r="C36" s="364" t="s">
        <v>192</v>
      </c>
      <c r="D36" s="364" t="s">
        <v>193</v>
      </c>
      <c r="E36" s="365">
        <f>'1. Detailed Budget '!G86</f>
        <v>82500</v>
      </c>
      <c r="F36" s="366"/>
      <c r="G36" s="367">
        <f t="shared" si="0"/>
        <v>82500</v>
      </c>
      <c r="H36" s="368">
        <v>2</v>
      </c>
      <c r="I36" s="369" t="s">
        <v>430</v>
      </c>
      <c r="J36" s="370" t="s">
        <v>196</v>
      </c>
      <c r="K36" s="371">
        <v>2018</v>
      </c>
      <c r="L36" s="364">
        <v>2021</v>
      </c>
      <c r="M36" s="372"/>
    </row>
    <row r="37" spans="1:13" ht="72.599999999999994" thickBot="1" x14ac:dyDescent="0.35">
      <c r="A37" s="362">
        <f t="shared" si="1"/>
        <v>32</v>
      </c>
      <c r="B37" s="363" t="str">
        <f>'1. Detailed Budget '!C87</f>
        <v>Consultoría Internacional para revisión del marco conceptual del SIGEF y definición de una ruta critica para el desarrollo de los productos a financiar, incluyo revisión de la matriz contable, estados de flujo de efectivo y cambios en el patrimonio.</v>
      </c>
      <c r="C37" s="364" t="s">
        <v>192</v>
      </c>
      <c r="D37" s="364" t="s">
        <v>449</v>
      </c>
      <c r="E37" s="365">
        <f>'1. Detailed Budget '!G87</f>
        <v>49500</v>
      </c>
      <c r="F37" s="366"/>
      <c r="G37" s="367">
        <f t="shared" si="0"/>
        <v>49500</v>
      </c>
      <c r="H37" s="368">
        <v>2</v>
      </c>
      <c r="I37" s="369" t="s">
        <v>430</v>
      </c>
      <c r="J37" s="370" t="s">
        <v>196</v>
      </c>
      <c r="K37" s="371">
        <v>2018</v>
      </c>
      <c r="L37" s="364">
        <v>2021</v>
      </c>
      <c r="M37" s="372"/>
    </row>
    <row r="38" spans="1:13" ht="29.4" thickBot="1" x14ac:dyDescent="0.35">
      <c r="A38" s="362">
        <f t="shared" si="1"/>
        <v>33</v>
      </c>
      <c r="B38" s="363" t="str">
        <f>'1. Detailed Budget '!C88</f>
        <v>Consultoría Internacional para definición conceptual y funcional de la interface SIGADE / SIGEF</v>
      </c>
      <c r="C38" s="364" t="s">
        <v>192</v>
      </c>
      <c r="D38" s="364" t="s">
        <v>449</v>
      </c>
      <c r="E38" s="365">
        <f>'1. Detailed Budget '!G88</f>
        <v>33000</v>
      </c>
      <c r="F38" s="366"/>
      <c r="G38" s="367">
        <f t="shared" ref="G38:G62" si="2">+E38+F38</f>
        <v>33000</v>
      </c>
      <c r="H38" s="368">
        <v>2</v>
      </c>
      <c r="I38" s="369" t="s">
        <v>430</v>
      </c>
      <c r="J38" s="370" t="s">
        <v>196</v>
      </c>
      <c r="K38" s="371">
        <v>2018</v>
      </c>
      <c r="L38" s="364">
        <v>2021</v>
      </c>
      <c r="M38" s="372"/>
    </row>
    <row r="39" spans="1:13" ht="43.8" thickBot="1" x14ac:dyDescent="0.35">
      <c r="A39" s="362">
        <f t="shared" si="1"/>
        <v>34</v>
      </c>
      <c r="B39" s="363" t="str">
        <f>'1. Detailed Budget '!C81</f>
        <v>Consultoría especializada para la revisión e implantación del modelo de negocios de la Tesorería, incluyendo la evaluación de riesgos operacionales</v>
      </c>
      <c r="C39" s="364" t="s">
        <v>192</v>
      </c>
      <c r="D39" s="364" t="s">
        <v>193</v>
      </c>
      <c r="E39" s="365">
        <f>'1. Detailed Budget '!G81</f>
        <v>198000</v>
      </c>
      <c r="F39" s="366"/>
      <c r="G39" s="367">
        <f t="shared" si="2"/>
        <v>198000</v>
      </c>
      <c r="H39" s="368">
        <v>2</v>
      </c>
      <c r="I39" s="369" t="s">
        <v>430</v>
      </c>
      <c r="J39" s="370" t="s">
        <v>196</v>
      </c>
      <c r="K39" s="371">
        <v>2018</v>
      </c>
      <c r="L39" s="364">
        <v>2020</v>
      </c>
      <c r="M39" s="372"/>
    </row>
    <row r="40" spans="1:13" ht="87" thickBot="1" x14ac:dyDescent="0.35">
      <c r="A40" s="362">
        <f t="shared" si="1"/>
        <v>35</v>
      </c>
      <c r="B40" s="363" t="str">
        <f>'1. Detailed Budget '!C82</f>
        <v>Consultoría especializada para la apoyar la consolidación de la CUT, incluye: (i) el desarrollo e implantación de un modelo de pago a través de tarjetas de débito para compras gubernamentales pequeñas para reducir el mecanismo de anticipos financieros; y (ii) la incorporación de los poderes Legislativo y Judicial a la CUT.</v>
      </c>
      <c r="C40" s="364" t="s">
        <v>192</v>
      </c>
      <c r="D40" s="364" t="s">
        <v>193</v>
      </c>
      <c r="E40" s="365">
        <f>'1. Detailed Budget '!G82</f>
        <v>148500</v>
      </c>
      <c r="F40" s="366"/>
      <c r="G40" s="367">
        <f t="shared" si="2"/>
        <v>148500</v>
      </c>
      <c r="H40" s="368">
        <v>2</v>
      </c>
      <c r="I40" s="369" t="s">
        <v>430</v>
      </c>
      <c r="J40" s="370" t="s">
        <v>196</v>
      </c>
      <c r="K40" s="371">
        <v>2019</v>
      </c>
      <c r="L40" s="364">
        <v>2021</v>
      </c>
      <c r="M40" s="372"/>
    </row>
    <row r="41" spans="1:13" ht="29.7" customHeight="1" thickBot="1" x14ac:dyDescent="0.35">
      <c r="A41" s="362">
        <f t="shared" si="1"/>
        <v>36</v>
      </c>
      <c r="B41" s="363" t="str">
        <f>'1. Detailed Budget '!C83</f>
        <v>Consultoría para diseñar el modelo conceptual de los diversos pagos en moneda extranjera (excluyendo la deuda)</v>
      </c>
      <c r="C41" s="364" t="s">
        <v>192</v>
      </c>
      <c r="D41" s="364" t="s">
        <v>449</v>
      </c>
      <c r="E41" s="365">
        <f>'1. Detailed Budget '!G83</f>
        <v>33000</v>
      </c>
      <c r="F41" s="366"/>
      <c r="G41" s="367">
        <f t="shared" si="2"/>
        <v>33000</v>
      </c>
      <c r="H41" s="368">
        <v>2</v>
      </c>
      <c r="I41" s="369" t="s">
        <v>430</v>
      </c>
      <c r="J41" s="370" t="s">
        <v>196</v>
      </c>
      <c r="K41" s="371">
        <v>2018</v>
      </c>
      <c r="L41" s="364">
        <v>2021</v>
      </c>
      <c r="M41" s="372"/>
    </row>
    <row r="42" spans="1:13" ht="29.4" thickBot="1" x14ac:dyDescent="0.35">
      <c r="A42" s="362">
        <f t="shared" si="1"/>
        <v>37</v>
      </c>
      <c r="B42" s="363" t="str">
        <f>'1. Detailed Budget '!C84</f>
        <v>Consultoría especializa para desarrollar el modelo de gestión de los recursos externos (UEPEX)</v>
      </c>
      <c r="C42" s="364" t="s">
        <v>192</v>
      </c>
      <c r="D42" s="364" t="s">
        <v>193</v>
      </c>
      <c r="E42" s="365">
        <f>'1. Detailed Budget '!G84</f>
        <v>198000</v>
      </c>
      <c r="F42" s="366"/>
      <c r="G42" s="367">
        <f t="shared" si="2"/>
        <v>198000</v>
      </c>
      <c r="H42" s="368">
        <v>2</v>
      </c>
      <c r="I42" s="369" t="s">
        <v>430</v>
      </c>
      <c r="J42" s="370" t="s">
        <v>196</v>
      </c>
      <c r="K42" s="371">
        <v>2018</v>
      </c>
      <c r="L42" s="364">
        <v>2021</v>
      </c>
      <c r="M42" s="372"/>
    </row>
    <row r="43" spans="1:13" ht="43.8" thickBot="1" x14ac:dyDescent="0.35">
      <c r="A43" s="362">
        <f t="shared" si="1"/>
        <v>38</v>
      </c>
      <c r="B43" s="363" t="str">
        <f>'1. Detailed Budget '!C85</f>
        <v>Consultoría especializada para fortalecer la programación financiera incluyendo desarrollo del modelo de gestión de caja.</v>
      </c>
      <c r="C43" s="364" t="s">
        <v>192</v>
      </c>
      <c r="D43" s="364" t="s">
        <v>193</v>
      </c>
      <c r="E43" s="365">
        <f>'1. Detailed Budget '!G85</f>
        <v>99000</v>
      </c>
      <c r="F43" s="366"/>
      <c r="G43" s="367">
        <f t="shared" si="2"/>
        <v>99000</v>
      </c>
      <c r="H43" s="368">
        <v>2</v>
      </c>
      <c r="I43" s="369" t="s">
        <v>430</v>
      </c>
      <c r="J43" s="370" t="s">
        <v>196</v>
      </c>
      <c r="K43" s="371">
        <v>2018</v>
      </c>
      <c r="L43" s="364">
        <v>2021</v>
      </c>
      <c r="M43" s="372"/>
    </row>
    <row r="44" spans="1:13" ht="29.4" thickBot="1" x14ac:dyDescent="0.35">
      <c r="A44" s="362">
        <f t="shared" si="1"/>
        <v>39</v>
      </c>
      <c r="B44" s="363" t="str">
        <f>'1. Detailed Budget '!C89</f>
        <v>Consultoría especializada para apoyar el procesos de titulación (agrimensores)</v>
      </c>
      <c r="C44" s="364" t="s">
        <v>192</v>
      </c>
      <c r="D44" s="364" t="s">
        <v>193</v>
      </c>
      <c r="E44" s="365">
        <f>'1. Detailed Budget '!G89</f>
        <v>270000</v>
      </c>
      <c r="F44" s="366"/>
      <c r="G44" s="367">
        <f t="shared" si="2"/>
        <v>270000</v>
      </c>
      <c r="H44" s="368">
        <v>2</v>
      </c>
      <c r="I44" s="369" t="s">
        <v>430</v>
      </c>
      <c r="J44" s="370" t="s">
        <v>195</v>
      </c>
      <c r="K44" s="371">
        <v>2018</v>
      </c>
      <c r="L44" s="364">
        <v>2021</v>
      </c>
      <c r="M44" s="372"/>
    </row>
    <row r="45" spans="1:13" ht="29.4" thickBot="1" x14ac:dyDescent="0.35">
      <c r="A45" s="362">
        <f t="shared" si="1"/>
        <v>40</v>
      </c>
      <c r="B45" s="363" t="str">
        <f>'1. Detailed Budget '!C90</f>
        <v>Consultoría especializada para apoyar el procesos de titulación (auxiliares)</v>
      </c>
      <c r="C45" s="364" t="s">
        <v>192</v>
      </c>
      <c r="D45" s="364" t="s">
        <v>193</v>
      </c>
      <c r="E45" s="365">
        <f>'1. Detailed Budget '!G90</f>
        <v>192000</v>
      </c>
      <c r="F45" s="366"/>
      <c r="G45" s="367">
        <f t="shared" si="2"/>
        <v>192000</v>
      </c>
      <c r="H45" s="368">
        <v>2</v>
      </c>
      <c r="I45" s="369" t="s">
        <v>430</v>
      </c>
      <c r="J45" s="370" t="s">
        <v>195</v>
      </c>
      <c r="K45" s="371">
        <v>2018</v>
      </c>
      <c r="L45" s="364">
        <v>2021</v>
      </c>
      <c r="M45" s="372"/>
    </row>
    <row r="46" spans="1:13" ht="29.4" thickBot="1" x14ac:dyDescent="0.35">
      <c r="A46" s="362">
        <f t="shared" si="1"/>
        <v>41</v>
      </c>
      <c r="B46" s="363" t="str">
        <f>'1. Detailed Budget '!C91</f>
        <v>Consultoría especializada para apoyar el procesos de inventario (inspectores)</v>
      </c>
      <c r="C46" s="364" t="s">
        <v>192</v>
      </c>
      <c r="D46" s="364" t="s">
        <v>193</v>
      </c>
      <c r="E46" s="365">
        <f>'1. Detailed Budget '!G91</f>
        <v>360000</v>
      </c>
      <c r="F46" s="366"/>
      <c r="G46" s="367">
        <f t="shared" si="2"/>
        <v>360000</v>
      </c>
      <c r="H46" s="368">
        <v>2</v>
      </c>
      <c r="I46" s="369" t="s">
        <v>430</v>
      </c>
      <c r="J46" s="370" t="s">
        <v>195</v>
      </c>
      <c r="K46" s="371">
        <v>2018</v>
      </c>
      <c r="L46" s="364">
        <v>2021</v>
      </c>
      <c r="M46" s="372"/>
    </row>
    <row r="47" spans="1:13" ht="29.4" thickBot="1" x14ac:dyDescent="0.35">
      <c r="A47" s="362">
        <f t="shared" si="1"/>
        <v>42</v>
      </c>
      <c r="B47" s="363" t="str">
        <f>'1. Detailed Budget '!C92</f>
        <v>Consultoría especializada para apoyar el procesos de inventario (digitalizadores)</v>
      </c>
      <c r="C47" s="364" t="s">
        <v>192</v>
      </c>
      <c r="D47" s="364" t="s">
        <v>193</v>
      </c>
      <c r="E47" s="365">
        <f>'1. Detailed Budget '!G92</f>
        <v>84000</v>
      </c>
      <c r="F47" s="366"/>
      <c r="G47" s="367">
        <f t="shared" si="2"/>
        <v>84000</v>
      </c>
      <c r="H47" s="368">
        <v>2</v>
      </c>
      <c r="I47" s="369" t="s">
        <v>430</v>
      </c>
      <c r="J47" s="370" t="s">
        <v>195</v>
      </c>
      <c r="K47" s="371">
        <v>2018</v>
      </c>
      <c r="L47" s="364">
        <v>2021</v>
      </c>
      <c r="M47" s="372"/>
    </row>
    <row r="48" spans="1:13" ht="29.4" thickBot="1" x14ac:dyDescent="0.35">
      <c r="A48" s="362">
        <f t="shared" si="1"/>
        <v>43</v>
      </c>
      <c r="B48" s="363" t="str">
        <f>'1. Detailed Budget '!C93</f>
        <v>Asesoría Técnica para desarrollar e implantar la estrategia de titulación e inventario</v>
      </c>
      <c r="C48" s="364" t="s">
        <v>192</v>
      </c>
      <c r="D48" s="364" t="s">
        <v>193</v>
      </c>
      <c r="E48" s="365">
        <f>'1. Detailed Budget '!G93</f>
        <v>198000</v>
      </c>
      <c r="F48" s="366"/>
      <c r="G48" s="367">
        <f t="shared" si="2"/>
        <v>198000</v>
      </c>
      <c r="H48" s="368">
        <v>2</v>
      </c>
      <c r="I48" s="369" t="s">
        <v>430</v>
      </c>
      <c r="J48" s="370" t="s">
        <v>196</v>
      </c>
      <c r="K48" s="371">
        <v>2018</v>
      </c>
      <c r="L48" s="364">
        <v>2021</v>
      </c>
      <c r="M48" s="372"/>
    </row>
    <row r="49" spans="1:14" ht="43.8" thickBot="1" x14ac:dyDescent="0.35">
      <c r="A49" s="362">
        <f t="shared" si="1"/>
        <v>44</v>
      </c>
      <c r="B49" s="363" t="str">
        <f>'1. Detailed Budget '!C94</f>
        <v>Consultoría Internacional para definición conceptual, funcional y operativa del módulo para Registro de Bienes Inmuebles y de Inventarios  (incluye normativa)</v>
      </c>
      <c r="C49" s="364" t="s">
        <v>192</v>
      </c>
      <c r="D49" s="364" t="s">
        <v>193</v>
      </c>
      <c r="E49" s="365">
        <f>'1. Detailed Budget '!G94</f>
        <v>297000</v>
      </c>
      <c r="F49" s="366"/>
      <c r="G49" s="367">
        <f t="shared" si="2"/>
        <v>297000</v>
      </c>
      <c r="H49" s="368">
        <v>2</v>
      </c>
      <c r="I49" s="369" t="s">
        <v>430</v>
      </c>
      <c r="J49" s="370" t="s">
        <v>196</v>
      </c>
      <c r="K49" s="371">
        <v>2018</v>
      </c>
      <c r="L49" s="364">
        <v>2021</v>
      </c>
      <c r="M49" s="372"/>
    </row>
    <row r="50" spans="1:14" ht="29.4" thickBot="1" x14ac:dyDescent="0.35">
      <c r="A50" s="362">
        <f t="shared" si="1"/>
        <v>45</v>
      </c>
      <c r="B50" s="363" t="str">
        <f>'1. Detailed Budget '!C95</f>
        <v>Consultoría especializada para apoyar el desarrollo de las normas técnicas catastrales</v>
      </c>
      <c r="C50" s="364" t="s">
        <v>192</v>
      </c>
      <c r="D50" s="364" t="s">
        <v>449</v>
      </c>
      <c r="E50" s="365">
        <f>'1. Detailed Budget '!G95</f>
        <v>49500</v>
      </c>
      <c r="F50" s="366"/>
      <c r="G50" s="367">
        <f t="shared" si="2"/>
        <v>49500</v>
      </c>
      <c r="H50" s="368">
        <v>2</v>
      </c>
      <c r="I50" s="369" t="s">
        <v>430</v>
      </c>
      <c r="J50" s="370" t="s">
        <v>196</v>
      </c>
      <c r="K50" s="371">
        <v>2018</v>
      </c>
      <c r="L50" s="364">
        <v>2021</v>
      </c>
      <c r="M50" s="372"/>
    </row>
    <row r="51" spans="1:14" ht="43.8" thickBot="1" x14ac:dyDescent="0.35">
      <c r="A51" s="362">
        <f t="shared" si="1"/>
        <v>46</v>
      </c>
      <c r="B51" s="363" t="str">
        <f>'1. Detailed Budget '!C96</f>
        <v>Consultoría especializada para apoyar el desarrollo de la aplicación de georreferenciación (GIS) en una herramienta open source</v>
      </c>
      <c r="C51" s="364" t="s">
        <v>192</v>
      </c>
      <c r="D51" s="364" t="s">
        <v>193</v>
      </c>
      <c r="E51" s="365">
        <f>'1. Detailed Budget '!G96+'1. Detailed Budget '!G97</f>
        <v>209880</v>
      </c>
      <c r="F51" s="366"/>
      <c r="G51" s="367">
        <f t="shared" si="2"/>
        <v>209880</v>
      </c>
      <c r="H51" s="368">
        <v>2</v>
      </c>
      <c r="I51" s="369" t="s">
        <v>430</v>
      </c>
      <c r="J51" s="370" t="s">
        <v>196</v>
      </c>
      <c r="K51" s="371">
        <v>2018</v>
      </c>
      <c r="L51" s="364">
        <v>2021</v>
      </c>
      <c r="M51" s="372"/>
    </row>
    <row r="52" spans="1:14" ht="16.2" thickBot="1" x14ac:dyDescent="0.35">
      <c r="A52" s="93">
        <f t="shared" si="1"/>
        <v>47</v>
      </c>
      <c r="B52" s="158" t="str">
        <f>'1. Detailed Budget '!A101</f>
        <v>Asesor Técnico del Componente I</v>
      </c>
      <c r="C52" s="69" t="s">
        <v>192</v>
      </c>
      <c r="D52" s="69" t="s">
        <v>193</v>
      </c>
      <c r="E52" s="168">
        <f>'1. Detailed Budget '!G101</f>
        <v>495000</v>
      </c>
      <c r="F52" s="75"/>
      <c r="G52" s="162">
        <f t="shared" si="2"/>
        <v>495000</v>
      </c>
      <c r="H52" s="161">
        <v>3</v>
      </c>
      <c r="I52" s="163" t="s">
        <v>194</v>
      </c>
      <c r="J52" s="163" t="s">
        <v>195</v>
      </c>
      <c r="K52" s="67">
        <v>2017</v>
      </c>
      <c r="L52" s="69">
        <v>2021</v>
      </c>
      <c r="M52" s="166"/>
    </row>
    <row r="53" spans="1:14" ht="16.2" thickBot="1" x14ac:dyDescent="0.35">
      <c r="A53" s="93">
        <f t="shared" si="1"/>
        <v>48</v>
      </c>
      <c r="B53" s="158" t="str">
        <f>'1. Detailed Budget '!A102</f>
        <v>Coordinador Componente I</v>
      </c>
      <c r="C53" s="69" t="s">
        <v>192</v>
      </c>
      <c r="D53" s="69" t="s">
        <v>193</v>
      </c>
      <c r="E53" s="168">
        <f>'1. Detailed Budget '!G102</f>
        <v>184800</v>
      </c>
      <c r="F53" s="75"/>
      <c r="G53" s="162">
        <f t="shared" si="2"/>
        <v>184800</v>
      </c>
      <c r="H53" s="161">
        <v>3</v>
      </c>
      <c r="I53" s="163" t="s">
        <v>194</v>
      </c>
      <c r="J53" s="163" t="s">
        <v>195</v>
      </c>
      <c r="K53" s="67">
        <v>2017</v>
      </c>
      <c r="L53" s="69">
        <v>2021</v>
      </c>
      <c r="M53" s="166"/>
    </row>
    <row r="54" spans="1:14" ht="16.2" thickBot="1" x14ac:dyDescent="0.35">
      <c r="A54" s="93">
        <f t="shared" si="1"/>
        <v>49</v>
      </c>
      <c r="B54" s="158" t="str">
        <f>'1. Detailed Budget '!A103</f>
        <v>Oficial fiduciario-administrativos Componente I</v>
      </c>
      <c r="C54" s="69" t="s">
        <v>192</v>
      </c>
      <c r="D54" s="69" t="s">
        <v>193</v>
      </c>
      <c r="E54" s="168">
        <f>'1. Detailed Budget '!G103</f>
        <v>90000</v>
      </c>
      <c r="F54" s="75"/>
      <c r="G54" s="162">
        <f t="shared" si="2"/>
        <v>90000</v>
      </c>
      <c r="H54" s="161">
        <v>3</v>
      </c>
      <c r="I54" s="163" t="s">
        <v>194</v>
      </c>
      <c r="J54" s="163" t="s">
        <v>195</v>
      </c>
      <c r="K54" s="67">
        <v>2017</v>
      </c>
      <c r="L54" s="69">
        <v>2021</v>
      </c>
      <c r="M54" s="166"/>
    </row>
    <row r="55" spans="1:14" ht="16.2" thickBot="1" x14ac:dyDescent="0.35">
      <c r="A55" s="93">
        <f t="shared" si="1"/>
        <v>50</v>
      </c>
      <c r="B55" s="158" t="str">
        <f>'1. Detailed Budget '!A104</f>
        <v>Experto Adquisiciones Componente I</v>
      </c>
      <c r="C55" s="69" t="s">
        <v>192</v>
      </c>
      <c r="D55" s="69" t="s">
        <v>193</v>
      </c>
      <c r="E55" s="168">
        <f>'1. Detailed Budget '!G104</f>
        <v>184800</v>
      </c>
      <c r="F55" s="75"/>
      <c r="G55" s="162">
        <f t="shared" si="2"/>
        <v>184800</v>
      </c>
      <c r="H55" s="161">
        <v>3</v>
      </c>
      <c r="I55" s="163" t="s">
        <v>194</v>
      </c>
      <c r="J55" s="163" t="s">
        <v>195</v>
      </c>
      <c r="K55" s="67">
        <v>2017</v>
      </c>
      <c r="L55" s="69">
        <v>2021</v>
      </c>
      <c r="M55" s="166"/>
    </row>
    <row r="56" spans="1:14" ht="16.2" thickBot="1" x14ac:dyDescent="0.35">
      <c r="A56" s="93">
        <f t="shared" si="1"/>
        <v>51</v>
      </c>
      <c r="B56" s="158" t="str">
        <f>'1. Detailed Budget '!A105</f>
        <v>Monitoreo Componente I</v>
      </c>
      <c r="C56" s="69" t="s">
        <v>192</v>
      </c>
      <c r="D56" s="69" t="s">
        <v>193</v>
      </c>
      <c r="E56" s="168">
        <f>'1. Detailed Budget '!G105</f>
        <v>184800</v>
      </c>
      <c r="F56" s="75"/>
      <c r="G56" s="162">
        <f t="shared" si="2"/>
        <v>184800</v>
      </c>
      <c r="H56" s="161">
        <v>3</v>
      </c>
      <c r="I56" s="163" t="s">
        <v>194</v>
      </c>
      <c r="J56" s="163" t="s">
        <v>195</v>
      </c>
      <c r="K56" s="67">
        <v>2017</v>
      </c>
      <c r="L56" s="69">
        <v>2021</v>
      </c>
      <c r="M56" s="166"/>
    </row>
    <row r="57" spans="1:14" ht="16.2" thickBot="1" x14ac:dyDescent="0.35">
      <c r="A57" s="93">
        <f t="shared" si="1"/>
        <v>52</v>
      </c>
      <c r="B57" s="158" t="str">
        <f>'1. Detailed Budget '!A106</f>
        <v>Coordinador Componente II</v>
      </c>
      <c r="C57" s="69" t="s">
        <v>192</v>
      </c>
      <c r="D57" s="69" t="s">
        <v>193</v>
      </c>
      <c r="E57" s="168">
        <f>'1. Detailed Budget '!G106</f>
        <v>184800</v>
      </c>
      <c r="F57" s="75"/>
      <c r="G57" s="162">
        <f t="shared" si="2"/>
        <v>184800</v>
      </c>
      <c r="H57" s="161">
        <v>3</v>
      </c>
      <c r="I57" s="163" t="s">
        <v>430</v>
      </c>
      <c r="J57" s="163" t="s">
        <v>195</v>
      </c>
      <c r="K57" s="67">
        <v>2017</v>
      </c>
      <c r="L57" s="69">
        <v>2021</v>
      </c>
      <c r="M57" s="166"/>
    </row>
    <row r="58" spans="1:14" ht="16.2" thickBot="1" x14ac:dyDescent="0.35">
      <c r="A58" s="93">
        <f t="shared" si="1"/>
        <v>53</v>
      </c>
      <c r="B58" s="158" t="str">
        <f>'1. Detailed Budget '!A107</f>
        <v>Oficial fiduciario-administrativos Componente II</v>
      </c>
      <c r="C58" s="69" t="s">
        <v>192</v>
      </c>
      <c r="D58" s="69" t="s">
        <v>193</v>
      </c>
      <c r="E58" s="168">
        <f>'1. Detailed Budget '!G107</f>
        <v>90000</v>
      </c>
      <c r="F58" s="75"/>
      <c r="G58" s="162">
        <f t="shared" si="2"/>
        <v>90000</v>
      </c>
      <c r="H58" s="161">
        <v>3</v>
      </c>
      <c r="I58" s="163" t="s">
        <v>430</v>
      </c>
      <c r="J58" s="163" t="s">
        <v>195</v>
      </c>
      <c r="K58" s="67">
        <v>2017</v>
      </c>
      <c r="L58" s="69">
        <v>2021</v>
      </c>
      <c r="M58" s="166"/>
    </row>
    <row r="59" spans="1:14" ht="16.2" thickBot="1" x14ac:dyDescent="0.35">
      <c r="A59" s="93">
        <f t="shared" si="1"/>
        <v>54</v>
      </c>
      <c r="B59" s="158" t="str">
        <f>'1. Detailed Budget '!A108</f>
        <v>Experto Adquisiciones Componente II</v>
      </c>
      <c r="C59" s="69" t="s">
        <v>192</v>
      </c>
      <c r="D59" s="69" t="s">
        <v>193</v>
      </c>
      <c r="E59" s="168">
        <f>'1. Detailed Budget '!G108</f>
        <v>184800</v>
      </c>
      <c r="F59" s="75"/>
      <c r="G59" s="162">
        <f t="shared" si="2"/>
        <v>184800</v>
      </c>
      <c r="H59" s="161">
        <v>3</v>
      </c>
      <c r="I59" s="163" t="s">
        <v>430</v>
      </c>
      <c r="J59" s="163" t="s">
        <v>195</v>
      </c>
      <c r="K59" s="67">
        <v>2017</v>
      </c>
      <c r="L59" s="69">
        <v>2021</v>
      </c>
      <c r="M59" s="166"/>
    </row>
    <row r="60" spans="1:14" ht="16.2" thickBot="1" x14ac:dyDescent="0.35">
      <c r="A60" s="93">
        <f t="shared" si="1"/>
        <v>55</v>
      </c>
      <c r="B60" s="158" t="str">
        <f>'1. Detailed Budget '!A109</f>
        <v>Monitoreo Componente II</v>
      </c>
      <c r="C60" s="69" t="s">
        <v>192</v>
      </c>
      <c r="D60" s="69" t="s">
        <v>193</v>
      </c>
      <c r="E60" s="168">
        <f>'1. Detailed Budget '!G109</f>
        <v>184800</v>
      </c>
      <c r="F60" s="75"/>
      <c r="G60" s="162">
        <f t="shared" si="2"/>
        <v>184800</v>
      </c>
      <c r="H60" s="161">
        <v>3</v>
      </c>
      <c r="I60" s="163" t="s">
        <v>194</v>
      </c>
      <c r="J60" s="163" t="s">
        <v>195</v>
      </c>
      <c r="K60" s="67">
        <v>2017</v>
      </c>
      <c r="L60" s="69">
        <v>2021</v>
      </c>
      <c r="M60" s="166"/>
    </row>
    <row r="61" spans="1:14" ht="16.2" thickBot="1" x14ac:dyDescent="0.35">
      <c r="A61" s="93">
        <f t="shared" si="1"/>
        <v>56</v>
      </c>
      <c r="B61" s="158" t="str">
        <f>'1. Detailed Budget '!A110</f>
        <v>Evaluación</v>
      </c>
      <c r="C61" s="69" t="s">
        <v>192</v>
      </c>
      <c r="D61" s="69" t="s">
        <v>193</v>
      </c>
      <c r="E61" s="168">
        <f>SUM('1. Detailed Budget '!G110:G113)</f>
        <v>180000</v>
      </c>
      <c r="F61" s="75"/>
      <c r="G61" s="162">
        <f t="shared" si="2"/>
        <v>180000</v>
      </c>
      <c r="H61" s="161">
        <v>3</v>
      </c>
      <c r="I61" s="163" t="s">
        <v>194</v>
      </c>
      <c r="J61" s="163" t="s">
        <v>195</v>
      </c>
      <c r="K61" s="67">
        <v>2017</v>
      </c>
      <c r="L61" s="69">
        <v>2021</v>
      </c>
      <c r="M61" s="166"/>
    </row>
    <row r="62" spans="1:14" ht="16.2" thickBot="1" x14ac:dyDescent="0.35">
      <c r="A62" s="93">
        <f t="shared" si="1"/>
        <v>57</v>
      </c>
      <c r="B62" s="158" t="str">
        <f>'1. Detailed Budget '!A114</f>
        <v>Auditoría</v>
      </c>
      <c r="C62" s="69" t="s">
        <v>192</v>
      </c>
      <c r="D62" s="69" t="s">
        <v>193</v>
      </c>
      <c r="E62" s="168">
        <f>'1. Detailed Budget '!G114</f>
        <v>200000</v>
      </c>
      <c r="F62" s="75"/>
      <c r="G62" s="162">
        <f t="shared" si="2"/>
        <v>200000</v>
      </c>
      <c r="H62" s="161">
        <v>3</v>
      </c>
      <c r="I62" s="163" t="s">
        <v>194</v>
      </c>
      <c r="J62" s="163" t="s">
        <v>195</v>
      </c>
      <c r="K62" s="67">
        <v>2017</v>
      </c>
      <c r="L62" s="69">
        <v>2021</v>
      </c>
      <c r="M62" s="166"/>
    </row>
    <row r="63" spans="1:14" x14ac:dyDescent="0.3">
      <c r="A63" s="97"/>
      <c r="B63" s="98"/>
      <c r="C63" s="77"/>
      <c r="D63" s="141"/>
      <c r="E63" s="76">
        <f>SUM(E6:E62)</f>
        <v>11050960</v>
      </c>
      <c r="F63" s="76">
        <f>SUM(F6:F62)</f>
        <v>0</v>
      </c>
      <c r="G63" s="76">
        <f>SUM(G6:G62)</f>
        <v>11050960</v>
      </c>
      <c r="H63" s="77"/>
      <c r="I63" s="78"/>
      <c r="J63" s="78"/>
      <c r="K63" s="77"/>
      <c r="L63" s="77"/>
      <c r="M63" s="79"/>
    </row>
    <row r="64" spans="1:14" ht="18" x14ac:dyDescent="0.3">
      <c r="A64" s="444" t="s">
        <v>197</v>
      </c>
      <c r="B64" s="445"/>
      <c r="C64" s="445"/>
      <c r="D64" s="445"/>
      <c r="E64" s="445"/>
      <c r="F64" s="445"/>
      <c r="G64" s="445"/>
      <c r="H64" s="445"/>
      <c r="I64" s="445"/>
      <c r="J64" s="445"/>
      <c r="K64" s="445"/>
      <c r="L64" s="445"/>
      <c r="M64" s="446"/>
      <c r="N64" s="136"/>
    </row>
    <row r="65" spans="1:13" ht="78" x14ac:dyDescent="0.3">
      <c r="A65" s="289">
        <v>1</v>
      </c>
      <c r="B65" s="290" t="str">
        <f>'1. Detailed Budget '!H7</f>
        <v>Consultoría especializada para el desarrollo del manual de funciones, perfiles de competencia genéricas y técnicas y carga de trabajo, y preparación de términos de referencia para contratar un programa de capacitación</v>
      </c>
      <c r="C65" s="291" t="s">
        <v>192</v>
      </c>
      <c r="D65" s="384" t="s">
        <v>449</v>
      </c>
      <c r="E65" s="284">
        <f>'1. Detailed Budget '!L7</f>
        <v>110880</v>
      </c>
      <c r="F65" s="284"/>
      <c r="G65" s="292">
        <f t="shared" ref="G65:G85" si="3">+E65</f>
        <v>110880</v>
      </c>
      <c r="H65" s="291">
        <v>1</v>
      </c>
      <c r="I65" s="293" t="s">
        <v>194</v>
      </c>
      <c r="J65" s="293" t="s">
        <v>199</v>
      </c>
      <c r="K65" s="291">
        <v>2017</v>
      </c>
      <c r="L65" s="291">
        <v>2021</v>
      </c>
      <c r="M65" s="290"/>
    </row>
    <row r="66" spans="1:13" ht="31.2" x14ac:dyDescent="0.3">
      <c r="A66" s="289">
        <f>A65+1</f>
        <v>2</v>
      </c>
      <c r="B66" s="290" t="str">
        <f>'1. Detailed Budget '!H8</f>
        <v>Consultoría especializada para revisión procesos operativos</v>
      </c>
      <c r="C66" s="291" t="s">
        <v>192</v>
      </c>
      <c r="D66" s="384" t="s">
        <v>449</v>
      </c>
      <c r="E66" s="284">
        <f>'1. Detailed Budget '!L8</f>
        <v>162835.19999999998</v>
      </c>
      <c r="F66" s="284"/>
      <c r="G66" s="292">
        <f t="shared" si="3"/>
        <v>162835.19999999998</v>
      </c>
      <c r="H66" s="291">
        <v>1</v>
      </c>
      <c r="I66" s="293" t="s">
        <v>194</v>
      </c>
      <c r="J66" s="293" t="s">
        <v>199</v>
      </c>
      <c r="K66" s="291">
        <v>2017</v>
      </c>
      <c r="L66" s="291">
        <v>2021</v>
      </c>
      <c r="M66" s="290"/>
    </row>
    <row r="67" spans="1:13" ht="93.6" x14ac:dyDescent="0.3">
      <c r="A67" s="289">
        <f t="shared" ref="A67:A70" si="4">A66+1</f>
        <v>3</v>
      </c>
      <c r="B67" s="290" t="str">
        <f>'1. Detailed Budget '!H9</f>
        <v xml:space="preserve">Asistencia técnica para diseñar e implementar un sistema de evaluación  de competencias, incluyendo evaluación de línea de base (ejecutado por RRHH con apoyo de la firma) y de un programa de capacitación y desarrollo del personal de la DGII. </v>
      </c>
      <c r="C67" s="291" t="s">
        <v>192</v>
      </c>
      <c r="D67" s="291" t="s">
        <v>193</v>
      </c>
      <c r="E67" s="284">
        <f>'1. Detailed Budget '!L9</f>
        <v>1954022.3999999999</v>
      </c>
      <c r="F67" s="284"/>
      <c r="G67" s="292">
        <f t="shared" ref="G67:G68" si="5">+E67</f>
        <v>1954022.3999999999</v>
      </c>
      <c r="H67" s="291">
        <v>1</v>
      </c>
      <c r="I67" s="293" t="s">
        <v>194</v>
      </c>
      <c r="J67" s="293" t="s">
        <v>198</v>
      </c>
      <c r="K67" s="291">
        <v>2017</v>
      </c>
      <c r="L67" s="291">
        <v>2021</v>
      </c>
      <c r="M67" s="290"/>
    </row>
    <row r="68" spans="1:13" ht="46.8" x14ac:dyDescent="0.3">
      <c r="A68" s="289">
        <f t="shared" si="4"/>
        <v>4</v>
      </c>
      <c r="B68" s="290" t="str">
        <f>'1. Detailed Budget '!H10</f>
        <v>Consultoría técnica para la revisión y actualización de los planes de continuidad de negocio y de recuperación antes desastres. (M076 del PETI)</v>
      </c>
      <c r="C68" s="291" t="s">
        <v>192</v>
      </c>
      <c r="D68" s="384" t="s">
        <v>449</v>
      </c>
      <c r="E68" s="284">
        <f>'1. Detailed Budget '!L10</f>
        <v>55440</v>
      </c>
      <c r="F68" s="284"/>
      <c r="G68" s="292">
        <f t="shared" si="5"/>
        <v>55440</v>
      </c>
      <c r="H68" s="291">
        <v>1</v>
      </c>
      <c r="I68" s="293" t="s">
        <v>194</v>
      </c>
      <c r="J68" s="293" t="s">
        <v>199</v>
      </c>
      <c r="K68" s="291">
        <v>2017</v>
      </c>
      <c r="L68" s="291">
        <v>2021</v>
      </c>
      <c r="M68" s="290"/>
    </row>
    <row r="69" spans="1:13" ht="62.4" x14ac:dyDescent="0.3">
      <c r="A69" s="289">
        <f t="shared" si="4"/>
        <v>5</v>
      </c>
      <c r="B69" s="290" t="str">
        <f>'1. Detailed Budget '!H13</f>
        <v>Asistencia técnica para la implantación de un programa que minimice los efectos del cambio institucional, a través de seminarios, eventos, capacitación, etc.</v>
      </c>
      <c r="C69" s="291" t="s">
        <v>192</v>
      </c>
      <c r="D69" s="291" t="s">
        <v>193</v>
      </c>
      <c r="E69" s="284">
        <f>'1. Detailed Budget '!L13</f>
        <v>665280</v>
      </c>
      <c r="F69" s="284"/>
      <c r="G69" s="292">
        <f t="shared" si="3"/>
        <v>665280</v>
      </c>
      <c r="H69" s="291">
        <v>1</v>
      </c>
      <c r="I69" s="293" t="s">
        <v>194</v>
      </c>
      <c r="J69" s="293" t="s">
        <v>198</v>
      </c>
      <c r="K69" s="291">
        <v>2017</v>
      </c>
      <c r="L69" s="291">
        <v>2021</v>
      </c>
      <c r="M69" s="290"/>
    </row>
    <row r="70" spans="1:13" ht="46.8" x14ac:dyDescent="0.3">
      <c r="A70" s="289">
        <f t="shared" si="4"/>
        <v>6</v>
      </c>
      <c r="B70" s="290" t="str">
        <f>'1. Detailed Budget '!H14</f>
        <v>Asistencias técnicas para la preparación de estudios para la evaluación de impacto en el marco del programa.</v>
      </c>
      <c r="C70" s="291" t="s">
        <v>192</v>
      </c>
      <c r="D70" s="291" t="s">
        <v>193</v>
      </c>
      <c r="E70" s="284">
        <f>'1. Detailed Budget '!L14</f>
        <v>508859.99999999994</v>
      </c>
      <c r="F70" s="284"/>
      <c r="G70" s="292">
        <f t="shared" si="3"/>
        <v>508859.99999999994</v>
      </c>
      <c r="H70" s="291">
        <v>1</v>
      </c>
      <c r="I70" s="293" t="s">
        <v>194</v>
      </c>
      <c r="J70" s="293" t="s">
        <v>198</v>
      </c>
      <c r="K70" s="291">
        <v>2017</v>
      </c>
      <c r="L70" s="291">
        <v>2021</v>
      </c>
      <c r="M70" s="290"/>
    </row>
    <row r="71" spans="1:13" ht="46.8" x14ac:dyDescent="0.3">
      <c r="A71" s="289">
        <f t="shared" ref="A71:A85" si="6">A70+1</f>
        <v>7</v>
      </c>
      <c r="B71" s="290" t="str">
        <f>'1. Detailed Budget '!H15</f>
        <v>Asistencias técnicas para la preparación e implementación de estudio de clima organizacional (línea de base y fin de proyecto)</v>
      </c>
      <c r="C71" s="291" t="s">
        <v>192</v>
      </c>
      <c r="D71" s="384" t="s">
        <v>449</v>
      </c>
      <c r="E71" s="284">
        <f>'1. Detailed Budget '!L15</f>
        <v>81417.599999999991</v>
      </c>
      <c r="F71" s="284"/>
      <c r="G71" s="292">
        <f t="shared" ref="G71" si="7">+E71</f>
        <v>81417.599999999991</v>
      </c>
      <c r="H71" s="291">
        <v>1</v>
      </c>
      <c r="I71" s="293" t="s">
        <v>194</v>
      </c>
      <c r="J71" s="293" t="s">
        <v>199</v>
      </c>
      <c r="K71" s="291">
        <v>2017</v>
      </c>
      <c r="L71" s="291">
        <v>2021</v>
      </c>
      <c r="M71" s="290"/>
    </row>
    <row r="72" spans="1:13" ht="124.8" x14ac:dyDescent="0.3">
      <c r="A72" s="289">
        <f t="shared" si="6"/>
        <v>8</v>
      </c>
      <c r="B72" s="290" t="str">
        <f>'1. Detailed Budget '!H16</f>
        <v>Revisión, ajuste e implementación de los sub-sistemas de la gestión de Recursos Humanos, con un enfoque género sensitivo: reclutamiento y selección, relaciones laborales (beneficios, gestión de novedades y gestión de conflictos), riesgo y salud laboral, capacitación y desarrollo, desarrollo organizacional, evaluación del desempeño individual.</v>
      </c>
      <c r="C72" s="291" t="s">
        <v>192</v>
      </c>
      <c r="D72" s="384" t="s">
        <v>449</v>
      </c>
      <c r="E72" s="284">
        <f>'1. Detailed Budget '!L16</f>
        <v>183189.59999999998</v>
      </c>
      <c r="F72" s="284"/>
      <c r="G72" s="292">
        <f t="shared" si="3"/>
        <v>183189.59999999998</v>
      </c>
      <c r="H72" s="291">
        <v>1</v>
      </c>
      <c r="I72" s="293" t="s">
        <v>194</v>
      </c>
      <c r="J72" s="293" t="s">
        <v>199</v>
      </c>
      <c r="K72" s="291">
        <v>2017</v>
      </c>
      <c r="L72" s="291">
        <v>2021</v>
      </c>
      <c r="M72" s="290"/>
    </row>
    <row r="73" spans="1:13" ht="62.4" x14ac:dyDescent="0.3">
      <c r="A73" s="289">
        <f t="shared" si="6"/>
        <v>9</v>
      </c>
      <c r="B73" s="290" t="str">
        <f>'1. Detailed Budget '!H44</f>
        <v>Contratación de servicios para realizar una auditoría de seguridad de la OFV con especial atención a la fortaleza frente a ataques externos. (M002)</v>
      </c>
      <c r="C73" s="291" t="s">
        <v>192</v>
      </c>
      <c r="D73" s="384" t="s">
        <v>449</v>
      </c>
      <c r="E73" s="284">
        <f>'1. Detailed Budget '!L44</f>
        <v>55440</v>
      </c>
      <c r="F73" s="284"/>
      <c r="G73" s="292">
        <f t="shared" si="3"/>
        <v>55440</v>
      </c>
      <c r="H73" s="291">
        <v>1</v>
      </c>
      <c r="I73" s="293" t="s">
        <v>194</v>
      </c>
      <c r="J73" s="293" t="s">
        <v>199</v>
      </c>
      <c r="K73" s="291">
        <v>2017</v>
      </c>
      <c r="L73" s="291">
        <v>2021</v>
      </c>
      <c r="M73" s="290"/>
    </row>
    <row r="74" spans="1:13" ht="62.4" x14ac:dyDescent="0.3">
      <c r="A74" s="289">
        <f t="shared" si="6"/>
        <v>10</v>
      </c>
      <c r="B74" s="290" t="str">
        <f>'1. Detailed Budget '!H45</f>
        <v>Contratación de consultoría y servicios para la implantación de la infraestructura de clave pública (PKI) para la gestión de los certificados digitales de grandes contribuyentes. (M008)</v>
      </c>
      <c r="C74" s="291" t="s">
        <v>192</v>
      </c>
      <c r="D74" s="384" t="s">
        <v>449</v>
      </c>
      <c r="E74" s="284">
        <f>'1. Detailed Budget '!L45</f>
        <v>110880</v>
      </c>
      <c r="F74" s="284"/>
      <c r="G74" s="292">
        <f t="shared" si="3"/>
        <v>110880</v>
      </c>
      <c r="H74" s="291">
        <v>1</v>
      </c>
      <c r="I74" s="293" t="s">
        <v>194</v>
      </c>
      <c r="J74" s="293" t="s">
        <v>199</v>
      </c>
      <c r="K74" s="291">
        <v>2017</v>
      </c>
      <c r="L74" s="291">
        <v>2021</v>
      </c>
      <c r="M74" s="290"/>
    </row>
    <row r="75" spans="1:13" ht="78" x14ac:dyDescent="0.3">
      <c r="A75" s="289">
        <f t="shared" si="6"/>
        <v>11</v>
      </c>
      <c r="B75" s="290" t="str">
        <f>'1. Detailed Budget '!H46</f>
        <v>Contratación de servicios de desarrollo de software para desarrollar un aplicativo para la elaboración de informes y herramientas de consulta avanzadas para el personal directivo. (M017)</v>
      </c>
      <c r="C75" s="291" t="s">
        <v>192</v>
      </c>
      <c r="D75" s="384" t="s">
        <v>449</v>
      </c>
      <c r="E75" s="284">
        <f>'1. Detailed Budget '!L46</f>
        <v>110880</v>
      </c>
      <c r="F75" s="284"/>
      <c r="G75" s="292">
        <f t="shared" si="3"/>
        <v>110880</v>
      </c>
      <c r="H75" s="291">
        <v>1</v>
      </c>
      <c r="I75" s="293" t="s">
        <v>194</v>
      </c>
      <c r="J75" s="293" t="s">
        <v>199</v>
      </c>
      <c r="K75" s="291">
        <v>2017</v>
      </c>
      <c r="L75" s="291">
        <v>2021</v>
      </c>
      <c r="M75" s="294"/>
    </row>
    <row r="76" spans="1:13" ht="62.4" x14ac:dyDescent="0.3">
      <c r="A76" s="289">
        <f t="shared" si="6"/>
        <v>12</v>
      </c>
      <c r="B76" s="295" t="str">
        <f>'1. Detailed Budget '!H50</f>
        <v>Contratación de un proyecto de “external mentoring” para la elaboración de una versión final de arquitectura empresarial de información. (M043)</v>
      </c>
      <c r="C76" s="291" t="s">
        <v>192</v>
      </c>
      <c r="D76" s="291" t="s">
        <v>193</v>
      </c>
      <c r="E76" s="284">
        <f>'1. Detailed Budget '!L50</f>
        <v>305315.99999999994</v>
      </c>
      <c r="F76" s="284"/>
      <c r="G76" s="292">
        <f t="shared" si="3"/>
        <v>305315.99999999994</v>
      </c>
      <c r="H76" s="291">
        <v>1</v>
      </c>
      <c r="I76" s="293" t="s">
        <v>194</v>
      </c>
      <c r="J76" s="293" t="s">
        <v>198</v>
      </c>
      <c r="K76" s="291">
        <v>2017</v>
      </c>
      <c r="L76" s="291">
        <v>2021</v>
      </c>
      <c r="M76" s="290"/>
    </row>
    <row r="77" spans="1:13" ht="78" x14ac:dyDescent="0.3">
      <c r="A77" s="289">
        <f t="shared" si="6"/>
        <v>13</v>
      </c>
      <c r="B77" s="295" t="str">
        <f>'1. Detailed Budget '!H51</f>
        <v>Contratación de un proyecto de “external mentoring” para la elaboración de una versión básica de arquitectura del sistema de información que incida fundamentalmente en los aspectos de arquitectura del software. (M041)</v>
      </c>
      <c r="C77" s="291" t="s">
        <v>192</v>
      </c>
      <c r="D77" s="384" t="s">
        <v>449</v>
      </c>
      <c r="E77" s="284">
        <f>'1. Detailed Budget '!L51</f>
        <v>55440</v>
      </c>
      <c r="F77" s="284"/>
      <c r="G77" s="292">
        <f t="shared" si="3"/>
        <v>55440</v>
      </c>
      <c r="H77" s="291">
        <v>1</v>
      </c>
      <c r="I77" s="293" t="s">
        <v>194</v>
      </c>
      <c r="J77" s="293" t="s">
        <v>199</v>
      </c>
      <c r="K77" s="291">
        <v>2017</v>
      </c>
      <c r="L77" s="291">
        <v>2021</v>
      </c>
      <c r="M77" s="290"/>
    </row>
    <row r="78" spans="1:13" ht="93.6" x14ac:dyDescent="0.3">
      <c r="A78" s="289">
        <f t="shared" si="6"/>
        <v>14</v>
      </c>
      <c r="B78" s="290" t="str">
        <f>'1. Detailed Budget '!H53</f>
        <v>Contratación de servicios de transferencia del conocimiento en el que un grupo de expertos en diferentes campos (desarrollo ágil, diseño de bases de datos, etc.) trabajan en estrecha colaboración con técnicos de la DGII para el desarrollo de la aplicación de FISCALIZACIÓN MASIVA. (M048)</v>
      </c>
      <c r="C78" s="291" t="s">
        <v>192</v>
      </c>
      <c r="D78" s="291" t="s">
        <v>193</v>
      </c>
      <c r="E78" s="284">
        <f>'1. Detailed Budget '!L53</f>
        <v>977011.19999999995</v>
      </c>
      <c r="F78" s="284"/>
      <c r="G78" s="292">
        <f>+E78</f>
        <v>977011.19999999995</v>
      </c>
      <c r="H78" s="291">
        <v>1</v>
      </c>
      <c r="I78" s="293" t="s">
        <v>194</v>
      </c>
      <c r="J78" s="293" t="s">
        <v>198</v>
      </c>
      <c r="K78" s="291">
        <v>2017</v>
      </c>
      <c r="L78" s="291">
        <v>2021</v>
      </c>
      <c r="M78" s="290"/>
    </row>
    <row r="79" spans="1:13" ht="46.8" x14ac:dyDescent="0.3">
      <c r="A79" s="289">
        <f t="shared" si="6"/>
        <v>15</v>
      </c>
      <c r="B79" s="290" t="str">
        <f>'1. Detailed Budget '!H58</f>
        <v>Consultoría para la implantación de una solución de control de accesos directos a las bases de datos corporativas.(M064)</v>
      </c>
      <c r="C79" s="291" t="s">
        <v>192</v>
      </c>
      <c r="D79" s="384" t="s">
        <v>449</v>
      </c>
      <c r="E79" s="284">
        <f>'1. Detailed Budget '!L58</f>
        <v>41580</v>
      </c>
      <c r="F79" s="284"/>
      <c r="G79" s="292">
        <f t="shared" si="3"/>
        <v>41580</v>
      </c>
      <c r="H79" s="291">
        <v>1</v>
      </c>
      <c r="I79" s="293" t="s">
        <v>194</v>
      </c>
      <c r="J79" s="293" t="s">
        <v>199</v>
      </c>
      <c r="K79" s="291">
        <v>2017</v>
      </c>
      <c r="L79" s="291">
        <v>2021</v>
      </c>
      <c r="M79" s="290"/>
    </row>
    <row r="80" spans="1:13" ht="46.8" x14ac:dyDescent="0.3">
      <c r="A80" s="289">
        <f t="shared" si="6"/>
        <v>16</v>
      </c>
      <c r="B80" s="290" t="str">
        <f>'1. Detailed Budget '!H60</f>
        <v>Consultoría técnica para el diseño de una arquitectura de infraestructura tecnológica distribuida en configuración activo/activo. (M075)</v>
      </c>
      <c r="C80" s="291" t="s">
        <v>192</v>
      </c>
      <c r="D80" s="384" t="s">
        <v>449</v>
      </c>
      <c r="E80" s="284">
        <f>'1. Detailed Budget '!L60</f>
        <v>55440</v>
      </c>
      <c r="F80" s="284"/>
      <c r="G80" s="292">
        <f>+E80</f>
        <v>55440</v>
      </c>
      <c r="H80" s="291">
        <v>1</v>
      </c>
      <c r="I80" s="293" t="s">
        <v>194</v>
      </c>
      <c r="J80" s="293" t="s">
        <v>199</v>
      </c>
      <c r="K80" s="291">
        <v>2017</v>
      </c>
      <c r="L80" s="291">
        <v>2021</v>
      </c>
      <c r="M80" s="290"/>
    </row>
    <row r="81" spans="1:13" ht="46.8" x14ac:dyDescent="0.3">
      <c r="A81" s="289">
        <f t="shared" si="6"/>
        <v>17</v>
      </c>
      <c r="B81" s="290" t="str">
        <f>'1. Detailed Budget '!H67</f>
        <v>Contratación de consultoría técnica para la implantación de un sistema de gobierno corporativo de las TIC. (M093)</v>
      </c>
      <c r="C81" s="291" t="s">
        <v>192</v>
      </c>
      <c r="D81" s="384" t="s">
        <v>449</v>
      </c>
      <c r="E81" s="284">
        <f>'1. Detailed Budget '!L67</f>
        <v>122126.39999999999</v>
      </c>
      <c r="F81" s="284"/>
      <c r="G81" s="292">
        <f t="shared" si="3"/>
        <v>122126.39999999999</v>
      </c>
      <c r="H81" s="291">
        <v>1</v>
      </c>
      <c r="I81" s="293" t="s">
        <v>194</v>
      </c>
      <c r="J81" s="293" t="s">
        <v>199</v>
      </c>
      <c r="K81" s="291">
        <v>2017</v>
      </c>
      <c r="L81" s="291">
        <v>2021</v>
      </c>
      <c r="M81" s="290"/>
    </row>
    <row r="82" spans="1:13" ht="62.4" x14ac:dyDescent="0.3">
      <c r="A82" s="289">
        <f t="shared" si="6"/>
        <v>18</v>
      </c>
      <c r="B82" s="290" t="str">
        <f>'1. Detailed Budget '!H68</f>
        <v>Contratación de consultoría con el enfoque de external-mentoring técnica para la implantación de un sistema de gestión de las TIC basado en ITIL. (M094-M100)</v>
      </c>
      <c r="C82" s="291" t="s">
        <v>192</v>
      </c>
      <c r="D82" s="384" t="s">
        <v>449</v>
      </c>
      <c r="E82" s="284">
        <f>'1. Detailed Budget '!L68</f>
        <v>122126.39999999999</v>
      </c>
      <c r="F82" s="284"/>
      <c r="G82" s="292">
        <f t="shared" si="3"/>
        <v>122126.39999999999</v>
      </c>
      <c r="H82" s="291">
        <v>1</v>
      </c>
      <c r="I82" s="293" t="s">
        <v>194</v>
      </c>
      <c r="J82" s="293" t="s">
        <v>199</v>
      </c>
      <c r="K82" s="291">
        <v>2017</v>
      </c>
      <c r="L82" s="291">
        <v>2021</v>
      </c>
      <c r="M82" s="290"/>
    </row>
    <row r="83" spans="1:13" ht="31.2" x14ac:dyDescent="0.3">
      <c r="A83" s="354">
        <f t="shared" si="6"/>
        <v>19</v>
      </c>
      <c r="B83" s="355" t="str">
        <f>'1. Detailed Budget '!H81</f>
        <v>Consultoría especializada en gestión de cambio institucional</v>
      </c>
      <c r="C83" s="356" t="s">
        <v>192</v>
      </c>
      <c r="D83" s="356" t="s">
        <v>449</v>
      </c>
      <c r="E83" s="357">
        <f>'1. Detailed Budget '!L81</f>
        <v>162835.19999999998</v>
      </c>
      <c r="F83" s="357"/>
      <c r="G83" s="357">
        <f t="shared" ref="G83" si="8">+E83</f>
        <v>162835.19999999998</v>
      </c>
      <c r="H83" s="356">
        <v>2</v>
      </c>
      <c r="I83" s="359" t="s">
        <v>430</v>
      </c>
      <c r="J83" s="359" t="s">
        <v>199</v>
      </c>
      <c r="K83" s="356">
        <v>2018</v>
      </c>
      <c r="L83" s="356">
        <v>2021</v>
      </c>
      <c r="M83" s="355"/>
    </row>
    <row r="84" spans="1:13" x14ac:dyDescent="0.3">
      <c r="A84" s="354">
        <f t="shared" si="6"/>
        <v>20</v>
      </c>
      <c r="B84" s="355" t="str">
        <f>'1. Detailed Budget '!H82</f>
        <v>Consultoría para la implementación de SIRIT</v>
      </c>
      <c r="C84" s="356" t="s">
        <v>192</v>
      </c>
      <c r="D84" s="356" t="s">
        <v>449</v>
      </c>
      <c r="E84" s="357">
        <f>'1. Detailed Budget '!L82</f>
        <v>69300</v>
      </c>
      <c r="F84" s="357"/>
      <c r="G84" s="357">
        <f t="shared" ref="G84" si="9">+E84</f>
        <v>69300</v>
      </c>
      <c r="H84" s="356">
        <v>2</v>
      </c>
      <c r="I84" s="359" t="s">
        <v>430</v>
      </c>
      <c r="J84" s="359" t="s">
        <v>199</v>
      </c>
      <c r="K84" s="356">
        <v>2018</v>
      </c>
      <c r="L84" s="356">
        <v>2021</v>
      </c>
      <c r="M84" s="355"/>
    </row>
    <row r="85" spans="1:13" ht="46.8" x14ac:dyDescent="0.3">
      <c r="A85" s="354">
        <f t="shared" si="6"/>
        <v>21</v>
      </c>
      <c r="B85" s="355" t="str">
        <f>'1. Detailed Budget '!H89</f>
        <v>Desarrollo del módulo de gestión de Bienes, incluyendo la interface con catastro, compras y Contabilidad.</v>
      </c>
      <c r="C85" s="356" t="s">
        <v>192</v>
      </c>
      <c r="D85" s="356" t="s">
        <v>193</v>
      </c>
      <c r="E85" s="357">
        <f>'1. Detailed Budget '!L89</f>
        <v>498960</v>
      </c>
      <c r="F85" s="357"/>
      <c r="G85" s="357">
        <f t="shared" si="3"/>
        <v>498960</v>
      </c>
      <c r="H85" s="356">
        <v>2</v>
      </c>
      <c r="I85" s="359" t="s">
        <v>430</v>
      </c>
      <c r="J85" s="359" t="s">
        <v>198</v>
      </c>
      <c r="K85" s="356">
        <v>2018</v>
      </c>
      <c r="L85" s="356">
        <v>2021</v>
      </c>
      <c r="M85" s="355"/>
    </row>
    <row r="86" spans="1:13" x14ac:dyDescent="0.3">
      <c r="A86" s="99"/>
      <c r="B86" s="80"/>
      <c r="C86" s="81"/>
      <c r="D86" s="142"/>
      <c r="E86" s="83">
        <f>SUM(E65:E85)</f>
        <v>6409260.0000000009</v>
      </c>
      <c r="F86" s="83">
        <f>SUM(F65:F85)</f>
        <v>0</v>
      </c>
      <c r="G86" s="83">
        <f>SUM(G65:G85)</f>
        <v>6409260.0000000009</v>
      </c>
      <c r="H86" s="80"/>
      <c r="I86" s="81"/>
      <c r="J86" s="81"/>
      <c r="K86" s="80"/>
      <c r="L86" s="80"/>
      <c r="M86" s="82"/>
    </row>
    <row r="87" spans="1:13" ht="18" x14ac:dyDescent="0.3">
      <c r="A87" s="444" t="s">
        <v>200</v>
      </c>
      <c r="B87" s="445"/>
      <c r="C87" s="445"/>
      <c r="D87" s="445"/>
      <c r="E87" s="445"/>
      <c r="F87" s="445"/>
      <c r="G87" s="445"/>
      <c r="H87" s="445"/>
      <c r="I87" s="445"/>
      <c r="J87" s="445"/>
      <c r="K87" s="445"/>
      <c r="L87" s="445"/>
      <c r="M87" s="446"/>
    </row>
    <row r="88" spans="1:13" ht="46.8" x14ac:dyDescent="0.3">
      <c r="A88" s="289">
        <v>1</v>
      </c>
      <c r="B88" s="290" t="str">
        <f>'1. Detailed Budget '!M25</f>
        <v>Herramienta Chat-Bot y su integración con los diferentes sistemas internos y Comunidad de Ayuda</v>
      </c>
      <c r="C88" s="291" t="s">
        <v>192</v>
      </c>
      <c r="D88" s="384" t="s">
        <v>449</v>
      </c>
      <c r="E88" s="292">
        <f>'1. Detailed Budget '!P25</f>
        <v>165000</v>
      </c>
      <c r="F88" s="284"/>
      <c r="G88" s="292">
        <f t="shared" ref="G88:G117" si="10">+E88</f>
        <v>165000</v>
      </c>
      <c r="H88" s="291">
        <v>1</v>
      </c>
      <c r="I88" s="293" t="s">
        <v>194</v>
      </c>
      <c r="J88" s="296" t="s">
        <v>450</v>
      </c>
      <c r="K88" s="291">
        <v>2019</v>
      </c>
      <c r="L88" s="291">
        <v>2019</v>
      </c>
      <c r="M88" s="290"/>
    </row>
    <row r="89" spans="1:13" x14ac:dyDescent="0.3">
      <c r="A89" s="289">
        <f>A88+1</f>
        <v>2</v>
      </c>
      <c r="B89" s="290" t="str">
        <f>'1. Detailed Budget '!M31</f>
        <v>Equipamiento de almacenamiento (30 tera)</v>
      </c>
      <c r="C89" s="291" t="s">
        <v>192</v>
      </c>
      <c r="D89" s="384" t="s">
        <v>449</v>
      </c>
      <c r="E89" s="292">
        <f>'1. Detailed Budget '!P31</f>
        <v>150000</v>
      </c>
      <c r="F89" s="284"/>
      <c r="G89" s="292">
        <f t="shared" si="10"/>
        <v>150000</v>
      </c>
      <c r="H89" s="291">
        <v>1</v>
      </c>
      <c r="I89" s="293" t="s">
        <v>194</v>
      </c>
      <c r="J89" s="296" t="s">
        <v>450</v>
      </c>
      <c r="K89" s="291">
        <v>2019</v>
      </c>
      <c r="L89" s="291">
        <v>2019</v>
      </c>
      <c r="M89" s="290"/>
    </row>
    <row r="90" spans="1:13" ht="31.2" x14ac:dyDescent="0.3">
      <c r="A90" s="289">
        <f>A89+1</f>
        <v>3</v>
      </c>
      <c r="B90" s="290" t="str">
        <f>'1. Detailed Budget '!M38</f>
        <v>Herramienta analítica de riesgos (incluye las licencia)</v>
      </c>
      <c r="C90" s="291" t="s">
        <v>192</v>
      </c>
      <c r="D90" s="384" t="s">
        <v>449</v>
      </c>
      <c r="E90" s="292">
        <f>'1. Detailed Budget '!P38</f>
        <v>180000</v>
      </c>
      <c r="F90" s="284"/>
      <c r="G90" s="292">
        <f t="shared" si="10"/>
        <v>180000</v>
      </c>
      <c r="H90" s="291">
        <v>1</v>
      </c>
      <c r="I90" s="293" t="s">
        <v>194</v>
      </c>
      <c r="J90" s="296" t="s">
        <v>450</v>
      </c>
      <c r="K90" s="291">
        <v>2019</v>
      </c>
      <c r="L90" s="291">
        <v>2019</v>
      </c>
      <c r="M90" s="290"/>
    </row>
    <row r="91" spans="1:13" ht="62.4" x14ac:dyDescent="0.3">
      <c r="A91" s="289">
        <f t="shared" ref="A91:A117" si="11">A90+1</f>
        <v>4</v>
      </c>
      <c r="B91" s="290" t="str">
        <f>'1. Detailed Budget '!M46</f>
        <v>Adquisición de licencias y/o contratación de servicios para la implantación de un sistema de gestión de flujos de trabajo (componente de gestión de casos).(M012)</v>
      </c>
      <c r="C91" s="291" t="s">
        <v>192</v>
      </c>
      <c r="D91" s="291" t="s">
        <v>193</v>
      </c>
      <c r="E91" s="292">
        <f>'1. Detailed Budget '!P46</f>
        <v>250000</v>
      </c>
      <c r="F91" s="284"/>
      <c r="G91" s="292">
        <f t="shared" si="10"/>
        <v>250000</v>
      </c>
      <c r="H91" s="291">
        <v>1</v>
      </c>
      <c r="I91" s="293" t="s">
        <v>194</v>
      </c>
      <c r="J91" s="296" t="s">
        <v>201</v>
      </c>
      <c r="K91" s="291">
        <v>2018</v>
      </c>
      <c r="L91" s="291">
        <v>2018</v>
      </c>
      <c r="M91" s="290"/>
    </row>
    <row r="92" spans="1:13" ht="62.4" x14ac:dyDescent="0.3">
      <c r="A92" s="289">
        <f t="shared" si="11"/>
        <v>5</v>
      </c>
      <c r="B92" s="290" t="str">
        <f>'1. Detailed Budget '!M47</f>
        <v>Adquisición de licencias y/o contratación de servicios para la implantación de un sistema de gestión de flujos de trabajo (componente de gestión de documentos). (M013)</v>
      </c>
      <c r="C92" s="291" t="s">
        <v>192</v>
      </c>
      <c r="D92" s="291" t="s">
        <v>193</v>
      </c>
      <c r="E92" s="292">
        <f>'1. Detailed Budget '!P47</f>
        <v>250000</v>
      </c>
      <c r="F92" s="284"/>
      <c r="G92" s="292">
        <f t="shared" si="10"/>
        <v>250000</v>
      </c>
      <c r="H92" s="291">
        <v>1</v>
      </c>
      <c r="I92" s="293" t="s">
        <v>194</v>
      </c>
      <c r="J92" s="296" t="s">
        <v>201</v>
      </c>
      <c r="K92" s="291">
        <v>2018</v>
      </c>
      <c r="L92" s="291">
        <v>2018</v>
      </c>
      <c r="M92" s="290"/>
    </row>
    <row r="93" spans="1:13" ht="46.8" x14ac:dyDescent="0.3">
      <c r="A93" s="289">
        <f t="shared" si="11"/>
        <v>6</v>
      </c>
      <c r="B93" s="290" t="str">
        <f>'1. Detailed Budget '!M48</f>
        <v>Adquisición de licencias de herramientas de análisis tipo (IDEA o ACL) para el personal de fiscalización externa. (M028)</v>
      </c>
      <c r="C93" s="291" t="s">
        <v>192</v>
      </c>
      <c r="D93" s="384" t="s">
        <v>449</v>
      </c>
      <c r="E93" s="292">
        <f>'1. Detailed Budget '!P48</f>
        <v>200000</v>
      </c>
      <c r="F93" s="284"/>
      <c r="G93" s="292">
        <f t="shared" si="10"/>
        <v>200000</v>
      </c>
      <c r="H93" s="291">
        <v>1</v>
      </c>
      <c r="I93" s="293" t="s">
        <v>194</v>
      </c>
      <c r="J93" s="296" t="s">
        <v>450</v>
      </c>
      <c r="K93" s="291">
        <v>2017</v>
      </c>
      <c r="L93" s="291">
        <v>2017</v>
      </c>
      <c r="M93" s="290"/>
    </row>
    <row r="94" spans="1:13" ht="62.4" x14ac:dyDescent="0.3">
      <c r="A94" s="289">
        <f t="shared" si="11"/>
        <v>7</v>
      </c>
      <c r="B94" s="290" t="str">
        <f>'1. Detailed Budget '!M57</f>
        <v>Adquisición (en su caso) de las licencias del nuevo ERP. Servicios de desarrollo y/o implantación de la solución para las Gerencias de RRHH y Administrativa. (M056)</v>
      </c>
      <c r="C94" s="291" t="s">
        <v>192</v>
      </c>
      <c r="D94" s="291" t="s">
        <v>193</v>
      </c>
      <c r="E94" s="292">
        <f>'1. Detailed Budget '!P57</f>
        <v>1000000</v>
      </c>
      <c r="F94" s="284"/>
      <c r="G94" s="292">
        <f>+E94</f>
        <v>1000000</v>
      </c>
      <c r="H94" s="291">
        <v>1</v>
      </c>
      <c r="I94" s="293" t="s">
        <v>194</v>
      </c>
      <c r="J94" s="296" t="s">
        <v>201</v>
      </c>
      <c r="K94" s="291">
        <v>2017</v>
      </c>
      <c r="L94" s="291">
        <v>2018</v>
      </c>
      <c r="M94" s="290"/>
    </row>
    <row r="95" spans="1:13" ht="31.2" x14ac:dyDescent="0.3">
      <c r="A95" s="289">
        <f t="shared" si="11"/>
        <v>8</v>
      </c>
      <c r="B95" s="290" t="str">
        <f>'1. Detailed Budget '!M58</f>
        <v>Adquisición e implantación de una herramienta de IAM (Identity and Access manager).(M063)</v>
      </c>
      <c r="C95" s="291" t="s">
        <v>192</v>
      </c>
      <c r="D95" s="291" t="s">
        <v>193</v>
      </c>
      <c r="E95" s="292">
        <f>'1. Detailed Budget '!P58</f>
        <v>250000</v>
      </c>
      <c r="F95" s="284"/>
      <c r="G95" s="292">
        <f t="shared" si="10"/>
        <v>250000</v>
      </c>
      <c r="H95" s="291">
        <v>1</v>
      </c>
      <c r="I95" s="293" t="s">
        <v>194</v>
      </c>
      <c r="J95" s="296" t="s">
        <v>201</v>
      </c>
      <c r="K95" s="291">
        <v>2017</v>
      </c>
      <c r="L95" s="291">
        <v>2018</v>
      </c>
      <c r="M95" s="290"/>
    </row>
    <row r="96" spans="1:13" ht="46.8" x14ac:dyDescent="0.3">
      <c r="A96" s="289">
        <f t="shared" si="11"/>
        <v>9</v>
      </c>
      <c r="B96" s="290" t="str">
        <f>'1. Detailed Budget '!M60</f>
        <v>Actualización de las instalaciones de aire acondicionado y sistema de alimentación eléctrica ininterrumpida del CPD. (M078)</v>
      </c>
      <c r="C96" s="291" t="s">
        <v>192</v>
      </c>
      <c r="D96" s="291" t="s">
        <v>193</v>
      </c>
      <c r="E96" s="292">
        <f>'1. Detailed Budget '!P60</f>
        <v>800000</v>
      </c>
      <c r="F96" s="284"/>
      <c r="G96" s="292">
        <f t="shared" si="10"/>
        <v>800000</v>
      </c>
      <c r="H96" s="291">
        <v>1</v>
      </c>
      <c r="I96" s="293" t="s">
        <v>194</v>
      </c>
      <c r="J96" s="296" t="s">
        <v>201</v>
      </c>
      <c r="K96" s="291">
        <v>2018</v>
      </c>
      <c r="L96" s="291">
        <v>2018</v>
      </c>
      <c r="M96" s="290"/>
    </row>
    <row r="97" spans="1:13" ht="62.4" x14ac:dyDescent="0.3">
      <c r="A97" s="289">
        <f t="shared" si="11"/>
        <v>10</v>
      </c>
      <c r="B97" s="290" t="str">
        <f>'1. Detailed Budget '!M61</f>
        <v>Actualización de las instalaciones de cableado de red y sistema de alimentación eléctrica ininterrumpida de las administraciones locales.(M079)</v>
      </c>
      <c r="C97" s="291" t="s">
        <v>192</v>
      </c>
      <c r="D97" s="291" t="s">
        <v>193</v>
      </c>
      <c r="E97" s="292">
        <f>'1. Detailed Budget '!P61</f>
        <v>1600000</v>
      </c>
      <c r="F97" s="284"/>
      <c r="G97" s="292">
        <f t="shared" si="10"/>
        <v>1600000</v>
      </c>
      <c r="H97" s="291">
        <v>1</v>
      </c>
      <c r="I97" s="293" t="s">
        <v>194</v>
      </c>
      <c r="J97" s="296" t="s">
        <v>201</v>
      </c>
      <c r="K97" s="291">
        <v>2018</v>
      </c>
      <c r="L97" s="291">
        <v>2021</v>
      </c>
      <c r="M97" s="290"/>
    </row>
    <row r="98" spans="1:13" ht="109.2" x14ac:dyDescent="0.3">
      <c r="A98" s="289">
        <f t="shared" si="11"/>
        <v>11</v>
      </c>
      <c r="B98" s="290" t="str">
        <f>'1. Detailed Budget '!M62</f>
        <v>Actualización de los conmutadores de la red de comunicaciones de la DGII. Reemplazo de Core de Comunicaciones del Datacenter. Reemplazo de Infraestructura de Telefonía IP, Contact Center. Reemplazo de Infraestructura de Firewalls para apoyo tanto al site primario como al de contingencia y al servicio de VPN.(M080)</v>
      </c>
      <c r="C98" s="291" t="s">
        <v>192</v>
      </c>
      <c r="D98" s="291" t="s">
        <v>193</v>
      </c>
      <c r="E98" s="292">
        <f>'1. Detailed Budget '!P62</f>
        <v>8000000</v>
      </c>
      <c r="F98" s="284"/>
      <c r="G98" s="292">
        <f t="shared" si="10"/>
        <v>8000000</v>
      </c>
      <c r="H98" s="291">
        <v>1</v>
      </c>
      <c r="I98" s="293" t="s">
        <v>194</v>
      </c>
      <c r="J98" s="296" t="s">
        <v>201</v>
      </c>
      <c r="K98" s="291">
        <v>2018</v>
      </c>
      <c r="L98" s="291">
        <v>2021</v>
      </c>
      <c r="M98" s="290"/>
    </row>
    <row r="99" spans="1:13" ht="46.8" x14ac:dyDescent="0.3">
      <c r="A99" s="289">
        <f t="shared" si="11"/>
        <v>12</v>
      </c>
      <c r="B99" s="290" t="str">
        <f>'1. Detailed Budget '!M63</f>
        <v>Actualización de la infraestructura de almacenamiento del CPD principal y de respaldo.(M081)</v>
      </c>
      <c r="C99" s="291" t="s">
        <v>192</v>
      </c>
      <c r="D99" s="291" t="s">
        <v>193</v>
      </c>
      <c r="E99" s="292">
        <f>'1. Detailed Budget '!P63</f>
        <v>600000</v>
      </c>
      <c r="F99" s="284"/>
      <c r="G99" s="292">
        <f t="shared" si="10"/>
        <v>600000</v>
      </c>
      <c r="H99" s="291">
        <v>1</v>
      </c>
      <c r="I99" s="293" t="s">
        <v>194</v>
      </c>
      <c r="J99" s="296" t="s">
        <v>201</v>
      </c>
      <c r="K99" s="291">
        <v>2017</v>
      </c>
      <c r="L99" s="291">
        <v>2018</v>
      </c>
      <c r="M99" s="290"/>
    </row>
    <row r="100" spans="1:13" ht="124.8" x14ac:dyDescent="0.3">
      <c r="A100" s="289">
        <f t="shared" si="11"/>
        <v>13</v>
      </c>
      <c r="B100" s="290" t="str">
        <f>'1. Detailed Budget '!M64</f>
        <v>Expansión o Actualización Capacidad de Procesamiento Centralizado. Alta Disponibilidad en Clúster Activo - Activo Base de Datos Oracle. Expansión o Actualización Capacidad de Procesamiento Centralizado. Alta Disponibilidad en Clúster Activo - Activo Para Virtualización , Servidores de Aplicaciones, Bases de Datos, etc. (M082)</v>
      </c>
      <c r="C100" s="291" t="s">
        <v>192</v>
      </c>
      <c r="D100" s="291" t="s">
        <v>193</v>
      </c>
      <c r="E100" s="292">
        <f>'1. Detailed Budget '!P64</f>
        <v>3750000</v>
      </c>
      <c r="F100" s="284"/>
      <c r="G100" s="292">
        <f t="shared" si="10"/>
        <v>3750000</v>
      </c>
      <c r="H100" s="291">
        <v>1</v>
      </c>
      <c r="I100" s="293" t="s">
        <v>194</v>
      </c>
      <c r="J100" s="296" t="s">
        <v>201</v>
      </c>
      <c r="K100" s="291">
        <v>2018</v>
      </c>
      <c r="L100" s="291">
        <v>2021</v>
      </c>
      <c r="M100" s="290"/>
    </row>
    <row r="101" spans="1:13" ht="31.2" x14ac:dyDescent="0.3">
      <c r="A101" s="289">
        <f t="shared" si="11"/>
        <v>14</v>
      </c>
      <c r="B101" s="290" t="str">
        <f>'1. Detailed Budget '!M65</f>
        <v>Reemplazo de infraestructura de respaldo por solución de respaldo a disco. (M083)</v>
      </c>
      <c r="C101" s="291" t="s">
        <v>192</v>
      </c>
      <c r="D101" s="291" t="s">
        <v>193</v>
      </c>
      <c r="E101" s="292">
        <f>'1. Detailed Budget '!P65</f>
        <v>800000</v>
      </c>
      <c r="F101" s="284"/>
      <c r="G101" s="292">
        <f t="shared" si="10"/>
        <v>800000</v>
      </c>
      <c r="H101" s="291">
        <v>1</v>
      </c>
      <c r="I101" s="293" t="s">
        <v>194</v>
      </c>
      <c r="J101" s="296" t="s">
        <v>201</v>
      </c>
      <c r="K101" s="291">
        <v>2019</v>
      </c>
      <c r="L101" s="291">
        <v>2020</v>
      </c>
      <c r="M101" s="295"/>
    </row>
    <row r="102" spans="1:13" ht="31.2" x14ac:dyDescent="0.3">
      <c r="A102" s="289">
        <f t="shared" si="11"/>
        <v>15</v>
      </c>
      <c r="B102" s="290" t="str">
        <f>'1. Detailed Budget '!M66</f>
        <v>Renovación de portátiles y estaciones de trabajo para usuarios finales. (M084)</v>
      </c>
      <c r="C102" s="291" t="s">
        <v>192</v>
      </c>
      <c r="D102" s="291" t="s">
        <v>193</v>
      </c>
      <c r="E102" s="292">
        <f>'1. Detailed Budget '!P66</f>
        <v>700000</v>
      </c>
      <c r="F102" s="284"/>
      <c r="G102" s="292">
        <f t="shared" si="10"/>
        <v>700000</v>
      </c>
      <c r="H102" s="291">
        <v>1</v>
      </c>
      <c r="I102" s="293" t="s">
        <v>194</v>
      </c>
      <c r="J102" s="296" t="s">
        <v>201</v>
      </c>
      <c r="K102" s="291">
        <v>2018</v>
      </c>
      <c r="L102" s="291">
        <v>2020</v>
      </c>
      <c r="M102" s="295"/>
    </row>
    <row r="103" spans="1:13" ht="31.2" x14ac:dyDescent="0.3">
      <c r="A103" s="354">
        <f t="shared" si="11"/>
        <v>16</v>
      </c>
      <c r="B103" s="355" t="str">
        <f>'1. Detailed Budget '!M71</f>
        <v>Herramienta informática de apoyo a la gestión de la programación financiera</v>
      </c>
      <c r="C103" s="356" t="s">
        <v>192</v>
      </c>
      <c r="D103" s="356" t="s">
        <v>449</v>
      </c>
      <c r="E103" s="357">
        <f>'1. Detailed Budget '!P71</f>
        <v>30000</v>
      </c>
      <c r="F103" s="357"/>
      <c r="G103" s="357">
        <f t="shared" si="10"/>
        <v>30000</v>
      </c>
      <c r="H103" s="358">
        <v>2</v>
      </c>
      <c r="I103" s="359" t="s">
        <v>430</v>
      </c>
      <c r="J103" s="360" t="s">
        <v>451</v>
      </c>
      <c r="K103" s="356">
        <v>2018</v>
      </c>
      <c r="L103" s="356">
        <v>2021</v>
      </c>
      <c r="M103" s="361"/>
    </row>
    <row r="104" spans="1:13" ht="37.200000000000003" customHeight="1" x14ac:dyDescent="0.3">
      <c r="A104" s="354">
        <f t="shared" si="11"/>
        <v>17</v>
      </c>
      <c r="B104" s="355" t="str">
        <f>'1. Detailed Budget '!M72</f>
        <v>Equipos para la implementación de la herramienta informática</v>
      </c>
      <c r="C104" s="356" t="s">
        <v>192</v>
      </c>
      <c r="D104" s="356" t="s">
        <v>449</v>
      </c>
      <c r="E104" s="357">
        <f>'1. Detailed Budget '!P72</f>
        <v>30000</v>
      </c>
      <c r="F104" s="357"/>
      <c r="G104" s="357">
        <f t="shared" si="10"/>
        <v>30000</v>
      </c>
      <c r="H104" s="356">
        <v>2</v>
      </c>
      <c r="I104" s="359" t="s">
        <v>430</v>
      </c>
      <c r="J104" s="360" t="s">
        <v>451</v>
      </c>
      <c r="K104" s="356">
        <v>2018</v>
      </c>
      <c r="L104" s="356">
        <v>2021</v>
      </c>
      <c r="M104" s="361"/>
    </row>
    <row r="105" spans="1:13" ht="31.2" x14ac:dyDescent="0.3">
      <c r="A105" s="354">
        <f t="shared" si="11"/>
        <v>18</v>
      </c>
      <c r="B105" s="355" t="str">
        <f>'1. Detailed Budget '!M75</f>
        <v>Herramienta informática de apoyo a la gestión del Marco de Gasto de Mediano Plazo</v>
      </c>
      <c r="C105" s="356" t="s">
        <v>192</v>
      </c>
      <c r="D105" s="356" t="s">
        <v>449</v>
      </c>
      <c r="E105" s="357">
        <f>'1. Detailed Budget '!P75</f>
        <v>100000</v>
      </c>
      <c r="F105" s="357"/>
      <c r="G105" s="357">
        <f t="shared" si="10"/>
        <v>100000</v>
      </c>
      <c r="H105" s="356">
        <v>2</v>
      </c>
      <c r="I105" s="359" t="s">
        <v>430</v>
      </c>
      <c r="J105" s="360" t="s">
        <v>450</v>
      </c>
      <c r="K105" s="356">
        <v>2018</v>
      </c>
      <c r="L105" s="356">
        <v>2021</v>
      </c>
      <c r="M105" s="361"/>
    </row>
    <row r="106" spans="1:13" ht="46.8" x14ac:dyDescent="0.3">
      <c r="A106" s="354">
        <f t="shared" si="11"/>
        <v>19</v>
      </c>
      <c r="B106" s="355" t="str">
        <f>'1. Detailed Budget '!M78</f>
        <v>Herramienta de minería de datos para la generación de información estadísticas consolidadas</v>
      </c>
      <c r="C106" s="356" t="s">
        <v>192</v>
      </c>
      <c r="D106" s="356" t="s">
        <v>449</v>
      </c>
      <c r="E106" s="357">
        <f>'1. Detailed Budget '!P78</f>
        <v>100000</v>
      </c>
      <c r="F106" s="357"/>
      <c r="G106" s="357">
        <f t="shared" si="10"/>
        <v>100000</v>
      </c>
      <c r="H106" s="356">
        <v>2</v>
      </c>
      <c r="I106" s="359" t="s">
        <v>430</v>
      </c>
      <c r="J106" s="360" t="s">
        <v>450</v>
      </c>
      <c r="K106" s="356">
        <v>2018</v>
      </c>
      <c r="L106" s="356">
        <v>2021</v>
      </c>
      <c r="M106" s="361"/>
    </row>
    <row r="107" spans="1:13" ht="31.2" x14ac:dyDescent="0.3">
      <c r="A107" s="354">
        <f t="shared" si="11"/>
        <v>20</v>
      </c>
      <c r="B107" s="355" t="str">
        <f>'1. Detailed Budget '!M81</f>
        <v>Servidor de datos para backups de la información de los sistemas internos de la Tesorería</v>
      </c>
      <c r="C107" s="356" t="s">
        <v>192</v>
      </c>
      <c r="D107" s="356" t="s">
        <v>449</v>
      </c>
      <c r="E107" s="357">
        <f>'1. Detailed Budget '!P81</f>
        <v>21000</v>
      </c>
      <c r="F107" s="357"/>
      <c r="G107" s="357">
        <f t="shared" ref="G107" si="12">+E107</f>
        <v>21000</v>
      </c>
      <c r="H107" s="356">
        <v>2</v>
      </c>
      <c r="I107" s="359" t="s">
        <v>430</v>
      </c>
      <c r="J107" s="360" t="s">
        <v>451</v>
      </c>
      <c r="K107" s="356">
        <v>2018</v>
      </c>
      <c r="L107" s="356">
        <v>2021</v>
      </c>
      <c r="M107" s="361"/>
    </row>
    <row r="108" spans="1:13" x14ac:dyDescent="0.3">
      <c r="A108" s="354">
        <f t="shared" si="11"/>
        <v>21</v>
      </c>
      <c r="B108" s="355" t="str">
        <f>'1. Detailed Budget '!M89</f>
        <v>GPS para la titulación</v>
      </c>
      <c r="C108" s="456" t="s">
        <v>192</v>
      </c>
      <c r="D108" s="456" t="s">
        <v>449</v>
      </c>
      <c r="E108" s="357">
        <f>'1. Detailed Budget '!P89</f>
        <v>4500</v>
      </c>
      <c r="F108" s="357"/>
      <c r="G108" s="357">
        <f t="shared" si="10"/>
        <v>4500</v>
      </c>
      <c r="H108" s="456">
        <v>2</v>
      </c>
      <c r="I108" s="456" t="s">
        <v>430</v>
      </c>
      <c r="J108" s="453" t="s">
        <v>450</v>
      </c>
      <c r="K108" s="456">
        <v>2018</v>
      </c>
      <c r="L108" s="456">
        <v>2021</v>
      </c>
      <c r="M108" s="361"/>
    </row>
    <row r="109" spans="1:13" x14ac:dyDescent="0.3">
      <c r="A109" s="354">
        <f t="shared" si="11"/>
        <v>22</v>
      </c>
      <c r="B109" s="355" t="str">
        <f>'1. Detailed Budget '!M90</f>
        <v>Laptops para titulación  (15) y inventario (30)</v>
      </c>
      <c r="C109" s="457"/>
      <c r="D109" s="457"/>
      <c r="E109" s="357">
        <f>'1. Detailed Budget '!P90</f>
        <v>90000</v>
      </c>
      <c r="F109" s="357"/>
      <c r="G109" s="357">
        <f t="shared" si="10"/>
        <v>90000</v>
      </c>
      <c r="H109" s="457">
        <v>2</v>
      </c>
      <c r="I109" s="457" t="s">
        <v>430</v>
      </c>
      <c r="J109" s="454"/>
      <c r="K109" s="457">
        <v>2017</v>
      </c>
      <c r="L109" s="457">
        <v>2021</v>
      </c>
      <c r="M109" s="361"/>
    </row>
    <row r="110" spans="1:13" ht="31.2" x14ac:dyDescent="0.3">
      <c r="A110" s="354">
        <f t="shared" si="11"/>
        <v>23</v>
      </c>
      <c r="B110" s="355" t="str">
        <f>'1. Detailed Budget '!M91</f>
        <v>Estaciones Totales (instrumento de información topográfica)</v>
      </c>
      <c r="C110" s="457"/>
      <c r="D110" s="457"/>
      <c r="E110" s="357">
        <f>'1. Detailed Budget '!P91</f>
        <v>75000</v>
      </c>
      <c r="F110" s="357"/>
      <c r="G110" s="357">
        <f t="shared" si="10"/>
        <v>75000</v>
      </c>
      <c r="H110" s="457">
        <v>2</v>
      </c>
      <c r="I110" s="457" t="s">
        <v>430</v>
      </c>
      <c r="J110" s="454"/>
      <c r="K110" s="457">
        <v>2017</v>
      </c>
      <c r="L110" s="457">
        <v>2021</v>
      </c>
      <c r="M110" s="361"/>
    </row>
    <row r="111" spans="1:13" x14ac:dyDescent="0.3">
      <c r="A111" s="354">
        <f t="shared" si="11"/>
        <v>24</v>
      </c>
      <c r="B111" s="355" t="str">
        <f>'1. Detailed Budget '!M92</f>
        <v>Scanner de alta velocidad</v>
      </c>
      <c r="C111" s="457"/>
      <c r="D111" s="457"/>
      <c r="E111" s="357">
        <f>'1. Detailed Budget '!P92</f>
        <v>2500</v>
      </c>
      <c r="F111" s="357"/>
      <c r="G111" s="357">
        <f t="shared" si="10"/>
        <v>2500</v>
      </c>
      <c r="H111" s="457">
        <v>2</v>
      </c>
      <c r="I111" s="457" t="s">
        <v>430</v>
      </c>
      <c r="J111" s="454"/>
      <c r="K111" s="457">
        <v>2017</v>
      </c>
      <c r="L111" s="457">
        <v>2021</v>
      </c>
      <c r="M111" s="361"/>
    </row>
    <row r="112" spans="1:13" x14ac:dyDescent="0.3">
      <c r="A112" s="354">
        <f t="shared" si="11"/>
        <v>25</v>
      </c>
      <c r="B112" s="355" t="str">
        <f>'1. Detailed Budget '!M93</f>
        <v>Lectoras de Código de Barra</v>
      </c>
      <c r="C112" s="458"/>
      <c r="D112" s="458"/>
      <c r="E112" s="357">
        <f>'1. Detailed Budget '!P93</f>
        <v>1500</v>
      </c>
      <c r="F112" s="357"/>
      <c r="G112" s="357">
        <f t="shared" si="10"/>
        <v>1500</v>
      </c>
      <c r="H112" s="458">
        <v>2</v>
      </c>
      <c r="I112" s="458" t="s">
        <v>430</v>
      </c>
      <c r="J112" s="455"/>
      <c r="K112" s="458">
        <v>2017</v>
      </c>
      <c r="L112" s="458">
        <v>2021</v>
      </c>
      <c r="M112" s="361"/>
    </row>
    <row r="113" spans="1:13" x14ac:dyDescent="0.3">
      <c r="A113" s="354">
        <f t="shared" si="11"/>
        <v>26</v>
      </c>
      <c r="B113" s="355" t="str">
        <f>'1. Detailed Budget '!M95</f>
        <v>Real Time Cinemática (RTK)</v>
      </c>
      <c r="C113" s="456" t="s">
        <v>192</v>
      </c>
      <c r="D113" s="456" t="s">
        <v>193</v>
      </c>
      <c r="E113" s="357">
        <f>'1. Detailed Budget '!P95</f>
        <v>110000</v>
      </c>
      <c r="F113" s="357"/>
      <c r="G113" s="357">
        <f t="shared" si="10"/>
        <v>110000</v>
      </c>
      <c r="H113" s="456">
        <v>2</v>
      </c>
      <c r="I113" s="456" t="s">
        <v>430</v>
      </c>
      <c r="J113" s="453" t="s">
        <v>201</v>
      </c>
      <c r="K113" s="456">
        <v>2018</v>
      </c>
      <c r="L113" s="456">
        <v>2021</v>
      </c>
      <c r="M113" s="361"/>
    </row>
    <row r="114" spans="1:13" x14ac:dyDescent="0.3">
      <c r="A114" s="354">
        <f t="shared" si="11"/>
        <v>27</v>
      </c>
      <c r="B114" s="355" t="str">
        <f>'1. Detailed Budget '!M96</f>
        <v>GPS para la levantamiento de información</v>
      </c>
      <c r="C114" s="457" t="s">
        <v>192</v>
      </c>
      <c r="D114" s="457"/>
      <c r="E114" s="357">
        <f>'1. Detailed Budget '!P96</f>
        <v>12000</v>
      </c>
      <c r="F114" s="357"/>
      <c r="G114" s="357">
        <f t="shared" si="10"/>
        <v>12000</v>
      </c>
      <c r="H114" s="457">
        <v>2</v>
      </c>
      <c r="I114" s="457" t="s">
        <v>430</v>
      </c>
      <c r="J114" s="454"/>
      <c r="K114" s="457">
        <v>2017</v>
      </c>
      <c r="L114" s="457">
        <v>2021</v>
      </c>
      <c r="M114" s="361"/>
    </row>
    <row r="115" spans="1:13" x14ac:dyDescent="0.3">
      <c r="A115" s="354">
        <f t="shared" si="11"/>
        <v>28</v>
      </c>
      <c r="B115" s="355" t="str">
        <f>'1. Detailed Budget '!M97</f>
        <v>Servidor Virtual (capacitación / operación)</v>
      </c>
      <c r="C115" s="457" t="s">
        <v>192</v>
      </c>
      <c r="D115" s="457"/>
      <c r="E115" s="357">
        <f>'1. Detailed Budget '!P97</f>
        <v>30000</v>
      </c>
      <c r="F115" s="357"/>
      <c r="G115" s="357">
        <f t="shared" si="10"/>
        <v>30000</v>
      </c>
      <c r="H115" s="457">
        <v>2</v>
      </c>
      <c r="I115" s="457" t="s">
        <v>430</v>
      </c>
      <c r="J115" s="454"/>
      <c r="K115" s="457">
        <v>2017</v>
      </c>
      <c r="L115" s="457">
        <v>2021</v>
      </c>
      <c r="M115" s="361"/>
    </row>
    <row r="116" spans="1:13" x14ac:dyDescent="0.3">
      <c r="A116" s="354">
        <f t="shared" si="11"/>
        <v>29</v>
      </c>
      <c r="B116" s="355" t="str">
        <f>'1. Detailed Budget '!M98</f>
        <v>Laptops / Tablets</v>
      </c>
      <c r="C116" s="457" t="s">
        <v>192</v>
      </c>
      <c r="D116" s="457"/>
      <c r="E116" s="357">
        <f>'1. Detailed Budget '!P98</f>
        <v>80000</v>
      </c>
      <c r="F116" s="357"/>
      <c r="G116" s="357">
        <f t="shared" si="10"/>
        <v>80000</v>
      </c>
      <c r="H116" s="457">
        <v>2</v>
      </c>
      <c r="I116" s="457" t="s">
        <v>430</v>
      </c>
      <c r="J116" s="454"/>
      <c r="K116" s="457">
        <v>2017</v>
      </c>
      <c r="L116" s="457">
        <v>2021</v>
      </c>
      <c r="M116" s="361"/>
    </row>
    <row r="117" spans="1:13" x14ac:dyDescent="0.3">
      <c r="A117" s="354">
        <f t="shared" si="11"/>
        <v>30</v>
      </c>
      <c r="B117" s="355" t="str">
        <f>'1. Detailed Budget '!M99</f>
        <v>Desktops</v>
      </c>
      <c r="C117" s="458" t="s">
        <v>192</v>
      </c>
      <c r="D117" s="458"/>
      <c r="E117" s="357">
        <f>'1. Detailed Budget '!P99</f>
        <v>75000</v>
      </c>
      <c r="F117" s="357"/>
      <c r="G117" s="357">
        <f t="shared" si="10"/>
        <v>75000</v>
      </c>
      <c r="H117" s="458">
        <v>2</v>
      </c>
      <c r="I117" s="458" t="s">
        <v>430</v>
      </c>
      <c r="J117" s="455"/>
      <c r="K117" s="458">
        <v>2017</v>
      </c>
      <c r="L117" s="458">
        <v>2021</v>
      </c>
      <c r="M117" s="361"/>
    </row>
    <row r="118" spans="1:13" x14ac:dyDescent="0.3">
      <c r="A118" s="100"/>
      <c r="B118" s="101"/>
      <c r="C118" s="85"/>
      <c r="D118" s="143"/>
      <c r="E118" s="84">
        <f>SUM(E88:E117)</f>
        <v>19456500</v>
      </c>
      <c r="F118" s="84"/>
      <c r="G118" s="84">
        <f>SUM(G88:G117)</f>
        <v>19456500</v>
      </c>
      <c r="H118" s="85"/>
      <c r="I118" s="86"/>
      <c r="J118" s="87"/>
      <c r="K118" s="85"/>
      <c r="L118" s="85"/>
      <c r="M118" s="88"/>
    </row>
    <row r="119" spans="1:13" ht="18" x14ac:dyDescent="0.3">
      <c r="A119" s="444" t="s">
        <v>202</v>
      </c>
      <c r="B119" s="445"/>
      <c r="C119" s="445"/>
      <c r="D119" s="445"/>
      <c r="E119" s="445"/>
      <c r="F119" s="445"/>
      <c r="G119" s="445"/>
      <c r="H119" s="445"/>
      <c r="I119" s="445"/>
      <c r="J119" s="445"/>
      <c r="K119" s="445"/>
      <c r="L119" s="445"/>
      <c r="M119" s="446"/>
    </row>
    <row r="120" spans="1:13" ht="31.2" x14ac:dyDescent="0.3">
      <c r="A120" s="289">
        <v>1</v>
      </c>
      <c r="B120" s="290" t="str">
        <f>'1. Detailed Budget '!Q11</f>
        <v>Eventos y seminarios de discusión y diseminación de los cambios normativos</v>
      </c>
      <c r="C120" s="291" t="s">
        <v>192</v>
      </c>
      <c r="D120" s="291" t="s">
        <v>193</v>
      </c>
      <c r="E120" s="84">
        <f>'1. Detailed Budget '!T11</f>
        <v>400000</v>
      </c>
      <c r="F120" s="284"/>
      <c r="G120" s="292">
        <f t="shared" ref="G120:G149" si="13">+E120</f>
        <v>400000</v>
      </c>
      <c r="H120" s="291">
        <v>1</v>
      </c>
      <c r="I120" s="293" t="s">
        <v>194</v>
      </c>
      <c r="J120" s="297" t="s">
        <v>201</v>
      </c>
      <c r="K120" s="291">
        <v>2017</v>
      </c>
      <c r="L120" s="291">
        <v>2021</v>
      </c>
      <c r="M120" s="290"/>
    </row>
    <row r="121" spans="1:13" ht="62.4" x14ac:dyDescent="0.3">
      <c r="A121" s="289">
        <f>A120+1</f>
        <v>2</v>
      </c>
      <c r="B121" s="290" t="str">
        <f>'1. Detailed Budget '!Q13</f>
        <v>Seminarios y eventos de diseminación de los cambios a ser implementados, con la participación de todos los actores involucrados en la modernización.</v>
      </c>
      <c r="C121" s="291" t="s">
        <v>192</v>
      </c>
      <c r="D121" s="384" t="s">
        <v>449</v>
      </c>
      <c r="E121" s="84">
        <f>'1. Detailed Budget '!T13</f>
        <v>200000</v>
      </c>
      <c r="F121" s="284"/>
      <c r="G121" s="292">
        <f t="shared" si="13"/>
        <v>200000</v>
      </c>
      <c r="H121" s="291">
        <v>1</v>
      </c>
      <c r="I121" s="293" t="s">
        <v>194</v>
      </c>
      <c r="J121" s="297" t="s">
        <v>450</v>
      </c>
      <c r="K121" s="291">
        <v>2017</v>
      </c>
      <c r="L121" s="291">
        <v>2021</v>
      </c>
      <c r="M121" s="290"/>
    </row>
    <row r="122" spans="1:13" ht="31.2" x14ac:dyDescent="0.3">
      <c r="A122" s="289">
        <f t="shared" ref="A122:A149" si="14">A121+1</f>
        <v>3</v>
      </c>
      <c r="B122" s="290" t="str">
        <f>'1. Detailed Budget '!Q14</f>
        <v>Seminarios y talleres de difusión del conocimiento sobre los estudios de evaluación de impacto</v>
      </c>
      <c r="C122" s="291" t="s">
        <v>192</v>
      </c>
      <c r="D122" s="384" t="s">
        <v>449</v>
      </c>
      <c r="E122" s="84">
        <f>'1. Detailed Budget '!T14</f>
        <v>40000</v>
      </c>
      <c r="F122" s="284"/>
      <c r="G122" s="292">
        <f t="shared" si="13"/>
        <v>40000</v>
      </c>
      <c r="H122" s="291">
        <v>1</v>
      </c>
      <c r="I122" s="293" t="s">
        <v>194</v>
      </c>
      <c r="J122" s="297" t="s">
        <v>451</v>
      </c>
      <c r="K122" s="291">
        <v>2017</v>
      </c>
      <c r="L122" s="291">
        <v>2021</v>
      </c>
      <c r="M122" s="290"/>
    </row>
    <row r="123" spans="1:13" ht="46.8" x14ac:dyDescent="0.3">
      <c r="A123" s="289">
        <f t="shared" si="14"/>
        <v>4</v>
      </c>
      <c r="B123" s="290" t="str">
        <f>'1. Detailed Budget '!Q16</f>
        <v>Plan de desvinculación voluntaria de personal, como resultado del proceso de reorganización institucional y de la evaluación de competencias</v>
      </c>
      <c r="C123" s="291" t="s">
        <v>192</v>
      </c>
      <c r="D123" s="291" t="s">
        <v>193</v>
      </c>
      <c r="E123" s="84">
        <f>'1. Detailed Budget '!T16</f>
        <v>6283600</v>
      </c>
      <c r="F123" s="284"/>
      <c r="G123" s="292">
        <f t="shared" si="13"/>
        <v>6283600</v>
      </c>
      <c r="H123" s="291">
        <v>1</v>
      </c>
      <c r="I123" s="293" t="s">
        <v>194</v>
      </c>
      <c r="J123" s="297" t="s">
        <v>201</v>
      </c>
      <c r="K123" s="291">
        <v>2017</v>
      </c>
      <c r="L123" s="291">
        <v>2021</v>
      </c>
      <c r="M123" s="290"/>
    </row>
    <row r="124" spans="1:13" ht="46.8" x14ac:dyDescent="0.3">
      <c r="A124" s="289">
        <f t="shared" si="14"/>
        <v>5</v>
      </c>
      <c r="B124" s="290" t="str">
        <f>'1. Detailed Budget '!Q17</f>
        <v>Plan de capacitación y desarrollo de competencias técnicas y administrativas, incluyendo Programa trainees</v>
      </c>
      <c r="C124" s="291" t="s">
        <v>192</v>
      </c>
      <c r="D124" s="291" t="s">
        <v>193</v>
      </c>
      <c r="E124" s="84">
        <f>'1. Detailed Budget '!T17</f>
        <v>1067430</v>
      </c>
      <c r="F124" s="284"/>
      <c r="G124" s="292">
        <f t="shared" si="13"/>
        <v>1067430</v>
      </c>
      <c r="H124" s="291">
        <v>1</v>
      </c>
      <c r="I124" s="293" t="s">
        <v>194</v>
      </c>
      <c r="J124" s="297" t="s">
        <v>201</v>
      </c>
      <c r="K124" s="291">
        <v>2017</v>
      </c>
      <c r="L124" s="291">
        <v>2021</v>
      </c>
      <c r="M124" s="290"/>
    </row>
    <row r="125" spans="1:13" ht="46.8" x14ac:dyDescent="0.3">
      <c r="A125" s="289">
        <f t="shared" si="14"/>
        <v>6</v>
      </c>
      <c r="B125" s="290" t="str">
        <f>'1. Detailed Budget '!Q18</f>
        <v>Programa de pasantías internacionales (fiscalidad internacional, cobranza, facturación, transparencia y otros)</v>
      </c>
      <c r="C125" s="291" t="s">
        <v>192</v>
      </c>
      <c r="D125" s="384" t="s">
        <v>449</v>
      </c>
      <c r="E125" s="84">
        <f>'1. Detailed Budget '!T18</f>
        <v>165000</v>
      </c>
      <c r="F125" s="284"/>
      <c r="G125" s="292">
        <f t="shared" si="13"/>
        <v>165000</v>
      </c>
      <c r="H125" s="291">
        <v>1</v>
      </c>
      <c r="I125" s="293" t="s">
        <v>194</v>
      </c>
      <c r="J125" s="297" t="s">
        <v>450</v>
      </c>
      <c r="K125" s="291">
        <v>2017</v>
      </c>
      <c r="L125" s="291">
        <v>2021</v>
      </c>
      <c r="M125" s="290"/>
    </row>
    <row r="126" spans="1:13" ht="62.4" x14ac:dyDescent="0.3">
      <c r="A126" s="289">
        <f t="shared" si="14"/>
        <v>7</v>
      </c>
      <c r="B126" s="290" t="str">
        <f>'1. Detailed Budget '!Q20</f>
        <v>Campaña de difusión y educación sobre el cumplimiento con requerimientos del registro, incluyendo el cumplimiento de los estándares de cumplimiento de la OECD (UBO)</v>
      </c>
      <c r="C126" s="291" t="s">
        <v>192</v>
      </c>
      <c r="D126" s="384" t="s">
        <v>449</v>
      </c>
      <c r="E126" s="84">
        <f>'1. Detailed Budget '!T20</f>
        <v>150000</v>
      </c>
      <c r="F126" s="284"/>
      <c r="G126" s="292">
        <f t="shared" si="13"/>
        <v>150000</v>
      </c>
      <c r="H126" s="291">
        <v>1</v>
      </c>
      <c r="I126" s="293" t="s">
        <v>194</v>
      </c>
      <c r="J126" s="297" t="s">
        <v>450</v>
      </c>
      <c r="K126" s="291">
        <v>2017</v>
      </c>
      <c r="L126" s="291">
        <v>2021</v>
      </c>
      <c r="M126" s="290"/>
    </row>
    <row r="127" spans="1:13" x14ac:dyDescent="0.3">
      <c r="A127" s="289">
        <f t="shared" si="14"/>
        <v>8</v>
      </c>
      <c r="B127" s="290" t="str">
        <f>'1. Detailed Budget '!Q21</f>
        <v>Censo para el relevamiento de empresas</v>
      </c>
      <c r="C127" s="291" t="s">
        <v>192</v>
      </c>
      <c r="D127" s="291" t="s">
        <v>193</v>
      </c>
      <c r="E127" s="84">
        <f>'1. Detailed Budget '!T21</f>
        <v>348000</v>
      </c>
      <c r="F127" s="284"/>
      <c r="G127" s="292">
        <f t="shared" si="13"/>
        <v>348000</v>
      </c>
      <c r="H127" s="291">
        <v>1</v>
      </c>
      <c r="I127" s="293" t="s">
        <v>194</v>
      </c>
      <c r="J127" s="297" t="s">
        <v>201</v>
      </c>
      <c r="K127" s="291">
        <v>2017</v>
      </c>
      <c r="L127" s="291">
        <v>2021</v>
      </c>
      <c r="M127" s="290"/>
    </row>
    <row r="128" spans="1:13" ht="31.2" x14ac:dyDescent="0.3">
      <c r="A128" s="289">
        <f t="shared" si="14"/>
        <v>9</v>
      </c>
      <c r="B128" s="290" t="str">
        <f>'1. Detailed Budget '!Q22</f>
        <v>Servicios para la implementación de la estrategia de migración del registro</v>
      </c>
      <c r="C128" s="291" t="s">
        <v>192</v>
      </c>
      <c r="D128" s="384" t="s">
        <v>449</v>
      </c>
      <c r="E128" s="84">
        <f>'1. Detailed Budget '!T22</f>
        <v>200000</v>
      </c>
      <c r="F128" s="284"/>
      <c r="G128" s="292">
        <f t="shared" ref="G128" si="15">+E128</f>
        <v>200000</v>
      </c>
      <c r="H128" s="291">
        <v>1</v>
      </c>
      <c r="I128" s="293" t="s">
        <v>194</v>
      </c>
      <c r="J128" s="297" t="s">
        <v>450</v>
      </c>
      <c r="K128" s="291">
        <v>2017</v>
      </c>
      <c r="L128" s="291">
        <v>2021</v>
      </c>
      <c r="M128" s="290"/>
    </row>
    <row r="129" spans="1:13" ht="46.8" x14ac:dyDescent="0.3">
      <c r="A129" s="289">
        <f t="shared" si="14"/>
        <v>10</v>
      </c>
      <c r="B129" s="290" t="str">
        <f>'1. Detailed Budget '!Q23</f>
        <v>Talleres de concientización del personal interno y campañas para los contribuyentes sobre el nuevo modelo procesamiento de la Cuenta corriente</v>
      </c>
      <c r="C129" s="291" t="s">
        <v>192</v>
      </c>
      <c r="D129" s="384" t="s">
        <v>449</v>
      </c>
      <c r="E129" s="84">
        <f>'1. Detailed Budget '!T23</f>
        <v>96000</v>
      </c>
      <c r="F129" s="284"/>
      <c r="G129" s="292">
        <f t="shared" si="13"/>
        <v>96000</v>
      </c>
      <c r="H129" s="291">
        <v>1</v>
      </c>
      <c r="I129" s="293" t="s">
        <v>194</v>
      </c>
      <c r="J129" s="297" t="s">
        <v>450</v>
      </c>
      <c r="K129" s="291">
        <v>2017</v>
      </c>
      <c r="L129" s="291">
        <v>2021</v>
      </c>
      <c r="M129" s="290"/>
    </row>
    <row r="130" spans="1:13" ht="46.8" x14ac:dyDescent="0.3">
      <c r="A130" s="289">
        <f t="shared" si="14"/>
        <v>11</v>
      </c>
      <c r="B130" s="290" t="str">
        <f>'1. Detailed Budget '!Q28</f>
        <v>Talleres de concientización del personal interno y campañas para los contribuyentes sobre el nuevo modelo de facturación</v>
      </c>
      <c r="C130" s="291" t="s">
        <v>192</v>
      </c>
      <c r="D130" s="384" t="s">
        <v>449</v>
      </c>
      <c r="E130" s="84">
        <f>'1. Detailed Budget '!T28</f>
        <v>40000</v>
      </c>
      <c r="F130" s="284"/>
      <c r="G130" s="292">
        <f t="shared" ref="G130" si="16">+E130</f>
        <v>40000</v>
      </c>
      <c r="H130" s="291">
        <v>1</v>
      </c>
      <c r="I130" s="293" t="s">
        <v>194</v>
      </c>
      <c r="J130" s="297" t="s">
        <v>451</v>
      </c>
      <c r="K130" s="291">
        <v>2017</v>
      </c>
      <c r="L130" s="291">
        <v>2021</v>
      </c>
      <c r="M130" s="290"/>
    </row>
    <row r="131" spans="1:13" ht="31.2" x14ac:dyDescent="0.3">
      <c r="A131" s="289">
        <f t="shared" si="14"/>
        <v>12</v>
      </c>
      <c r="B131" s="290" t="str">
        <f>'1. Detailed Budget '!Q31</f>
        <v>Servicio de Digitalización Expedientes (40,000 expedientes 1 millón de hojas)</v>
      </c>
      <c r="C131" s="291" t="s">
        <v>192</v>
      </c>
      <c r="D131" s="291" t="s">
        <v>193</v>
      </c>
      <c r="E131" s="84">
        <f>'1. Detailed Budget '!T31</f>
        <v>250000</v>
      </c>
      <c r="F131" s="284"/>
      <c r="G131" s="292">
        <f t="shared" si="13"/>
        <v>250000</v>
      </c>
      <c r="H131" s="291">
        <v>1</v>
      </c>
      <c r="I131" s="293" t="s">
        <v>194</v>
      </c>
      <c r="J131" s="297" t="s">
        <v>201</v>
      </c>
      <c r="K131" s="291">
        <v>2017</v>
      </c>
      <c r="L131" s="291">
        <v>2021</v>
      </c>
      <c r="M131" s="290"/>
    </row>
    <row r="132" spans="1:13" ht="31.2" x14ac:dyDescent="0.3">
      <c r="A132" s="289">
        <f t="shared" si="14"/>
        <v>13</v>
      </c>
      <c r="B132" s="290" t="str">
        <f>'1. Detailed Budget '!Q33</f>
        <v xml:space="preserve">Apoyo a la implementación del modelo de cobranza </v>
      </c>
      <c r="C132" s="291" t="s">
        <v>192</v>
      </c>
      <c r="D132" s="384" t="s">
        <v>449</v>
      </c>
      <c r="E132" s="84">
        <f>'1. Detailed Budget '!T33</f>
        <v>132000</v>
      </c>
      <c r="F132" s="284"/>
      <c r="G132" s="292">
        <f t="shared" ref="G132" si="17">+E132</f>
        <v>132000</v>
      </c>
      <c r="H132" s="291">
        <v>1</v>
      </c>
      <c r="I132" s="293" t="s">
        <v>194</v>
      </c>
      <c r="J132" s="297" t="s">
        <v>450</v>
      </c>
      <c r="K132" s="291">
        <v>2017</v>
      </c>
      <c r="L132" s="291">
        <v>2021</v>
      </c>
      <c r="M132" s="290"/>
    </row>
    <row r="133" spans="1:13" ht="46.8" x14ac:dyDescent="0.3">
      <c r="A133" s="289">
        <f t="shared" si="14"/>
        <v>14</v>
      </c>
      <c r="B133" s="290" t="str">
        <f>'1. Detailed Budget '!Q36</f>
        <v>Difusión sobre el nuevo modelo de compensaciones y devoluciones con actores relevantes</v>
      </c>
      <c r="C133" s="291" t="s">
        <v>192</v>
      </c>
      <c r="D133" s="384" t="s">
        <v>449</v>
      </c>
      <c r="E133" s="84">
        <f>'1. Detailed Budget '!T36</f>
        <v>15000</v>
      </c>
      <c r="F133" s="284"/>
      <c r="G133" s="292">
        <f t="shared" ref="G133" si="18">+E133</f>
        <v>15000</v>
      </c>
      <c r="H133" s="291">
        <v>1</v>
      </c>
      <c r="I133" s="293" t="s">
        <v>194</v>
      </c>
      <c r="J133" s="297" t="s">
        <v>451</v>
      </c>
      <c r="K133" s="291">
        <v>2017</v>
      </c>
      <c r="L133" s="291">
        <v>2021</v>
      </c>
      <c r="M133" s="290"/>
    </row>
    <row r="134" spans="1:13" ht="46.8" x14ac:dyDescent="0.3">
      <c r="A134" s="289">
        <f t="shared" si="14"/>
        <v>15</v>
      </c>
      <c r="B134" s="290" t="str">
        <f>'1. Detailed Budget '!Q37</f>
        <v>Herramienta para la implementación del FATCA (Acuerdo de intercambio de información con USA), incluye consultoría para capacitación</v>
      </c>
      <c r="C134" s="291" t="s">
        <v>192</v>
      </c>
      <c r="D134" s="291" t="s">
        <v>193</v>
      </c>
      <c r="E134" s="84">
        <f>'1. Detailed Budget '!T37</f>
        <v>525000</v>
      </c>
      <c r="F134" s="284"/>
      <c r="G134" s="292">
        <f t="shared" ref="G134" si="19">+E134</f>
        <v>525000</v>
      </c>
      <c r="H134" s="291">
        <v>1</v>
      </c>
      <c r="I134" s="293" t="s">
        <v>194</v>
      </c>
      <c r="J134" s="297" t="s">
        <v>201</v>
      </c>
      <c r="K134" s="291">
        <v>2017</v>
      </c>
      <c r="L134" s="291">
        <v>2018</v>
      </c>
      <c r="M134" s="290"/>
    </row>
    <row r="135" spans="1:13" ht="46.8" x14ac:dyDescent="0.3">
      <c r="A135" s="289">
        <f t="shared" si="14"/>
        <v>16</v>
      </c>
      <c r="B135" s="290" t="str">
        <f>'1. Detailed Budget '!Q49</f>
        <v>Adquisición de licencias de software y contratación de prestación de servicios para la implantación de un Datawarehouse corporativo. (M038)</v>
      </c>
      <c r="C135" s="291" t="s">
        <v>192</v>
      </c>
      <c r="D135" s="291" t="s">
        <v>193</v>
      </c>
      <c r="E135" s="84">
        <f>'1. Detailed Budget '!T49</f>
        <v>500000</v>
      </c>
      <c r="F135" s="284"/>
      <c r="G135" s="292">
        <f t="shared" ref="G135" si="20">+E135</f>
        <v>500000</v>
      </c>
      <c r="H135" s="291">
        <v>1</v>
      </c>
      <c r="I135" s="293" t="s">
        <v>194</v>
      </c>
      <c r="J135" s="297" t="s">
        <v>201</v>
      </c>
      <c r="K135" s="291">
        <v>2018</v>
      </c>
      <c r="L135" s="291">
        <v>2018</v>
      </c>
      <c r="M135" s="290"/>
    </row>
    <row r="136" spans="1:13" ht="31.2" x14ac:dyDescent="0.3">
      <c r="A136" s="289">
        <f t="shared" si="14"/>
        <v>17</v>
      </c>
      <c r="B136" s="290" t="str">
        <f>'1. Detailed Budget '!Q53</f>
        <v>Otras acciones de formación no explicitadas en el PETI. (M047)</v>
      </c>
      <c r="C136" s="291" t="s">
        <v>192</v>
      </c>
      <c r="D136" s="291" t="s">
        <v>193</v>
      </c>
      <c r="E136" s="84">
        <f>'1. Detailed Budget '!T53</f>
        <v>400000</v>
      </c>
      <c r="F136" s="284"/>
      <c r="G136" s="292">
        <f t="shared" si="13"/>
        <v>400000</v>
      </c>
      <c r="H136" s="291">
        <v>1</v>
      </c>
      <c r="I136" s="293" t="s">
        <v>194</v>
      </c>
      <c r="J136" s="297" t="s">
        <v>201</v>
      </c>
      <c r="K136" s="291">
        <v>2018</v>
      </c>
      <c r="L136" s="291">
        <v>2021</v>
      </c>
      <c r="M136" s="290"/>
    </row>
    <row r="137" spans="1:13" ht="46.8" x14ac:dyDescent="0.3">
      <c r="A137" s="289">
        <f t="shared" si="14"/>
        <v>18</v>
      </c>
      <c r="B137" s="290" t="str">
        <f>'1. Detailed Budget '!Q54</f>
        <v>Adquisición y formación en diversas herramientas de soporte a las tareas de ingeniería del software. (M050)</v>
      </c>
      <c r="C137" s="291" t="s">
        <v>192</v>
      </c>
      <c r="D137" s="291" t="s">
        <v>193</v>
      </c>
      <c r="E137" s="84">
        <f>'1. Detailed Budget '!T54</f>
        <v>300000</v>
      </c>
      <c r="F137" s="284"/>
      <c r="G137" s="292">
        <f t="shared" ref="G137" si="21">+E137</f>
        <v>300000</v>
      </c>
      <c r="H137" s="291">
        <v>1</v>
      </c>
      <c r="I137" s="293" t="s">
        <v>194</v>
      </c>
      <c r="J137" s="297" t="s">
        <v>201</v>
      </c>
      <c r="K137" s="291">
        <v>2018</v>
      </c>
      <c r="L137" s="291">
        <v>2019</v>
      </c>
      <c r="M137" s="290"/>
    </row>
    <row r="138" spans="1:13" ht="46.8" x14ac:dyDescent="0.3">
      <c r="A138" s="289">
        <f t="shared" si="14"/>
        <v>19</v>
      </c>
      <c r="B138" s="290" t="str">
        <f>'1. Detailed Budget '!Q55</f>
        <v>Servicios de formación y certificación en desarrollo ágil de aplicaciones (tipo metodología SCRUM). (M051)</v>
      </c>
      <c r="C138" s="291" t="s">
        <v>192</v>
      </c>
      <c r="D138" s="384" t="s">
        <v>449</v>
      </c>
      <c r="E138" s="84">
        <f>'1. Detailed Budget '!T55</f>
        <v>130000</v>
      </c>
      <c r="F138" s="284"/>
      <c r="G138" s="292">
        <f t="shared" si="13"/>
        <v>130000</v>
      </c>
      <c r="H138" s="291">
        <v>1</v>
      </c>
      <c r="I138" s="293" t="s">
        <v>194</v>
      </c>
      <c r="J138" s="297" t="s">
        <v>450</v>
      </c>
      <c r="K138" s="291">
        <v>2017</v>
      </c>
      <c r="L138" s="291">
        <v>2019</v>
      </c>
      <c r="M138" s="290"/>
    </row>
    <row r="139" spans="1:13" ht="31.2" x14ac:dyDescent="0.3">
      <c r="A139" s="289">
        <f t="shared" si="14"/>
        <v>20</v>
      </c>
      <c r="B139" s="290" t="str">
        <f>'1. Detailed Budget '!Q56</f>
        <v>Formación y certificación en ingeniería de requisitos. (M053)</v>
      </c>
      <c r="C139" s="291" t="s">
        <v>192</v>
      </c>
      <c r="D139" s="384" t="s">
        <v>449</v>
      </c>
      <c r="E139" s="84">
        <f>'1. Detailed Budget '!T56</f>
        <v>60000</v>
      </c>
      <c r="F139" s="284"/>
      <c r="G139" s="292">
        <f t="shared" si="13"/>
        <v>60000</v>
      </c>
      <c r="H139" s="291">
        <v>1</v>
      </c>
      <c r="I139" s="293" t="s">
        <v>194</v>
      </c>
      <c r="J139" s="297" t="s">
        <v>450</v>
      </c>
      <c r="K139" s="291">
        <v>2018</v>
      </c>
      <c r="L139" s="291">
        <v>2020</v>
      </c>
      <c r="M139" s="290"/>
    </row>
    <row r="140" spans="1:13" ht="46.8" x14ac:dyDescent="0.3">
      <c r="A140" s="289">
        <f t="shared" si="14"/>
        <v>21</v>
      </c>
      <c r="B140" s="290" t="str">
        <f>'1. Detailed Budget '!Q57</f>
        <v>Servicios de formación para permitir que la Gerencia TIC tenga un mayor control sobre los productos y servicios contratados.(M055)</v>
      </c>
      <c r="C140" s="291" t="s">
        <v>192</v>
      </c>
      <c r="D140" s="384" t="s">
        <v>449</v>
      </c>
      <c r="E140" s="84">
        <f>'1. Detailed Budget '!T57</f>
        <v>20000</v>
      </c>
      <c r="F140" s="284"/>
      <c r="G140" s="292">
        <f t="shared" si="13"/>
        <v>20000</v>
      </c>
      <c r="H140" s="291">
        <v>1</v>
      </c>
      <c r="I140" s="293" t="s">
        <v>194</v>
      </c>
      <c r="J140" s="297" t="s">
        <v>451</v>
      </c>
      <c r="K140" s="291">
        <v>2018</v>
      </c>
      <c r="L140" s="291">
        <v>2018</v>
      </c>
      <c r="M140" s="295"/>
    </row>
    <row r="141" spans="1:13" ht="31.2" x14ac:dyDescent="0.3">
      <c r="A141" s="289">
        <f t="shared" si="14"/>
        <v>22</v>
      </c>
      <c r="B141" s="290" t="str">
        <f>'1. Detailed Budget '!Q59</f>
        <v>Formación en herramientas, procedimientos y tecnologías de seguridad de la información. (M068)</v>
      </c>
      <c r="C141" s="291" t="s">
        <v>192</v>
      </c>
      <c r="D141" s="384" t="s">
        <v>449</v>
      </c>
      <c r="E141" s="84">
        <f>'1. Detailed Budget '!T59</f>
        <v>60000</v>
      </c>
      <c r="F141" s="284"/>
      <c r="G141" s="292">
        <f t="shared" si="13"/>
        <v>60000</v>
      </c>
      <c r="H141" s="291">
        <v>1</v>
      </c>
      <c r="I141" s="293" t="s">
        <v>194</v>
      </c>
      <c r="J141" s="297" t="s">
        <v>450</v>
      </c>
      <c r="K141" s="291">
        <v>2018</v>
      </c>
      <c r="L141" s="291">
        <v>2020</v>
      </c>
      <c r="M141" s="295"/>
    </row>
    <row r="142" spans="1:13" ht="31.2" x14ac:dyDescent="0.3">
      <c r="A142" s="289">
        <f t="shared" si="14"/>
        <v>23</v>
      </c>
      <c r="B142" s="290" t="str">
        <f>'1. Detailed Budget '!Q67</f>
        <v>Servicios de formación en gobierno corporativo TIC.(M089)</v>
      </c>
      <c r="C142" s="291" t="s">
        <v>192</v>
      </c>
      <c r="D142" s="384" t="s">
        <v>449</v>
      </c>
      <c r="E142" s="84">
        <f>'1. Detailed Budget '!T67</f>
        <v>50000</v>
      </c>
      <c r="F142" s="284"/>
      <c r="G142" s="292">
        <f t="shared" si="13"/>
        <v>50000</v>
      </c>
      <c r="H142" s="291">
        <v>1</v>
      </c>
      <c r="I142" s="293" t="s">
        <v>194</v>
      </c>
      <c r="J142" s="297" t="s">
        <v>450</v>
      </c>
      <c r="K142" s="291">
        <v>2018</v>
      </c>
      <c r="L142" s="291">
        <v>2018</v>
      </c>
      <c r="M142" s="295"/>
    </row>
    <row r="143" spans="1:13" ht="46.8" x14ac:dyDescent="0.3">
      <c r="A143" s="354">
        <f t="shared" si="14"/>
        <v>24</v>
      </c>
      <c r="B143" s="355" t="str">
        <f>'1. Detailed Budget '!Q81</f>
        <v>Capacitaciones relacionadas al Fortalecimiento Institucional, Desarrollo de competencias, Gestión de Calidad y riesgos operacionales</v>
      </c>
      <c r="C143" s="356" t="s">
        <v>192</v>
      </c>
      <c r="D143" s="356" t="s">
        <v>449</v>
      </c>
      <c r="E143" s="373">
        <f>'1. Detailed Budget '!T81</f>
        <v>50000</v>
      </c>
      <c r="F143" s="357"/>
      <c r="G143" s="357">
        <f t="shared" ref="G143" si="22">+E143</f>
        <v>50000</v>
      </c>
      <c r="H143" s="356">
        <v>2</v>
      </c>
      <c r="I143" s="359" t="s">
        <v>430</v>
      </c>
      <c r="J143" s="374" t="s">
        <v>450</v>
      </c>
      <c r="K143" s="356">
        <v>2018</v>
      </c>
      <c r="L143" s="356">
        <v>2021</v>
      </c>
      <c r="M143" s="361"/>
    </row>
    <row r="144" spans="1:13" ht="31.2" x14ac:dyDescent="0.3">
      <c r="A144" s="354">
        <f t="shared" si="14"/>
        <v>25</v>
      </c>
      <c r="B144" s="355" t="str">
        <f>'1. Detailed Budget '!Q82</f>
        <v>Plan de divulgación y capacitación para el uso de la CUT</v>
      </c>
      <c r="C144" s="356" t="s">
        <v>192</v>
      </c>
      <c r="D144" s="356" t="s">
        <v>449</v>
      </c>
      <c r="E144" s="373">
        <f>'1. Detailed Budget '!T82</f>
        <v>125000</v>
      </c>
      <c r="F144" s="357"/>
      <c r="G144" s="357">
        <f t="shared" si="13"/>
        <v>125000</v>
      </c>
      <c r="H144" s="356">
        <v>2</v>
      </c>
      <c r="I144" s="359" t="s">
        <v>430</v>
      </c>
      <c r="J144" s="374" t="s">
        <v>450</v>
      </c>
      <c r="K144" s="356">
        <v>2018</v>
      </c>
      <c r="L144" s="356">
        <v>2021</v>
      </c>
      <c r="M144" s="361"/>
    </row>
    <row r="145" spans="1:15" ht="31.2" x14ac:dyDescent="0.3">
      <c r="A145" s="354">
        <f t="shared" si="14"/>
        <v>26</v>
      </c>
      <c r="B145" s="355" t="str">
        <f>'1. Detailed Budget '!Q85</f>
        <v>Plan de capacitación para funcionarios vinculados al modelo de Programación de caja</v>
      </c>
      <c r="C145" s="356" t="s">
        <v>192</v>
      </c>
      <c r="D145" s="356" t="s">
        <v>449</v>
      </c>
      <c r="E145" s="373">
        <f>'1. Detailed Budget '!T85</f>
        <v>10000</v>
      </c>
      <c r="F145" s="357"/>
      <c r="G145" s="357">
        <f t="shared" si="13"/>
        <v>10000</v>
      </c>
      <c r="H145" s="356">
        <v>2</v>
      </c>
      <c r="I145" s="359" t="s">
        <v>430</v>
      </c>
      <c r="J145" s="374" t="s">
        <v>451</v>
      </c>
      <c r="K145" s="356">
        <v>2018</v>
      </c>
      <c r="L145" s="356">
        <v>2021</v>
      </c>
      <c r="M145" s="361"/>
    </row>
    <row r="146" spans="1:15" ht="31.2" x14ac:dyDescent="0.3">
      <c r="A146" s="354">
        <f t="shared" si="14"/>
        <v>27</v>
      </c>
      <c r="B146" s="355" t="str">
        <f>'1. Detailed Budget '!Q95</f>
        <v>Visita de la delegación de la Dirección de Catastro a Bogotá</v>
      </c>
      <c r="C146" s="356" t="s">
        <v>192</v>
      </c>
      <c r="D146" s="356" t="s">
        <v>449</v>
      </c>
      <c r="E146" s="373">
        <f>'1. Detailed Budget '!T95</f>
        <v>19650</v>
      </c>
      <c r="F146" s="357"/>
      <c r="G146" s="357">
        <f t="shared" si="13"/>
        <v>19650</v>
      </c>
      <c r="H146" s="356">
        <v>2</v>
      </c>
      <c r="I146" s="359" t="s">
        <v>430</v>
      </c>
      <c r="J146" s="374" t="s">
        <v>451</v>
      </c>
      <c r="K146" s="356">
        <v>2018</v>
      </c>
      <c r="L146" s="356">
        <v>2021</v>
      </c>
      <c r="M146" s="361"/>
    </row>
    <row r="147" spans="1:15" ht="31.2" x14ac:dyDescent="0.3">
      <c r="A147" s="354">
        <f t="shared" si="14"/>
        <v>28</v>
      </c>
      <c r="B147" s="355" t="str">
        <f>'1. Detailed Budget '!Q96</f>
        <v>Recursos de logística para el Programa de Capacitación</v>
      </c>
      <c r="C147" s="356" t="s">
        <v>192</v>
      </c>
      <c r="D147" s="356" t="s">
        <v>449</v>
      </c>
      <c r="E147" s="373">
        <f>'1. Detailed Budget '!T96</f>
        <v>30000</v>
      </c>
      <c r="F147" s="357"/>
      <c r="G147" s="357">
        <f t="shared" si="13"/>
        <v>30000</v>
      </c>
      <c r="H147" s="356">
        <v>2</v>
      </c>
      <c r="I147" s="359" t="s">
        <v>430</v>
      </c>
      <c r="J147" s="374" t="s">
        <v>451</v>
      </c>
      <c r="K147" s="356">
        <v>2018</v>
      </c>
      <c r="L147" s="356">
        <v>2021</v>
      </c>
      <c r="M147" s="361"/>
    </row>
    <row r="148" spans="1:15" ht="31.2" x14ac:dyDescent="0.3">
      <c r="A148" s="354">
        <f t="shared" si="14"/>
        <v>29</v>
      </c>
      <c r="B148" s="355" t="str">
        <f>'1. Detailed Budget '!Q97</f>
        <v>Asistencia técnica de los especialista del Catastro de Bogotá (hotel e viáticos)</v>
      </c>
      <c r="C148" s="356" t="s">
        <v>192</v>
      </c>
      <c r="D148" s="356" t="s">
        <v>449</v>
      </c>
      <c r="E148" s="373">
        <f>'1. Detailed Budget '!T97</f>
        <v>39300</v>
      </c>
      <c r="F148" s="357"/>
      <c r="G148" s="357">
        <f t="shared" si="13"/>
        <v>39300</v>
      </c>
      <c r="H148" s="356">
        <v>2</v>
      </c>
      <c r="I148" s="359" t="s">
        <v>430</v>
      </c>
      <c r="J148" s="374" t="s">
        <v>451</v>
      </c>
      <c r="K148" s="356">
        <v>2018</v>
      </c>
      <c r="L148" s="356">
        <v>2021</v>
      </c>
      <c r="M148" s="361"/>
    </row>
    <row r="149" spans="1:15" x14ac:dyDescent="0.3">
      <c r="A149" s="354">
        <f t="shared" si="14"/>
        <v>30</v>
      </c>
      <c r="B149" s="355" t="str">
        <f>'1. Detailed Budget '!Q98</f>
        <v>Capacitación técnica en temas catastrales</v>
      </c>
      <c r="C149" s="356" t="s">
        <v>192</v>
      </c>
      <c r="D149" s="356" t="s">
        <v>449</v>
      </c>
      <c r="E149" s="373">
        <f>'1. Detailed Budget '!T98</f>
        <v>30000</v>
      </c>
      <c r="F149" s="357"/>
      <c r="G149" s="357">
        <f t="shared" si="13"/>
        <v>30000</v>
      </c>
      <c r="H149" s="356">
        <v>2</v>
      </c>
      <c r="I149" s="359" t="s">
        <v>430</v>
      </c>
      <c r="J149" s="374" t="s">
        <v>451</v>
      </c>
      <c r="K149" s="356">
        <v>2018</v>
      </c>
      <c r="L149" s="356">
        <v>2021</v>
      </c>
      <c r="M149" s="361"/>
    </row>
    <row r="150" spans="1:15" x14ac:dyDescent="0.3">
      <c r="A150" s="100"/>
      <c r="B150" s="101"/>
      <c r="C150" s="85"/>
      <c r="D150" s="143"/>
      <c r="E150" s="84">
        <f>SUM(E120:E149)</f>
        <v>11735980</v>
      </c>
      <c r="F150" s="84"/>
      <c r="G150" s="84">
        <f>SUM(G120:G149)</f>
        <v>11735980</v>
      </c>
      <c r="H150" s="85"/>
      <c r="I150" s="86"/>
      <c r="J150" s="89"/>
      <c r="K150" s="85"/>
      <c r="L150" s="85"/>
      <c r="M150" s="88"/>
      <c r="O150" s="136"/>
    </row>
    <row r="151" spans="1:15" ht="17.399999999999999" customHeight="1" x14ac:dyDescent="0.3">
      <c r="A151" s="444" t="s">
        <v>203</v>
      </c>
      <c r="B151" s="445"/>
      <c r="C151" s="445"/>
      <c r="D151" s="445"/>
      <c r="E151" s="445"/>
      <c r="F151" s="445"/>
      <c r="G151" s="445"/>
      <c r="H151" s="445"/>
      <c r="I151" s="445"/>
      <c r="J151" s="445"/>
      <c r="K151" s="445"/>
      <c r="L151" s="445"/>
      <c r="M151" s="446"/>
    </row>
    <row r="152" spans="1:15" x14ac:dyDescent="0.3">
      <c r="A152" s="289">
        <v>1</v>
      </c>
      <c r="B152" s="290"/>
      <c r="C152" s="291"/>
      <c r="D152" s="291"/>
      <c r="E152" s="295"/>
      <c r="F152" s="284"/>
      <c r="G152" s="292"/>
      <c r="H152" s="291"/>
      <c r="I152" s="293"/>
      <c r="J152" s="297"/>
      <c r="K152" s="291"/>
      <c r="L152" s="291"/>
      <c r="M152" s="295"/>
    </row>
    <row r="153" spans="1:15" x14ac:dyDescent="0.3">
      <c r="A153" s="100"/>
      <c r="B153" s="101"/>
      <c r="C153" s="85"/>
      <c r="D153" s="85"/>
      <c r="E153" s="83">
        <f>E152</f>
        <v>0</v>
      </c>
      <c r="F153" s="83">
        <f>SUM(F103:F152)</f>
        <v>0</v>
      </c>
      <c r="G153" s="83">
        <f>G152</f>
        <v>0</v>
      </c>
      <c r="H153" s="85"/>
      <c r="I153" s="90"/>
      <c r="J153" s="90"/>
      <c r="K153" s="85"/>
      <c r="L153" s="85"/>
      <c r="M153" s="91"/>
    </row>
    <row r="154" spans="1:15" x14ac:dyDescent="0.3">
      <c r="A154" s="99"/>
      <c r="B154" s="80"/>
      <c r="C154" s="81"/>
      <c r="D154" s="80"/>
      <c r="E154" s="80"/>
      <c r="F154" s="80"/>
      <c r="G154" s="80"/>
      <c r="H154" s="80"/>
      <c r="I154" s="81"/>
      <c r="J154" s="81"/>
      <c r="K154" s="80"/>
      <c r="L154" s="80"/>
      <c r="M154" s="82"/>
    </row>
    <row r="155" spans="1:15" x14ac:dyDescent="0.3">
      <c r="A155" s="102"/>
      <c r="B155" s="101"/>
      <c r="C155" s="85"/>
      <c r="D155" s="85"/>
      <c r="E155" s="83">
        <f>E153+E150+E118+E86+E63</f>
        <v>48652700</v>
      </c>
      <c r="F155" s="83">
        <f>F153+F150+F118+F86+F63</f>
        <v>0</v>
      </c>
      <c r="G155" s="83">
        <f>G153+G150+G118+G86+G63</f>
        <v>48652700</v>
      </c>
      <c r="H155" s="85"/>
      <c r="I155" s="92"/>
      <c r="J155" s="90"/>
      <c r="K155" s="85"/>
      <c r="L155" s="85"/>
      <c r="M155" s="91"/>
    </row>
    <row r="156" spans="1:15" x14ac:dyDescent="0.3">
      <c r="B156" t="s">
        <v>204</v>
      </c>
      <c r="E156" s="138">
        <f>'1. Detailed Budget '!B116</f>
        <v>1347300</v>
      </c>
      <c r="G156" s="138">
        <f>E156</f>
        <v>1347300</v>
      </c>
    </row>
    <row r="157" spans="1:15" x14ac:dyDescent="0.3">
      <c r="A157" s="139" t="s">
        <v>11</v>
      </c>
      <c r="E157" s="140">
        <f>E155+E156</f>
        <v>50000000</v>
      </c>
      <c r="G157" s="140">
        <f>G155+G156</f>
        <v>50000000</v>
      </c>
      <c r="N157" s="345"/>
      <c r="O157" s="346"/>
    </row>
    <row r="161" spans="2:5" x14ac:dyDescent="0.3">
      <c r="B161" s="169" t="s">
        <v>212</v>
      </c>
      <c r="C161" s="170" t="s">
        <v>444</v>
      </c>
      <c r="D161" s="170" t="s">
        <v>443</v>
      </c>
      <c r="E161" s="170" t="s">
        <v>11</v>
      </c>
    </row>
    <row r="162" spans="2:5" x14ac:dyDescent="0.3">
      <c r="B162" s="375" t="s">
        <v>215</v>
      </c>
      <c r="C162" s="378">
        <f>SUM(E6:E29)</f>
        <v>5561600</v>
      </c>
      <c r="D162" s="378">
        <f>SUM(E30:E51)</f>
        <v>3325560</v>
      </c>
      <c r="E162" s="378">
        <f>SUM(C162:D162)</f>
        <v>8887160</v>
      </c>
    </row>
    <row r="163" spans="2:5" x14ac:dyDescent="0.3">
      <c r="B163" s="375" t="s">
        <v>216</v>
      </c>
      <c r="C163" s="378">
        <f>SUM(E65:E82)</f>
        <v>5678164.8000000007</v>
      </c>
      <c r="D163" s="378">
        <f>SUM(E83:E85)</f>
        <v>731095.2</v>
      </c>
      <c r="E163" s="378">
        <f t="shared" ref="E163:E179" si="23">SUM(C163:D163)</f>
        <v>6409260.0000000009</v>
      </c>
    </row>
    <row r="164" spans="2:5" x14ac:dyDescent="0.3">
      <c r="B164" s="375" t="s">
        <v>4</v>
      </c>
      <c r="C164" s="378">
        <f>SUM(E88:E102)</f>
        <v>18695000</v>
      </c>
      <c r="D164" s="378">
        <f>SUM(E103:E117)</f>
        <v>761500</v>
      </c>
      <c r="E164" s="378">
        <f t="shared" si="23"/>
        <v>19456500</v>
      </c>
    </row>
    <row r="165" spans="2:5" ht="31.8" x14ac:dyDescent="0.3">
      <c r="B165" s="380" t="s">
        <v>40</v>
      </c>
      <c r="C165" s="176">
        <f>'1. Detailed Budget '!P25</f>
        <v>165000</v>
      </c>
      <c r="D165" s="378"/>
      <c r="E165" s="378"/>
    </row>
    <row r="166" spans="2:5" ht="21.6" x14ac:dyDescent="0.3">
      <c r="B166" s="380" t="s">
        <v>45</v>
      </c>
      <c r="C166" s="176">
        <f>'1. Detailed Budget '!P31</f>
        <v>150000</v>
      </c>
      <c r="D166" s="378"/>
      <c r="E166" s="378"/>
    </row>
    <row r="167" spans="2:5" ht="29.4" customHeight="1" x14ac:dyDescent="0.3">
      <c r="B167" s="380" t="s">
        <v>48</v>
      </c>
      <c r="C167" s="176">
        <f>'1. Detailed Budget '!P38</f>
        <v>180000</v>
      </c>
      <c r="D167" s="378"/>
      <c r="E167" s="378"/>
    </row>
    <row r="168" spans="2:5" ht="31.8" x14ac:dyDescent="0.3">
      <c r="B168" s="380" t="s">
        <v>56</v>
      </c>
      <c r="C168" s="176">
        <f>+SUM('1. Detailed Budget '!P46:P48)</f>
        <v>700000</v>
      </c>
      <c r="D168" s="378"/>
      <c r="E168" s="378"/>
    </row>
    <row r="169" spans="2:5" ht="31.8" x14ac:dyDescent="0.3">
      <c r="B169" s="380" t="s">
        <v>71</v>
      </c>
      <c r="C169" s="176">
        <f>'1. Detailed Budget '!P57</f>
        <v>1000000</v>
      </c>
      <c r="D169" s="378"/>
      <c r="E169" s="378"/>
    </row>
    <row r="170" spans="2:5" ht="21.6" x14ac:dyDescent="0.3">
      <c r="B170" s="380" t="s">
        <v>365</v>
      </c>
      <c r="C170" s="176">
        <f>'1. Detailed Budget '!P58</f>
        <v>250000</v>
      </c>
      <c r="D170" s="378"/>
      <c r="E170" s="378"/>
    </row>
    <row r="171" spans="2:5" ht="31.8" x14ac:dyDescent="0.3">
      <c r="B171" s="380" t="s">
        <v>77</v>
      </c>
      <c r="C171" s="176">
        <f>SUM('1. Detailed Budget '!P60:P66)</f>
        <v>16250000</v>
      </c>
      <c r="D171" s="378"/>
      <c r="E171" s="378"/>
    </row>
    <row r="172" spans="2:5" x14ac:dyDescent="0.3">
      <c r="B172" s="380" t="s">
        <v>91</v>
      </c>
      <c r="C172" s="176"/>
      <c r="D172" s="176">
        <f>'1. Detailed Budget '!P71+'1. Detailed Budget '!P72</f>
        <v>60000</v>
      </c>
      <c r="E172" s="176"/>
    </row>
    <row r="173" spans="2:5" x14ac:dyDescent="0.3">
      <c r="B173" s="380" t="s">
        <v>448</v>
      </c>
      <c r="C173" s="176"/>
      <c r="D173" s="176">
        <f>+'1. Detailed Budget '!P75</f>
        <v>100000</v>
      </c>
      <c r="E173" s="176"/>
    </row>
    <row r="174" spans="2:5" ht="21.6" x14ac:dyDescent="0.3">
      <c r="B174" s="380" t="s">
        <v>100</v>
      </c>
      <c r="C174" s="176"/>
      <c r="D174" s="176">
        <f>+'1. Detailed Budget '!P78</f>
        <v>100000</v>
      </c>
      <c r="E174" s="176"/>
    </row>
    <row r="175" spans="2:5" ht="30.6" customHeight="1" x14ac:dyDescent="0.3">
      <c r="B175" s="380" t="s">
        <v>104</v>
      </c>
      <c r="C175" s="176"/>
      <c r="D175" s="176">
        <f>+'1. Detailed Budget '!P81</f>
        <v>21000</v>
      </c>
      <c r="E175" s="176"/>
    </row>
    <row r="176" spans="2:5" x14ac:dyDescent="0.3">
      <c r="B176" s="381" t="s">
        <v>117</v>
      </c>
      <c r="C176" s="176"/>
      <c r="D176" s="176">
        <f>SUM('1. Detailed Budget '!P89:P94)</f>
        <v>173500</v>
      </c>
      <c r="E176" s="176"/>
    </row>
    <row r="177" spans="2:5" x14ac:dyDescent="0.3">
      <c r="B177" s="381" t="s">
        <v>130</v>
      </c>
      <c r="C177" s="176"/>
      <c r="D177" s="176">
        <f>SUM('1. Detailed Budget '!P95:P99)</f>
        <v>307000</v>
      </c>
      <c r="E177" s="176"/>
    </row>
    <row r="178" spans="2:5" x14ac:dyDescent="0.3">
      <c r="B178" s="376" t="s">
        <v>217</v>
      </c>
      <c r="C178" s="378">
        <f>SUM(E120:E142)</f>
        <v>11432030</v>
      </c>
      <c r="D178" s="378">
        <f>SUM(E143:E149)</f>
        <v>303950</v>
      </c>
      <c r="E178" s="378">
        <f t="shared" si="23"/>
        <v>11735980</v>
      </c>
    </row>
    <row r="179" spans="2:5" x14ac:dyDescent="0.3">
      <c r="B179" s="377" t="s">
        <v>446</v>
      </c>
      <c r="C179" s="379">
        <f>SUM(E52:E56)+E61+E62</f>
        <v>1519400</v>
      </c>
      <c r="D179" s="379">
        <f>SUM(E57:E60)</f>
        <v>644400</v>
      </c>
      <c r="E179" s="378">
        <f t="shared" si="23"/>
        <v>2163800</v>
      </c>
    </row>
    <row r="180" spans="2:5" ht="15" customHeight="1" x14ac:dyDescent="0.3">
      <c r="B180" s="377" t="s">
        <v>445</v>
      </c>
      <c r="C180" s="379"/>
      <c r="D180" s="379"/>
      <c r="E180" s="378">
        <f>E156</f>
        <v>1347300</v>
      </c>
    </row>
    <row r="181" spans="2:5" ht="16.2" thickBot="1" x14ac:dyDescent="0.35">
      <c r="B181" s="178" t="s">
        <v>11</v>
      </c>
      <c r="C181" s="179">
        <f>SUM(C162:C178)</f>
        <v>60061794.799999997</v>
      </c>
      <c r="D181" s="179">
        <f>SUM(D162:D178)</f>
        <v>5883605.2000000002</v>
      </c>
      <c r="E181" s="179">
        <f>SUM(E162:E180)</f>
        <v>50000000</v>
      </c>
    </row>
  </sheetData>
  <autoFilter ref="E1:E157"/>
  <mergeCells count="21">
    <mergeCell ref="K108:K112"/>
    <mergeCell ref="L108:L112"/>
    <mergeCell ref="K113:K117"/>
    <mergeCell ref="L113:L117"/>
    <mergeCell ref="I113:I117"/>
    <mergeCell ref="A151:M151"/>
    <mergeCell ref="A87:M87"/>
    <mergeCell ref="A119:M119"/>
    <mergeCell ref="A1:M1"/>
    <mergeCell ref="A2:M2"/>
    <mergeCell ref="A5:M5"/>
    <mergeCell ref="A64:M64"/>
    <mergeCell ref="J113:J117"/>
    <mergeCell ref="J108:J112"/>
    <mergeCell ref="D108:D112"/>
    <mergeCell ref="D113:D117"/>
    <mergeCell ref="C108:C112"/>
    <mergeCell ref="C113:C117"/>
    <mergeCell ref="H108:H112"/>
    <mergeCell ref="H113:H117"/>
    <mergeCell ref="I108:I112"/>
  </mergeCells>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topLeftCell="A5" workbookViewId="0">
      <selection activeCell="M61" sqref="M61"/>
    </sheetView>
  </sheetViews>
  <sheetFormatPr defaultRowHeight="15.6" x14ac:dyDescent="0.3"/>
  <cols>
    <col min="1" max="1" width="41.09765625" customWidth="1"/>
    <col min="2" max="3" width="32" customWidth="1"/>
  </cols>
  <sheetData>
    <row r="1" spans="1:3" ht="16.2" thickBot="1" x14ac:dyDescent="0.35">
      <c r="A1" s="462"/>
      <c r="B1" s="462"/>
      <c r="C1" s="462"/>
    </row>
    <row r="2" spans="1:3" x14ac:dyDescent="0.3">
      <c r="A2" s="463" t="s">
        <v>205</v>
      </c>
      <c r="B2" s="464"/>
      <c r="C2" s="465"/>
    </row>
    <row r="3" spans="1:3" x14ac:dyDescent="0.3">
      <c r="A3" s="169" t="s">
        <v>206</v>
      </c>
      <c r="B3" s="170" t="s">
        <v>207</v>
      </c>
      <c r="C3" s="171" t="s">
        <v>208</v>
      </c>
    </row>
    <row r="4" spans="1:3" ht="16.2" thickBot="1" x14ac:dyDescent="0.35">
      <c r="A4" s="172" t="s">
        <v>209</v>
      </c>
      <c r="B4" s="173">
        <v>42736</v>
      </c>
      <c r="C4" s="173">
        <f>B4+(365*5)</f>
        <v>44561</v>
      </c>
    </row>
    <row r="5" spans="1:3" x14ac:dyDescent="0.3">
      <c r="A5" s="466"/>
      <c r="B5" s="466"/>
      <c r="C5" s="466"/>
    </row>
    <row r="6" spans="1:3" x14ac:dyDescent="0.3">
      <c r="A6" s="467" t="s">
        <v>210</v>
      </c>
      <c r="B6" s="468"/>
      <c r="C6" s="469"/>
    </row>
    <row r="7" spans="1:3" ht="16.2" thickBot="1" x14ac:dyDescent="0.35">
      <c r="A7" s="174"/>
      <c r="B7" s="470"/>
      <c r="C7" s="471"/>
    </row>
    <row r="8" spans="1:3" ht="16.2" thickBot="1" x14ac:dyDescent="0.35">
      <c r="A8" s="466"/>
      <c r="B8" s="466"/>
      <c r="C8" s="466"/>
    </row>
    <row r="9" spans="1:3" x14ac:dyDescent="0.3">
      <c r="A9" s="459" t="s">
        <v>211</v>
      </c>
      <c r="B9" s="460"/>
      <c r="C9" s="461"/>
    </row>
    <row r="10" spans="1:3" ht="31.2" x14ac:dyDescent="0.3">
      <c r="A10" s="169" t="s">
        <v>212</v>
      </c>
      <c r="B10" s="170" t="s">
        <v>213</v>
      </c>
      <c r="C10" s="171" t="s">
        <v>214</v>
      </c>
    </row>
    <row r="11" spans="1:3" x14ac:dyDescent="0.3">
      <c r="A11" s="175" t="s">
        <v>215</v>
      </c>
      <c r="B11" s="176">
        <f>'3. Procurement Plan - PA'!E63</f>
        <v>11050960</v>
      </c>
      <c r="C11" s="176">
        <f>+B11</f>
        <v>11050960</v>
      </c>
    </row>
    <row r="12" spans="1:3" x14ac:dyDescent="0.3">
      <c r="A12" s="175" t="s">
        <v>216</v>
      </c>
      <c r="B12" s="176">
        <f>'3. Procurement Plan - PA'!E86</f>
        <v>6409260.0000000009</v>
      </c>
      <c r="C12" s="176">
        <f>+B12</f>
        <v>6409260.0000000009</v>
      </c>
    </row>
    <row r="13" spans="1:3" x14ac:dyDescent="0.3">
      <c r="A13" s="175" t="s">
        <v>4</v>
      </c>
      <c r="B13" s="176">
        <f>'3. Procurement Plan - PA'!E118</f>
        <v>19456500</v>
      </c>
      <c r="C13" s="176">
        <f>+B13</f>
        <v>19456500</v>
      </c>
    </row>
    <row r="14" spans="1:3" x14ac:dyDescent="0.3">
      <c r="A14" s="177" t="s">
        <v>217</v>
      </c>
      <c r="B14" s="176">
        <f>'3. Procurement Plan - PA'!E150</f>
        <v>11735980</v>
      </c>
      <c r="C14" s="176">
        <f>+B14</f>
        <v>11735980</v>
      </c>
    </row>
    <row r="15" spans="1:3" ht="16.2" thickBot="1" x14ac:dyDescent="0.35">
      <c r="A15" s="178" t="s">
        <v>11</v>
      </c>
      <c r="B15" s="179">
        <f>SUM(B11:B14)</f>
        <v>48652700</v>
      </c>
      <c r="C15" s="180">
        <f>SUM(C11:C14)</f>
        <v>48652700</v>
      </c>
    </row>
    <row r="16" spans="1:3" ht="16.2" thickBot="1" x14ac:dyDescent="0.35"/>
    <row r="17" spans="1:3" x14ac:dyDescent="0.3">
      <c r="A17" s="459" t="s">
        <v>218</v>
      </c>
      <c r="B17" s="460"/>
      <c r="C17" s="461"/>
    </row>
    <row r="18" spans="1:3" ht="31.2" x14ac:dyDescent="0.3">
      <c r="A18" s="146" t="s">
        <v>219</v>
      </c>
      <c r="B18" s="170" t="s">
        <v>213</v>
      </c>
      <c r="C18" s="147" t="s">
        <v>220</v>
      </c>
    </row>
    <row r="19" spans="1:3" ht="26.7" customHeight="1" x14ac:dyDescent="0.3">
      <c r="A19" s="181" t="str">
        <f>'5. Budget by Components'!A4</f>
        <v>Componente I - Fortalecimiento de la AT</v>
      </c>
      <c r="B19" s="176">
        <f>'5. Budget by Components'!B4</f>
        <v>41366794.799999997</v>
      </c>
      <c r="C19" s="176">
        <f>+B19</f>
        <v>41366794.799999997</v>
      </c>
    </row>
    <row r="20" spans="1:3" ht="27.6" x14ac:dyDescent="0.3">
      <c r="A20" s="181" t="str">
        <f>'5. Budget by Components'!A5</f>
        <v>Componente II - Mejora en la planificación y gestión de las finanzas públicas</v>
      </c>
      <c r="B20" s="176">
        <f>'5. Budget by Components'!B5</f>
        <v>5122105.2</v>
      </c>
      <c r="C20" s="176">
        <f>+B20</f>
        <v>5122105.2</v>
      </c>
    </row>
    <row r="21" spans="1:3" x14ac:dyDescent="0.3">
      <c r="A21" s="182" t="str">
        <f>'5. Budget by Components'!A6</f>
        <v>2.   Costos Administrativos</v>
      </c>
      <c r="B21" s="176">
        <f>'5. Budget by Components'!B6</f>
        <v>2163800</v>
      </c>
      <c r="C21" s="176">
        <f>+B21</f>
        <v>2163800</v>
      </c>
    </row>
    <row r="22" spans="1:3" x14ac:dyDescent="0.3">
      <c r="A22" s="182" t="str">
        <f>'5. Budget by Components'!A14</f>
        <v>3. Contingencia</v>
      </c>
      <c r="B22" s="176">
        <f>'5. Budget by Components'!B14</f>
        <v>1347300</v>
      </c>
      <c r="C22" s="176">
        <f>+B22</f>
        <v>1347300</v>
      </c>
    </row>
    <row r="23" spans="1:3" ht="16.2" thickBot="1" x14ac:dyDescent="0.35">
      <c r="A23" s="178" t="s">
        <v>11</v>
      </c>
      <c r="B23" s="179">
        <f>SUM(B19:B22)</f>
        <v>50000000</v>
      </c>
      <c r="C23" s="179">
        <f>SUM(C19:C22)</f>
        <v>50000000</v>
      </c>
    </row>
    <row r="26" spans="1:3" x14ac:dyDescent="0.3">
      <c r="B26" s="103"/>
    </row>
  </sheetData>
  <mergeCells count="8">
    <mergeCell ref="A9:C9"/>
    <mergeCell ref="A17:C17"/>
    <mergeCell ref="A1:C1"/>
    <mergeCell ref="A2:C2"/>
    <mergeCell ref="A5:C5"/>
    <mergeCell ref="A6:C6"/>
    <mergeCell ref="B7:C7"/>
    <mergeCell ref="A8:C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zoomScale="115" zoomScaleNormal="115" workbookViewId="0">
      <selection activeCell="M61" sqref="M61"/>
    </sheetView>
  </sheetViews>
  <sheetFormatPr defaultRowHeight="15.6" x14ac:dyDescent="0.3"/>
  <cols>
    <col min="1" max="1" width="39.09765625" style="104" customWidth="1"/>
    <col min="2" max="2" width="9.8984375" style="104" customWidth="1"/>
    <col min="3" max="3" width="8.5" style="104" bestFit="1" customWidth="1"/>
    <col min="4" max="4" width="9.09765625" style="104" customWidth="1"/>
    <col min="5" max="5" width="8.3984375" style="104" customWidth="1"/>
    <col min="6" max="7" width="9" style="104"/>
    <col min="8" max="8" width="9.09765625" style="104" customWidth="1"/>
    <col min="9" max="9" width="9" style="104"/>
  </cols>
  <sheetData>
    <row r="1" spans="1:7" ht="16.2" thickBot="1" x14ac:dyDescent="0.35">
      <c r="A1" s="472" t="s">
        <v>221</v>
      </c>
      <c r="B1" s="473"/>
      <c r="C1" s="473"/>
      <c r="D1" s="473"/>
      <c r="E1" s="473"/>
    </row>
    <row r="2" spans="1:7" ht="16.2" thickBot="1" x14ac:dyDescent="0.35">
      <c r="A2" s="105" t="s">
        <v>222</v>
      </c>
      <c r="B2" s="106" t="s">
        <v>223</v>
      </c>
      <c r="C2" s="106" t="s">
        <v>224</v>
      </c>
      <c r="D2" s="106" t="s">
        <v>11</v>
      </c>
      <c r="E2" s="106" t="s">
        <v>168</v>
      </c>
    </row>
    <row r="3" spans="1:7" ht="16.2" thickBot="1" x14ac:dyDescent="0.35">
      <c r="A3" s="107" t="s">
        <v>225</v>
      </c>
      <c r="B3" s="108">
        <f>SUM(B4:B5)</f>
        <v>46488900</v>
      </c>
      <c r="C3" s="108">
        <f>SUM(C4:C5)</f>
        <v>0</v>
      </c>
      <c r="D3" s="108">
        <f>SUM(D4:D5)</f>
        <v>46488900</v>
      </c>
      <c r="E3" s="109">
        <f t="shared" ref="E3:E15" si="0">D3/$D$15*100</f>
        <v>92.977800000000002</v>
      </c>
    </row>
    <row r="4" spans="1:7" ht="17.25" customHeight="1" thickBot="1" x14ac:dyDescent="0.35">
      <c r="A4" s="110" t="str">
        <f>'1. Detailed Budget '!C5</f>
        <v>Componente I - Fortalecimiento de la AT</v>
      </c>
      <c r="B4" s="111">
        <f>'1. Detailed Budget '!B5</f>
        <v>41366794.799999997</v>
      </c>
      <c r="C4" s="112">
        <v>0</v>
      </c>
      <c r="D4" s="111">
        <f>B4+C4</f>
        <v>41366794.799999997</v>
      </c>
      <c r="E4" s="113">
        <f t="shared" si="0"/>
        <v>82.733589599999988</v>
      </c>
    </row>
    <row r="5" spans="1:7" ht="24.6" thickBot="1" x14ac:dyDescent="0.35">
      <c r="A5" s="110" t="str">
        <f>'1. Detailed Budget '!C69</f>
        <v>Componente II - Mejora en la planificación y gestión de las finanzas públicas</v>
      </c>
      <c r="B5" s="111">
        <f>'1. Detailed Budget '!B69</f>
        <v>5122105.2</v>
      </c>
      <c r="C5" s="111">
        <v>0</v>
      </c>
      <c r="D5" s="111">
        <f t="shared" ref="D5:D15" si="1">B5+C5</f>
        <v>5122105.2</v>
      </c>
      <c r="E5" s="113">
        <f t="shared" si="0"/>
        <v>10.2442104</v>
      </c>
    </row>
    <row r="6" spans="1:7" ht="16.2" thickBot="1" x14ac:dyDescent="0.35">
      <c r="A6" s="107" t="s">
        <v>226</v>
      </c>
      <c r="B6" s="108">
        <f>SUM(B7:B13)</f>
        <v>2163800</v>
      </c>
      <c r="C6" s="108">
        <f>SUM(C7:C9)</f>
        <v>0</v>
      </c>
      <c r="D6" s="108">
        <f t="shared" si="1"/>
        <v>2163800</v>
      </c>
      <c r="E6" s="109">
        <f t="shared" si="0"/>
        <v>4.3276000000000003</v>
      </c>
    </row>
    <row r="7" spans="1:7" ht="16.2" thickBot="1" x14ac:dyDescent="0.35">
      <c r="A7" s="110" t="str">
        <f>'1. Detailed Budget '!A101</f>
        <v>Asesor Técnico del Componente I</v>
      </c>
      <c r="B7" s="111">
        <f>'1. Detailed Budget '!G101</f>
        <v>495000</v>
      </c>
      <c r="C7" s="112">
        <v>0</v>
      </c>
      <c r="D7" s="111">
        <f t="shared" si="1"/>
        <v>495000</v>
      </c>
      <c r="E7" s="113">
        <f t="shared" si="0"/>
        <v>0.9900000000000001</v>
      </c>
    </row>
    <row r="8" spans="1:7" ht="16.2" thickBot="1" x14ac:dyDescent="0.35">
      <c r="A8" s="110" t="s">
        <v>227</v>
      </c>
      <c r="B8" s="111">
        <f>'1. Detailed Budget '!G102+'1. Detailed Budget '!G106</f>
        <v>369600</v>
      </c>
      <c r="C8" s="112">
        <v>0</v>
      </c>
      <c r="D8" s="111">
        <f t="shared" si="1"/>
        <v>369600</v>
      </c>
      <c r="E8" s="113">
        <f t="shared" si="0"/>
        <v>0.73919999999999997</v>
      </c>
    </row>
    <row r="9" spans="1:7" ht="16.2" thickBot="1" x14ac:dyDescent="0.35">
      <c r="A9" s="110" t="s">
        <v>228</v>
      </c>
      <c r="B9" s="111">
        <f>'1. Detailed Budget '!G103+'1. Detailed Budget '!G107</f>
        <v>180000</v>
      </c>
      <c r="C9" s="112">
        <v>0</v>
      </c>
      <c r="D9" s="111">
        <f t="shared" si="1"/>
        <v>180000</v>
      </c>
      <c r="E9" s="113">
        <f t="shared" si="0"/>
        <v>0.36</v>
      </c>
    </row>
    <row r="10" spans="1:7" ht="16.2" thickBot="1" x14ac:dyDescent="0.35">
      <c r="A10" s="110" t="s">
        <v>229</v>
      </c>
      <c r="B10" s="111">
        <f>'1. Detailed Budget '!G104+'1. Detailed Budget '!G108</f>
        <v>369600</v>
      </c>
      <c r="C10" s="112">
        <v>0</v>
      </c>
      <c r="D10" s="111">
        <f t="shared" si="1"/>
        <v>369600</v>
      </c>
      <c r="E10" s="113">
        <f t="shared" si="0"/>
        <v>0.73919999999999997</v>
      </c>
    </row>
    <row r="11" spans="1:7" ht="16.2" thickBot="1" x14ac:dyDescent="0.35">
      <c r="A11" s="110" t="s">
        <v>230</v>
      </c>
      <c r="B11" s="111">
        <f>'1. Detailed Budget '!G105+'1. Detailed Budget '!G109</f>
        <v>369600</v>
      </c>
      <c r="C11" s="112">
        <v>0</v>
      </c>
      <c r="D11" s="111">
        <f t="shared" si="1"/>
        <v>369600</v>
      </c>
      <c r="E11" s="113">
        <f t="shared" si="0"/>
        <v>0.73919999999999997</v>
      </c>
    </row>
    <row r="12" spans="1:7" ht="16.2" thickBot="1" x14ac:dyDescent="0.35">
      <c r="A12" s="110" t="s">
        <v>152</v>
      </c>
      <c r="B12" s="111">
        <f>'1. Detailed Budget '!B110</f>
        <v>180000</v>
      </c>
      <c r="C12" s="112">
        <v>0</v>
      </c>
      <c r="D12" s="111">
        <f t="shared" si="1"/>
        <v>180000</v>
      </c>
      <c r="E12" s="113">
        <f t="shared" si="0"/>
        <v>0.36</v>
      </c>
    </row>
    <row r="13" spans="1:7" ht="16.2" thickBot="1" x14ac:dyDescent="0.35">
      <c r="A13" s="110" t="s">
        <v>231</v>
      </c>
      <c r="B13" s="111">
        <f>'1. Detailed Budget '!B114</f>
        <v>200000</v>
      </c>
      <c r="C13" s="112">
        <v>0</v>
      </c>
      <c r="D13" s="111">
        <f t="shared" si="1"/>
        <v>200000</v>
      </c>
      <c r="E13" s="113">
        <f t="shared" si="0"/>
        <v>0.4</v>
      </c>
    </row>
    <row r="14" spans="1:7" ht="16.2" thickBot="1" x14ac:dyDescent="0.35">
      <c r="A14" s="107" t="s">
        <v>232</v>
      </c>
      <c r="B14" s="108">
        <f>'1. Detailed Budget '!B116</f>
        <v>1347300</v>
      </c>
      <c r="C14" s="114"/>
      <c r="D14" s="108">
        <f t="shared" si="1"/>
        <v>1347300</v>
      </c>
      <c r="E14" s="109">
        <f t="shared" si="0"/>
        <v>2.6946000000000003</v>
      </c>
    </row>
    <row r="15" spans="1:7" ht="16.2" thickBot="1" x14ac:dyDescent="0.35">
      <c r="A15" s="115" t="s">
        <v>11</v>
      </c>
      <c r="B15" s="116">
        <f>B14+B6+B3</f>
        <v>50000000</v>
      </c>
      <c r="C15" s="116">
        <f>C6+C3</f>
        <v>0</v>
      </c>
      <c r="D15" s="116">
        <f t="shared" si="1"/>
        <v>50000000</v>
      </c>
      <c r="E15" s="117">
        <f t="shared" si="0"/>
        <v>100</v>
      </c>
    </row>
    <row r="16" spans="1:7" ht="16.2" thickBot="1" x14ac:dyDescent="0.35">
      <c r="A16" s="115" t="s">
        <v>168</v>
      </c>
      <c r="B16" s="118">
        <f>B15/D15*100</f>
        <v>100</v>
      </c>
      <c r="C16" s="118">
        <f>C15/D15*100</f>
        <v>0</v>
      </c>
      <c r="D16" s="118">
        <f>B16+C16</f>
        <v>100</v>
      </c>
      <c r="E16" s="118"/>
      <c r="G16" s="119"/>
    </row>
    <row r="17" spans="1:9" x14ac:dyDescent="0.3">
      <c r="A17" s="474"/>
      <c r="B17" s="474"/>
      <c r="C17" s="474"/>
      <c r="D17" s="474"/>
      <c r="E17" s="474"/>
    </row>
    <row r="20" spans="1:9" ht="16.2" thickBot="1" x14ac:dyDescent="0.35">
      <c r="B20" s="475" t="s">
        <v>233</v>
      </c>
      <c r="C20" s="476"/>
      <c r="D20" s="476"/>
      <c r="E20" s="476"/>
      <c r="F20" s="476"/>
      <c r="G20" s="477"/>
      <c r="H20" s="477"/>
      <c r="I20" s="477"/>
    </row>
    <row r="21" spans="1:9" ht="16.2" thickBot="1" x14ac:dyDescent="0.35">
      <c r="B21" s="120" t="s">
        <v>234</v>
      </c>
      <c r="C21" s="121" t="s">
        <v>235</v>
      </c>
      <c r="D21" s="121" t="s">
        <v>236</v>
      </c>
      <c r="E21" s="121" t="s">
        <v>237</v>
      </c>
      <c r="F21" s="121" t="s">
        <v>238</v>
      </c>
      <c r="G21" s="121" t="s">
        <v>239</v>
      </c>
      <c r="H21" s="122" t="s">
        <v>11</v>
      </c>
      <c r="I21" s="123" t="s">
        <v>168</v>
      </c>
    </row>
    <row r="22" spans="1:9" ht="16.2" thickBot="1" x14ac:dyDescent="0.35">
      <c r="B22" s="124" t="s">
        <v>240</v>
      </c>
      <c r="C22" s="125">
        <f>$B$15*C25/100</f>
        <v>2935307.0440000002</v>
      </c>
      <c r="D22" s="125">
        <f>$B$15*D25/100</f>
        <v>13447350.419999998</v>
      </c>
      <c r="E22" s="125">
        <f>$B$15*E25/100</f>
        <v>15585098.920000002</v>
      </c>
      <c r="F22" s="125">
        <f>$B$15*F25/100</f>
        <v>10655711.456</v>
      </c>
      <c r="G22" s="125">
        <f>$B$15*G25/100</f>
        <v>7376532.1600000001</v>
      </c>
      <c r="H22" s="126">
        <f>SUM(C22:G22)</f>
        <v>50000000</v>
      </c>
      <c r="I22" s="127">
        <f>H22/H24*100</f>
        <v>100</v>
      </c>
    </row>
    <row r="23" spans="1:9" ht="16.2" thickBot="1" x14ac:dyDescent="0.35">
      <c r="B23" s="124" t="s">
        <v>224</v>
      </c>
      <c r="C23" s="125">
        <f>$C$15*C25/100</f>
        <v>0</v>
      </c>
      <c r="D23" s="125">
        <f>$C$15*D25/100</f>
        <v>0</v>
      </c>
      <c r="E23" s="125">
        <f>$C$15*E25/100</f>
        <v>0</v>
      </c>
      <c r="F23" s="125">
        <f>$C$15*F25/100</f>
        <v>0</v>
      </c>
      <c r="G23" s="125">
        <f>$C$15*G25/100</f>
        <v>0</v>
      </c>
      <c r="H23" s="126">
        <f>SUM(C23:G23)</f>
        <v>0</v>
      </c>
      <c r="I23" s="127">
        <f>H23/H24*100</f>
        <v>0</v>
      </c>
    </row>
    <row r="24" spans="1:9" ht="16.2" thickBot="1" x14ac:dyDescent="0.35">
      <c r="B24" s="128" t="s">
        <v>11</v>
      </c>
      <c r="C24" s="129">
        <f t="shared" ref="C24:H24" si="2">C22+C23</f>
        <v>2935307.0440000002</v>
      </c>
      <c r="D24" s="129">
        <f t="shared" si="2"/>
        <v>13447350.419999998</v>
      </c>
      <c r="E24" s="129">
        <f t="shared" si="2"/>
        <v>15585098.920000002</v>
      </c>
      <c r="F24" s="129">
        <f t="shared" si="2"/>
        <v>10655711.456</v>
      </c>
      <c r="G24" s="129">
        <f t="shared" si="2"/>
        <v>7376532.1600000001</v>
      </c>
      <c r="H24" s="129">
        <f t="shared" si="2"/>
        <v>50000000</v>
      </c>
      <c r="I24" s="130">
        <v>100</v>
      </c>
    </row>
    <row r="25" spans="1:9" ht="16.2" thickBot="1" x14ac:dyDescent="0.35">
      <c r="B25" s="131" t="s">
        <v>168</v>
      </c>
      <c r="C25" s="145">
        <f>'2. Pluriannual Plan PEP'!C2</f>
        <v>5.8706140880000008</v>
      </c>
      <c r="D25" s="145">
        <f>'2. Pluriannual Plan PEP'!E2</f>
        <v>26.894700839999995</v>
      </c>
      <c r="E25" s="145">
        <f>'2. Pluriannual Plan PEP'!G2</f>
        <v>31.170197840000004</v>
      </c>
      <c r="F25" s="145">
        <f>'2. Pluriannual Plan PEP'!I2</f>
        <v>21.311422912000001</v>
      </c>
      <c r="G25" s="145">
        <f>'2. Pluriannual Plan PEP'!K2</f>
        <v>14.75306432</v>
      </c>
      <c r="H25" s="145">
        <f>SUM(C25:G26)</f>
        <v>100</v>
      </c>
      <c r="I25" s="132"/>
    </row>
    <row r="26" spans="1:9" x14ac:dyDescent="0.3">
      <c r="B26" s="133"/>
    </row>
  </sheetData>
  <mergeCells count="3">
    <mergeCell ref="A1:E1"/>
    <mergeCell ref="A17:E17"/>
    <mergeCell ref="B20:I2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election activeCell="M61" sqref="M61"/>
    </sheetView>
  </sheetViews>
  <sheetFormatPr defaultColWidth="9" defaultRowHeight="14.4" x14ac:dyDescent="0.3"/>
  <cols>
    <col min="1" max="1" width="28.3984375" style="4" customWidth="1"/>
    <col min="2" max="2" width="15.09765625" style="4" customWidth="1"/>
    <col min="3" max="3" width="14.5" style="4" customWidth="1"/>
    <col min="4" max="4" width="12.09765625" style="4" customWidth="1"/>
    <col min="5" max="16384" width="9" style="4"/>
  </cols>
  <sheetData>
    <row r="1" spans="1:5" ht="28.8" x14ac:dyDescent="0.3">
      <c r="A1" s="183" t="s">
        <v>222</v>
      </c>
      <c r="B1" s="184" t="s">
        <v>241</v>
      </c>
      <c r="C1" s="184" t="s">
        <v>242</v>
      </c>
      <c r="D1" s="184" t="s">
        <v>243</v>
      </c>
      <c r="E1" s="185"/>
    </row>
    <row r="2" spans="1:5" x14ac:dyDescent="0.3">
      <c r="A2" s="185" t="s">
        <v>244</v>
      </c>
      <c r="B2" s="186">
        <f>454*22</f>
        <v>9988</v>
      </c>
      <c r="C2" s="186">
        <f>625*22</f>
        <v>13750</v>
      </c>
      <c r="D2" s="186">
        <f>C2*1.2</f>
        <v>16500</v>
      </c>
      <c r="E2" s="185"/>
    </row>
    <row r="3" spans="1:5" x14ac:dyDescent="0.3">
      <c r="A3" s="185" t="s">
        <v>245</v>
      </c>
      <c r="B3" s="186">
        <f>140*22</f>
        <v>3080</v>
      </c>
      <c r="C3" s="186"/>
      <c r="D3" s="186">
        <f>C3*1.25</f>
        <v>0</v>
      </c>
      <c r="E3" s="185"/>
    </row>
    <row r="4" spans="1:5" x14ac:dyDescent="0.3">
      <c r="A4" s="185" t="s">
        <v>246</v>
      </c>
      <c r="B4" s="186">
        <f>600*22</f>
        <v>13200</v>
      </c>
      <c r="C4" s="186">
        <f>771*22</f>
        <v>16962</v>
      </c>
      <c r="D4" s="186">
        <f>C4*1.2</f>
        <v>20354.399999999998</v>
      </c>
      <c r="E4" s="185">
        <f>E2+E3</f>
        <v>0</v>
      </c>
    </row>
    <row r="5" spans="1:5" x14ac:dyDescent="0.3">
      <c r="A5" s="185" t="s">
        <v>247</v>
      </c>
      <c r="B5" s="186">
        <f>454*22</f>
        <v>9988</v>
      </c>
      <c r="C5" s="186">
        <f>625*22</f>
        <v>13750</v>
      </c>
      <c r="D5" s="186">
        <f>C5*1.2</f>
        <v>16500</v>
      </c>
      <c r="E5" s="185"/>
    </row>
    <row r="6" spans="1:5" x14ac:dyDescent="0.3">
      <c r="A6" s="185" t="s">
        <v>248</v>
      </c>
      <c r="B6" s="186">
        <v>3500</v>
      </c>
      <c r="C6" s="186"/>
      <c r="D6" s="186"/>
      <c r="E6" s="185"/>
    </row>
    <row r="7" spans="1:5" x14ac:dyDescent="0.3">
      <c r="A7" s="187" t="s">
        <v>249</v>
      </c>
      <c r="B7" s="186">
        <v>1500</v>
      </c>
      <c r="C7" s="186"/>
      <c r="D7" s="185"/>
      <c r="E7" s="185"/>
    </row>
    <row r="8" spans="1:5" x14ac:dyDescent="0.3">
      <c r="A8" s="185" t="s">
        <v>250</v>
      </c>
      <c r="B8" s="186">
        <f>B3*1.25</f>
        <v>3850</v>
      </c>
      <c r="C8" s="186"/>
      <c r="D8" s="186">
        <f>B8*1.2</f>
        <v>4620</v>
      </c>
      <c r="E8" s="185"/>
    </row>
    <row r="9" spans="1:5" x14ac:dyDescent="0.3">
      <c r="A9" s="185" t="s">
        <v>251</v>
      </c>
      <c r="B9" s="186">
        <v>400</v>
      </c>
      <c r="C9" s="186"/>
      <c r="D9" s="185"/>
      <c r="E9" s="185"/>
    </row>
    <row r="10" spans="1:5" x14ac:dyDescent="0.3">
      <c r="A10" s="185"/>
      <c r="B10" s="186"/>
      <c r="C10" s="186"/>
      <c r="D10" s="185"/>
      <c r="E10" s="185"/>
    </row>
    <row r="11" spans="1:5" x14ac:dyDescent="0.3">
      <c r="A11" s="188" t="s">
        <v>252</v>
      </c>
      <c r="B11" s="189">
        <v>50000</v>
      </c>
      <c r="C11" s="189"/>
      <c r="D11" s="189"/>
      <c r="E11" s="190"/>
    </row>
    <row r="12" spans="1:5" x14ac:dyDescent="0.3">
      <c r="A12" s="188" t="s">
        <v>253</v>
      </c>
      <c r="B12" s="189">
        <v>65500</v>
      </c>
      <c r="C12" s="189" t="s">
        <v>254</v>
      </c>
      <c r="D12" s="189"/>
      <c r="E12" s="190"/>
    </row>
    <row r="13" spans="1:5" x14ac:dyDescent="0.3">
      <c r="A13" s="188" t="s">
        <v>255</v>
      </c>
      <c r="B13" s="189">
        <v>300000</v>
      </c>
      <c r="C13" s="189"/>
      <c r="D13" s="191"/>
      <c r="E13" s="190"/>
    </row>
    <row r="14" spans="1:5" x14ac:dyDescent="0.3">
      <c r="A14" s="188" t="s">
        <v>256</v>
      </c>
      <c r="B14" s="189">
        <v>30000</v>
      </c>
      <c r="C14" s="189"/>
      <c r="D14" s="191"/>
      <c r="E14" s="190"/>
    </row>
    <row r="15" spans="1:5" x14ac:dyDescent="0.3">
      <c r="A15" s="188" t="s">
        <v>257</v>
      </c>
      <c r="B15" s="189">
        <v>100000</v>
      </c>
      <c r="C15" s="189"/>
      <c r="D15" s="189"/>
      <c r="E15" s="190"/>
    </row>
    <row r="16" spans="1:5" x14ac:dyDescent="0.3">
      <c r="A16" s="188" t="s">
        <v>258</v>
      </c>
      <c r="B16" s="189">
        <v>60000</v>
      </c>
      <c r="C16" s="189"/>
      <c r="D16" s="189"/>
      <c r="E16" s="190"/>
    </row>
    <row r="17" spans="1:5" x14ac:dyDescent="0.3">
      <c r="A17" s="188" t="s">
        <v>259</v>
      </c>
      <c r="B17" s="189">
        <v>15000</v>
      </c>
      <c r="C17" s="189" t="s">
        <v>260</v>
      </c>
      <c r="D17" s="189"/>
      <c r="E17" s="190"/>
    </row>
    <row r="18" spans="1:5" x14ac:dyDescent="0.3">
      <c r="A18" s="188" t="s">
        <v>261</v>
      </c>
      <c r="B18" s="189">
        <v>1500</v>
      </c>
      <c r="C18" s="189"/>
      <c r="D18" s="189"/>
      <c r="E18" s="190"/>
    </row>
    <row r="19" spans="1:5" x14ac:dyDescent="0.3">
      <c r="A19" s="188" t="s">
        <v>262</v>
      </c>
      <c r="B19" s="189">
        <v>13000</v>
      </c>
      <c r="C19" s="189"/>
      <c r="D19" s="191"/>
      <c r="E19" s="190"/>
    </row>
    <row r="20" spans="1:5" x14ac:dyDescent="0.3">
      <c r="A20" s="188" t="s">
        <v>263</v>
      </c>
      <c r="B20" s="189">
        <v>200000</v>
      </c>
      <c r="C20" s="189"/>
      <c r="D20" s="191"/>
      <c r="E20" s="190"/>
    </row>
    <row r="21" spans="1:5" x14ac:dyDescent="0.3">
      <c r="A21" s="188" t="s">
        <v>264</v>
      </c>
      <c r="B21" s="189">
        <v>200000</v>
      </c>
      <c r="C21" s="189"/>
      <c r="D21" s="189"/>
      <c r="E21" s="190"/>
    </row>
    <row r="22" spans="1:5" x14ac:dyDescent="0.3">
      <c r="A22" s="188" t="s">
        <v>265</v>
      </c>
      <c r="B22" s="189">
        <v>300000</v>
      </c>
      <c r="C22" s="189"/>
      <c r="D22" s="189"/>
      <c r="E22" s="190"/>
    </row>
    <row r="23" spans="1:5" ht="28.8" x14ac:dyDescent="0.3">
      <c r="A23" s="188" t="s">
        <v>266</v>
      </c>
      <c r="B23" s="189">
        <v>800000</v>
      </c>
      <c r="C23" s="189"/>
      <c r="D23" s="189"/>
      <c r="E23" s="190"/>
    </row>
    <row r="24" spans="1:5" x14ac:dyDescent="0.3">
      <c r="A24" s="188" t="s">
        <v>267</v>
      </c>
      <c r="B24" s="189">
        <v>1000</v>
      </c>
      <c r="C24" s="189"/>
      <c r="D24" s="189"/>
      <c r="E24" s="190"/>
    </row>
    <row r="25" spans="1:5" ht="43.2" x14ac:dyDescent="0.3">
      <c r="A25" s="188" t="s">
        <v>268</v>
      </c>
      <c r="B25" s="189">
        <v>520000</v>
      </c>
      <c r="C25" s="189"/>
      <c r="D25" s="189"/>
      <c r="E25" s="190"/>
    </row>
    <row r="26" spans="1:5" ht="19.350000000000001" customHeight="1" x14ac:dyDescent="0.3">
      <c r="A26" s="188" t="s">
        <v>269</v>
      </c>
      <c r="B26" s="189">
        <v>150000</v>
      </c>
      <c r="C26" s="189"/>
      <c r="D26" s="189"/>
      <c r="E26" s="190"/>
    </row>
    <row r="27" spans="1:5" x14ac:dyDescent="0.3">
      <c r="A27" s="192" t="s">
        <v>270</v>
      </c>
      <c r="B27" s="191">
        <v>2000</v>
      </c>
      <c r="C27" s="190"/>
      <c r="D27" s="190"/>
      <c r="E27" s="190"/>
    </row>
    <row r="28" spans="1:5" x14ac:dyDescent="0.3">
      <c r="A28" s="192" t="s">
        <v>271</v>
      </c>
      <c r="B28" s="191">
        <v>18000</v>
      </c>
      <c r="C28" s="190"/>
      <c r="D28" s="190"/>
      <c r="E28" s="190"/>
    </row>
    <row r="29" spans="1:5" x14ac:dyDescent="0.3">
      <c r="A29" s="192" t="s">
        <v>272</v>
      </c>
      <c r="B29" s="191">
        <v>8000</v>
      </c>
      <c r="C29" s="190"/>
      <c r="D29" s="190"/>
      <c r="E29" s="190"/>
    </row>
    <row r="30" spans="1:5" x14ac:dyDescent="0.3">
      <c r="A30" s="192" t="s">
        <v>273</v>
      </c>
      <c r="B30" s="191">
        <v>7</v>
      </c>
      <c r="C30" s="190"/>
      <c r="D30" s="190"/>
      <c r="E30" s="190"/>
    </row>
    <row r="31" spans="1:5" x14ac:dyDescent="0.3">
      <c r="A31" s="192" t="s">
        <v>274</v>
      </c>
      <c r="B31" s="191">
        <v>2000</v>
      </c>
      <c r="C31" s="190"/>
      <c r="D31" s="190"/>
      <c r="E31" s="190"/>
    </row>
    <row r="32" spans="1:5" x14ac:dyDescent="0.3">
      <c r="A32" s="192" t="s">
        <v>275</v>
      </c>
      <c r="B32" s="191">
        <v>40</v>
      </c>
      <c r="C32" s="185"/>
      <c r="D32" s="185"/>
      <c r="E32" s="185"/>
    </row>
    <row r="33" spans="1:2" x14ac:dyDescent="0.3">
      <c r="A33" s="192" t="s">
        <v>276</v>
      </c>
      <c r="B33" s="191">
        <v>20</v>
      </c>
    </row>
    <row r="34" spans="1:2" x14ac:dyDescent="0.3">
      <c r="A34" s="192" t="s">
        <v>277</v>
      </c>
      <c r="B34" s="191">
        <v>10000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5"/>
  <sheetViews>
    <sheetView zoomScale="70" zoomScaleNormal="70" workbookViewId="0">
      <selection activeCell="M61" sqref="M61"/>
    </sheetView>
  </sheetViews>
  <sheetFormatPr defaultColWidth="10.3984375" defaultRowHeight="15.6" x14ac:dyDescent="0.3"/>
  <cols>
    <col min="1" max="1" width="21.69921875" style="13" customWidth="1"/>
    <col min="2" max="2" width="22.09765625" style="14" customWidth="1"/>
    <col min="3" max="3" width="40.59765625" style="15" customWidth="1"/>
    <col min="4" max="4" width="13" style="15" customWidth="1"/>
    <col min="5" max="8" width="11.3984375" style="12" customWidth="1"/>
    <col min="9" max="9" width="11.3984375" style="17" customWidth="1"/>
    <col min="10" max="16384" width="10.3984375" style="10"/>
  </cols>
  <sheetData>
    <row r="2" spans="1:9" ht="43.2" x14ac:dyDescent="0.3">
      <c r="A2" s="193" t="s">
        <v>278</v>
      </c>
      <c r="B2" s="193" t="s">
        <v>279</v>
      </c>
      <c r="C2" s="193" t="s">
        <v>280</v>
      </c>
      <c r="D2" s="193" t="s">
        <v>281</v>
      </c>
      <c r="E2" s="193" t="s">
        <v>281</v>
      </c>
      <c r="F2" s="193" t="s">
        <v>4</v>
      </c>
      <c r="G2" s="193" t="s">
        <v>282</v>
      </c>
      <c r="H2" s="193" t="s">
        <v>6</v>
      </c>
      <c r="I2" s="194" t="s">
        <v>11</v>
      </c>
    </row>
    <row r="3" spans="1:9" ht="14.4" x14ac:dyDescent="0.3">
      <c r="A3" s="480" t="s">
        <v>283</v>
      </c>
      <c r="B3" s="481"/>
      <c r="C3" s="481"/>
      <c r="D3" s="482"/>
      <c r="E3" s="195"/>
      <c r="F3" s="195"/>
      <c r="G3" s="195"/>
      <c r="H3" s="195"/>
      <c r="I3" s="196"/>
    </row>
    <row r="4" spans="1:9" ht="43.2" x14ac:dyDescent="0.3">
      <c r="A4" s="478" t="s">
        <v>284</v>
      </c>
      <c r="B4" s="197" t="s">
        <v>285</v>
      </c>
      <c r="C4" s="197" t="s">
        <v>286</v>
      </c>
      <c r="D4" s="198">
        <v>50000</v>
      </c>
      <c r="E4" s="198"/>
      <c r="F4" s="198"/>
      <c r="G4" s="198"/>
      <c r="H4" s="198"/>
      <c r="I4" s="199">
        <f t="shared" ref="I4:I9" si="0">SUM(D4:H4)</f>
        <v>50000</v>
      </c>
    </row>
    <row r="5" spans="1:9" ht="57.6" x14ac:dyDescent="0.3">
      <c r="A5" s="479"/>
      <c r="B5" s="200" t="s">
        <v>287</v>
      </c>
      <c r="C5" s="200" t="s">
        <v>288</v>
      </c>
      <c r="D5" s="198">
        <v>100000</v>
      </c>
      <c r="E5" s="198"/>
      <c r="F5" s="198"/>
      <c r="G5" s="198"/>
      <c r="H5" s="198"/>
      <c r="I5" s="199">
        <f t="shared" si="0"/>
        <v>100000</v>
      </c>
    </row>
    <row r="6" spans="1:9" ht="43.2" x14ac:dyDescent="0.3">
      <c r="A6" s="479" t="s">
        <v>289</v>
      </c>
      <c r="B6" s="201" t="s">
        <v>290</v>
      </c>
      <c r="C6" s="200" t="s">
        <v>291</v>
      </c>
      <c r="D6" s="198"/>
      <c r="E6" s="198"/>
      <c r="F6" s="198">
        <v>250000</v>
      </c>
      <c r="G6" s="198"/>
      <c r="H6" s="198"/>
      <c r="I6" s="199">
        <f t="shared" si="0"/>
        <v>250000</v>
      </c>
    </row>
    <row r="7" spans="1:9" ht="57.6" x14ac:dyDescent="0.3">
      <c r="A7" s="479"/>
      <c r="B7" s="200" t="s">
        <v>292</v>
      </c>
      <c r="C7" s="200" t="s">
        <v>291</v>
      </c>
      <c r="D7" s="198"/>
      <c r="E7" s="198"/>
      <c r="F7" s="198">
        <v>250000</v>
      </c>
      <c r="G7" s="198"/>
      <c r="H7" s="198"/>
      <c r="I7" s="199">
        <f t="shared" si="0"/>
        <v>250000</v>
      </c>
    </row>
    <row r="8" spans="1:9" ht="57.6" x14ac:dyDescent="0.3">
      <c r="A8" s="479"/>
      <c r="B8" s="200" t="s">
        <v>293</v>
      </c>
      <c r="C8" s="200" t="s">
        <v>294</v>
      </c>
      <c r="D8" s="198">
        <v>100000</v>
      </c>
      <c r="E8" s="198"/>
      <c r="F8" s="198"/>
      <c r="G8" s="198"/>
      <c r="H8" s="198"/>
      <c r="I8" s="199">
        <f t="shared" si="0"/>
        <v>100000</v>
      </c>
    </row>
    <row r="9" spans="1:9" ht="43.2" x14ac:dyDescent="0.3">
      <c r="A9" s="479"/>
      <c r="B9" s="200" t="s">
        <v>295</v>
      </c>
      <c r="C9" s="200" t="s">
        <v>296</v>
      </c>
      <c r="D9" s="198"/>
      <c r="E9" s="198"/>
      <c r="F9" s="198">
        <v>200000</v>
      </c>
      <c r="G9" s="198"/>
      <c r="H9" s="198"/>
      <c r="I9" s="199">
        <f t="shared" si="0"/>
        <v>200000</v>
      </c>
    </row>
    <row r="10" spans="1:9" ht="16.2" thickBot="1" x14ac:dyDescent="0.35">
      <c r="A10" s="202" t="s">
        <v>11</v>
      </c>
      <c r="B10" s="203"/>
      <c r="C10" s="203"/>
      <c r="D10" s="204">
        <f t="shared" ref="D10:I10" si="1">SUM(D4:D9)</f>
        <v>250000</v>
      </c>
      <c r="E10" s="204">
        <f t="shared" si="1"/>
        <v>0</v>
      </c>
      <c r="F10" s="204">
        <f t="shared" si="1"/>
        <v>700000</v>
      </c>
      <c r="G10" s="204">
        <f t="shared" si="1"/>
        <v>0</v>
      </c>
      <c r="H10" s="204">
        <f t="shared" si="1"/>
        <v>0</v>
      </c>
      <c r="I10" s="204">
        <f t="shared" si="1"/>
        <v>950000</v>
      </c>
    </row>
    <row r="11" spans="1:9" ht="15" thickTop="1" x14ac:dyDescent="0.3">
      <c r="A11" s="483" t="s">
        <v>297</v>
      </c>
      <c r="B11" s="484"/>
      <c r="C11" s="484"/>
      <c r="D11" s="485"/>
      <c r="E11" s="11"/>
      <c r="F11" s="11"/>
      <c r="G11" s="11"/>
      <c r="H11" s="11"/>
      <c r="I11" s="18"/>
    </row>
    <row r="12" spans="1:9" ht="100.8" x14ac:dyDescent="0.3">
      <c r="A12" s="205" t="s">
        <v>298</v>
      </c>
      <c r="B12" s="200" t="s">
        <v>299</v>
      </c>
      <c r="C12" s="200" t="s">
        <v>300</v>
      </c>
      <c r="D12" s="198"/>
      <c r="E12" s="198"/>
      <c r="F12" s="198">
        <v>500000</v>
      </c>
      <c r="G12" s="198"/>
      <c r="H12" s="198"/>
      <c r="I12" s="199">
        <f t="shared" ref="I12:I22" si="2">SUM(D12:H12)</f>
        <v>500000</v>
      </c>
    </row>
    <row r="13" spans="1:9" ht="72" x14ac:dyDescent="0.3">
      <c r="A13" s="486" t="s">
        <v>301</v>
      </c>
      <c r="B13" s="206" t="s">
        <v>302</v>
      </c>
      <c r="C13" s="200" t="s">
        <v>303</v>
      </c>
      <c r="D13" s="198">
        <v>50000</v>
      </c>
      <c r="E13" s="198"/>
      <c r="F13" s="198"/>
      <c r="G13" s="198"/>
      <c r="H13" s="198"/>
      <c r="I13" s="199">
        <f t="shared" si="2"/>
        <v>50000</v>
      </c>
    </row>
    <row r="14" spans="1:9" ht="57.6" x14ac:dyDescent="0.3">
      <c r="A14" s="486"/>
      <c r="B14" s="206" t="s">
        <v>304</v>
      </c>
      <c r="C14" s="200" t="s">
        <v>305</v>
      </c>
      <c r="D14" s="198">
        <v>50000</v>
      </c>
      <c r="E14" s="198"/>
      <c r="F14" s="198"/>
      <c r="G14" s="198"/>
      <c r="H14" s="198"/>
      <c r="I14" s="199">
        <f t="shared" si="2"/>
        <v>50000</v>
      </c>
    </row>
    <row r="15" spans="1:9" ht="57.6" x14ac:dyDescent="0.3">
      <c r="A15" s="486"/>
      <c r="B15" s="206" t="s">
        <v>306</v>
      </c>
      <c r="C15" s="200" t="s">
        <v>307</v>
      </c>
      <c r="D15" s="12"/>
      <c r="E15" s="198">
        <v>300000</v>
      </c>
      <c r="F15" s="198"/>
      <c r="G15" s="198"/>
      <c r="H15" s="198"/>
      <c r="I15" s="199">
        <f t="shared" si="2"/>
        <v>300000</v>
      </c>
    </row>
    <row r="16" spans="1:9" ht="28.8" x14ac:dyDescent="0.3">
      <c r="A16" s="479" t="s">
        <v>308</v>
      </c>
      <c r="B16" s="200" t="s">
        <v>309</v>
      </c>
      <c r="C16" s="200" t="s">
        <v>310</v>
      </c>
      <c r="D16" s="198"/>
      <c r="E16" s="198"/>
      <c r="F16" s="198"/>
      <c r="G16" s="198">
        <v>400000</v>
      </c>
      <c r="H16" s="198"/>
      <c r="I16" s="199">
        <f t="shared" si="2"/>
        <v>400000</v>
      </c>
    </row>
    <row r="17" spans="1:9" ht="86.4" x14ac:dyDescent="0.3">
      <c r="A17" s="479"/>
      <c r="B17" s="200" t="s">
        <v>311</v>
      </c>
      <c r="C17" s="200" t="s">
        <v>312</v>
      </c>
      <c r="D17" s="12"/>
      <c r="E17" s="198">
        <v>1000000</v>
      </c>
      <c r="F17" s="198"/>
      <c r="G17" s="198"/>
      <c r="H17" s="198"/>
      <c r="I17" s="199">
        <f t="shared" si="2"/>
        <v>1000000</v>
      </c>
    </row>
    <row r="18" spans="1:9" ht="57.6" x14ac:dyDescent="0.3">
      <c r="A18" s="479"/>
      <c r="B18" s="200" t="s">
        <v>313</v>
      </c>
      <c r="C18" s="200" t="s">
        <v>314</v>
      </c>
      <c r="D18" s="198"/>
      <c r="E18" s="198"/>
      <c r="F18" s="198">
        <v>300000</v>
      </c>
      <c r="G18" s="198"/>
      <c r="H18" s="198"/>
      <c r="I18" s="199">
        <f t="shared" si="2"/>
        <v>300000</v>
      </c>
    </row>
    <row r="19" spans="1:9" ht="28.8" x14ac:dyDescent="0.3">
      <c r="A19" s="479"/>
      <c r="B19" s="200" t="s">
        <v>315</v>
      </c>
      <c r="C19" s="200" t="s">
        <v>316</v>
      </c>
      <c r="D19" s="198"/>
      <c r="E19" s="198"/>
      <c r="F19" s="198"/>
      <c r="G19" s="198">
        <v>130000</v>
      </c>
      <c r="H19" s="198"/>
      <c r="I19" s="199">
        <f t="shared" si="2"/>
        <v>130000</v>
      </c>
    </row>
    <row r="20" spans="1:9" ht="28.8" x14ac:dyDescent="0.3">
      <c r="A20" s="479"/>
      <c r="B20" s="200" t="s">
        <v>317</v>
      </c>
      <c r="C20" s="200" t="s">
        <v>318</v>
      </c>
      <c r="D20" s="198"/>
      <c r="E20" s="198"/>
      <c r="F20" s="198"/>
      <c r="G20" s="198">
        <v>60000</v>
      </c>
      <c r="H20" s="198"/>
      <c r="I20" s="199">
        <f t="shared" si="2"/>
        <v>60000</v>
      </c>
    </row>
    <row r="21" spans="1:9" ht="115.2" x14ac:dyDescent="0.3">
      <c r="A21" s="479" t="s">
        <v>319</v>
      </c>
      <c r="B21" s="200" t="s">
        <v>320</v>
      </c>
      <c r="C21" s="200" t="s">
        <v>321</v>
      </c>
      <c r="D21" s="198"/>
      <c r="E21" s="198"/>
      <c r="F21" s="198"/>
      <c r="G21" s="198">
        <v>20000</v>
      </c>
      <c r="H21" s="198"/>
      <c r="I21" s="199">
        <f t="shared" si="2"/>
        <v>20000</v>
      </c>
    </row>
    <row r="22" spans="1:9" ht="72" x14ac:dyDescent="0.3">
      <c r="A22" s="479"/>
      <c r="B22" s="200" t="s">
        <v>322</v>
      </c>
      <c r="C22" s="200" t="s">
        <v>323</v>
      </c>
      <c r="D22" s="198"/>
      <c r="E22" s="198"/>
      <c r="F22" s="198">
        <v>1000000</v>
      </c>
      <c r="G22" s="198"/>
      <c r="H22" s="198"/>
      <c r="I22" s="199">
        <f t="shared" si="2"/>
        <v>1000000</v>
      </c>
    </row>
    <row r="23" spans="1:9" x14ac:dyDescent="0.3">
      <c r="A23" s="19" t="s">
        <v>11</v>
      </c>
      <c r="B23" s="20"/>
      <c r="C23" s="20"/>
      <c r="D23" s="21">
        <f t="shared" ref="D23:I23" si="3">SUM(D12:D22)</f>
        <v>100000</v>
      </c>
      <c r="E23" s="21">
        <f t="shared" si="3"/>
        <v>1300000</v>
      </c>
      <c r="F23" s="21">
        <f t="shared" si="3"/>
        <v>1800000</v>
      </c>
      <c r="G23" s="21">
        <f t="shared" si="3"/>
        <v>610000</v>
      </c>
      <c r="H23" s="21">
        <f t="shared" si="3"/>
        <v>0</v>
      </c>
      <c r="I23" s="21">
        <f t="shared" si="3"/>
        <v>3810000</v>
      </c>
    </row>
    <row r="24" spans="1:9" ht="14.4" x14ac:dyDescent="0.3">
      <c r="A24" s="480" t="s">
        <v>324</v>
      </c>
      <c r="B24" s="481"/>
      <c r="C24" s="481"/>
      <c r="D24" s="482"/>
      <c r="E24" s="195"/>
      <c r="F24" s="195"/>
      <c r="G24" s="195"/>
      <c r="H24" s="195"/>
      <c r="I24" s="196"/>
    </row>
    <row r="25" spans="1:9" ht="43.2" x14ac:dyDescent="0.3">
      <c r="A25" s="207" t="s">
        <v>325</v>
      </c>
      <c r="B25" s="208" t="s">
        <v>326</v>
      </c>
      <c r="C25" s="208" t="s">
        <v>327</v>
      </c>
      <c r="D25" s="209">
        <v>25000</v>
      </c>
      <c r="E25" s="209"/>
      <c r="F25" s="209"/>
      <c r="G25" s="209"/>
      <c r="H25" s="209"/>
      <c r="I25" s="210"/>
    </row>
    <row r="26" spans="1:9" ht="57.6" x14ac:dyDescent="0.3">
      <c r="A26" s="478" t="s">
        <v>328</v>
      </c>
      <c r="B26" s="200" t="s">
        <v>329</v>
      </c>
      <c r="C26" s="200" t="s">
        <v>330</v>
      </c>
      <c r="D26" s="198"/>
      <c r="E26" s="198"/>
      <c r="F26" s="198">
        <v>250000</v>
      </c>
      <c r="G26" s="198"/>
      <c r="H26" s="198"/>
      <c r="I26" s="199">
        <f t="shared" ref="I26:I37" si="4">SUM(D26:H26)</f>
        <v>250000</v>
      </c>
    </row>
    <row r="27" spans="1:9" ht="72" x14ac:dyDescent="0.3">
      <c r="A27" s="479"/>
      <c r="B27" s="200" t="s">
        <v>331</v>
      </c>
      <c r="C27" s="200" t="s">
        <v>332</v>
      </c>
      <c r="D27" s="198">
        <v>30000</v>
      </c>
      <c r="E27" s="198"/>
      <c r="F27" s="198"/>
      <c r="G27" s="198"/>
      <c r="H27" s="198"/>
      <c r="I27" s="199">
        <f t="shared" si="4"/>
        <v>30000</v>
      </c>
    </row>
    <row r="28" spans="1:9" ht="72" x14ac:dyDescent="0.3">
      <c r="A28" s="211" t="s">
        <v>333</v>
      </c>
      <c r="B28" s="200" t="s">
        <v>334</v>
      </c>
      <c r="C28" s="200" t="s">
        <v>335</v>
      </c>
      <c r="D28" s="198"/>
      <c r="E28" s="198"/>
      <c r="F28" s="198"/>
      <c r="G28" s="198">
        <v>60000</v>
      </c>
      <c r="H28" s="198"/>
      <c r="I28" s="199">
        <f t="shared" si="4"/>
        <v>60000</v>
      </c>
    </row>
    <row r="29" spans="1:9" ht="72" x14ac:dyDescent="0.3">
      <c r="A29" s="478" t="s">
        <v>336</v>
      </c>
      <c r="B29" s="200" t="s">
        <v>337</v>
      </c>
      <c r="C29" s="200" t="s">
        <v>338</v>
      </c>
      <c r="D29" s="198">
        <v>60000</v>
      </c>
      <c r="E29" s="198"/>
      <c r="F29" s="198"/>
      <c r="G29" s="198"/>
      <c r="H29" s="198"/>
      <c r="I29" s="199">
        <f t="shared" si="4"/>
        <v>60000</v>
      </c>
    </row>
    <row r="30" spans="1:9" ht="86.4" x14ac:dyDescent="0.3">
      <c r="A30" s="479"/>
      <c r="B30" s="200" t="s">
        <v>339</v>
      </c>
      <c r="C30" s="200" t="s">
        <v>340</v>
      </c>
      <c r="D30" s="198">
        <v>60000</v>
      </c>
      <c r="E30" s="198"/>
      <c r="F30" s="198"/>
      <c r="G30" s="198"/>
      <c r="H30" s="198"/>
      <c r="I30" s="199">
        <f t="shared" si="4"/>
        <v>60000</v>
      </c>
    </row>
    <row r="31" spans="1:9" ht="43.2" x14ac:dyDescent="0.3">
      <c r="A31" s="479"/>
      <c r="B31" s="200" t="s">
        <v>341</v>
      </c>
      <c r="C31" s="200" t="s">
        <v>342</v>
      </c>
      <c r="D31" s="198"/>
      <c r="E31" s="198"/>
      <c r="F31" s="198">
        <v>800000</v>
      </c>
      <c r="G31" s="198"/>
      <c r="H31" s="198"/>
      <c r="I31" s="199">
        <f t="shared" si="4"/>
        <v>800000</v>
      </c>
    </row>
    <row r="32" spans="1:9" ht="57.6" x14ac:dyDescent="0.3">
      <c r="A32" s="479"/>
      <c r="B32" s="200" t="s">
        <v>343</v>
      </c>
      <c r="C32" s="200" t="s">
        <v>344</v>
      </c>
      <c r="D32" s="198"/>
      <c r="E32" s="198"/>
      <c r="F32" s="198">
        <v>1600000</v>
      </c>
      <c r="G32" s="198"/>
      <c r="H32" s="198"/>
      <c r="I32" s="199">
        <f t="shared" si="4"/>
        <v>1600000</v>
      </c>
    </row>
    <row r="33" spans="1:9" ht="100.8" x14ac:dyDescent="0.3">
      <c r="A33" s="479"/>
      <c r="B33" s="200" t="s">
        <v>345</v>
      </c>
      <c r="C33" s="200" t="s">
        <v>346</v>
      </c>
      <c r="D33" s="198"/>
      <c r="E33" s="198"/>
      <c r="F33" s="198">
        <v>8000000</v>
      </c>
      <c r="G33" s="198"/>
      <c r="H33" s="198"/>
      <c r="I33" s="199">
        <f t="shared" si="4"/>
        <v>8000000</v>
      </c>
    </row>
    <row r="34" spans="1:9" ht="43.2" x14ac:dyDescent="0.3">
      <c r="A34" s="479"/>
      <c r="B34" s="200" t="s">
        <v>347</v>
      </c>
      <c r="C34" s="200" t="s">
        <v>348</v>
      </c>
      <c r="D34" s="198"/>
      <c r="E34" s="198"/>
      <c r="F34" s="198">
        <v>600000</v>
      </c>
      <c r="G34" s="198"/>
      <c r="H34" s="198"/>
      <c r="I34" s="199">
        <f t="shared" si="4"/>
        <v>600000</v>
      </c>
    </row>
    <row r="35" spans="1:9" ht="100.8" x14ac:dyDescent="0.3">
      <c r="A35" s="479"/>
      <c r="B35" s="200" t="s">
        <v>349</v>
      </c>
      <c r="C35" s="200" t="s">
        <v>350</v>
      </c>
      <c r="D35" s="198"/>
      <c r="E35" s="198"/>
      <c r="F35" s="198">
        <v>3750000</v>
      </c>
      <c r="G35" s="198"/>
      <c r="H35" s="198"/>
      <c r="I35" s="199">
        <f t="shared" si="4"/>
        <v>3750000</v>
      </c>
    </row>
    <row r="36" spans="1:9" ht="43.2" x14ac:dyDescent="0.3">
      <c r="A36" s="479"/>
      <c r="B36" s="200" t="s">
        <v>351</v>
      </c>
      <c r="C36" s="200" t="s">
        <v>352</v>
      </c>
      <c r="D36" s="198"/>
      <c r="E36" s="198"/>
      <c r="F36" s="198">
        <v>800000</v>
      </c>
      <c r="G36" s="198"/>
      <c r="H36" s="198"/>
      <c r="I36" s="199">
        <f t="shared" si="4"/>
        <v>800000</v>
      </c>
    </row>
    <row r="37" spans="1:9" ht="43.2" x14ac:dyDescent="0.3">
      <c r="A37" s="479"/>
      <c r="B37" s="200" t="s">
        <v>353</v>
      </c>
      <c r="C37" s="200" t="s">
        <v>354</v>
      </c>
      <c r="D37" s="198"/>
      <c r="E37" s="198"/>
      <c r="F37" s="198">
        <v>700000</v>
      </c>
      <c r="G37" s="198"/>
      <c r="H37" s="198"/>
      <c r="I37" s="199">
        <f t="shared" si="4"/>
        <v>700000</v>
      </c>
    </row>
    <row r="38" spans="1:9" ht="16.2" thickBot="1" x14ac:dyDescent="0.35">
      <c r="A38" s="202" t="s">
        <v>11</v>
      </c>
      <c r="B38" s="203"/>
      <c r="C38" s="203"/>
      <c r="D38" s="204">
        <f t="shared" ref="D38:I38" si="5">SUM(D25:D37)</f>
        <v>175000</v>
      </c>
      <c r="E38" s="204">
        <f t="shared" si="5"/>
        <v>0</v>
      </c>
      <c r="F38" s="204">
        <f t="shared" si="5"/>
        <v>16500000</v>
      </c>
      <c r="G38" s="204">
        <f t="shared" si="5"/>
        <v>60000</v>
      </c>
      <c r="H38" s="204">
        <f t="shared" si="5"/>
        <v>0</v>
      </c>
      <c r="I38" s="204">
        <f t="shared" si="5"/>
        <v>16710000</v>
      </c>
    </row>
    <row r="39" spans="1:9" ht="15" thickTop="1" x14ac:dyDescent="0.3">
      <c r="A39" s="483" t="s">
        <v>355</v>
      </c>
      <c r="B39" s="484"/>
      <c r="C39" s="484"/>
      <c r="D39" s="485"/>
      <c r="E39" s="11"/>
      <c r="F39" s="11"/>
      <c r="G39" s="11"/>
      <c r="H39" s="11"/>
      <c r="I39" s="18"/>
    </row>
    <row r="40" spans="1:9" ht="43.2" x14ac:dyDescent="0.3">
      <c r="A40" s="478" t="s">
        <v>356</v>
      </c>
      <c r="B40" s="200" t="s">
        <v>357</v>
      </c>
      <c r="C40" s="200" t="s">
        <v>358</v>
      </c>
      <c r="D40" s="198"/>
      <c r="E40" s="198"/>
      <c r="F40" s="198"/>
      <c r="G40" s="198">
        <v>50000</v>
      </c>
      <c r="H40" s="198"/>
      <c r="I40" s="199">
        <f>SUM(D40:H40)</f>
        <v>50000</v>
      </c>
    </row>
    <row r="41" spans="1:9" ht="57.6" x14ac:dyDescent="0.3">
      <c r="A41" s="479"/>
      <c r="B41" s="200" t="s">
        <v>359</v>
      </c>
      <c r="C41" s="200" t="s">
        <v>360</v>
      </c>
      <c r="D41" s="198">
        <v>100000</v>
      </c>
      <c r="E41" s="198"/>
      <c r="F41" s="198"/>
      <c r="G41" s="198"/>
      <c r="H41" s="198"/>
      <c r="I41" s="199">
        <f>SUM(D41:H41)</f>
        <v>100000</v>
      </c>
    </row>
    <row r="42" spans="1:9" ht="43.2" x14ac:dyDescent="0.3">
      <c r="A42" s="211" t="s">
        <v>361</v>
      </c>
      <c r="B42" s="200" t="s">
        <v>362</v>
      </c>
      <c r="C42" s="200" t="s">
        <v>363</v>
      </c>
      <c r="D42" s="12"/>
      <c r="E42" s="198">
        <v>150000</v>
      </c>
      <c r="F42" s="198"/>
      <c r="G42" s="198"/>
      <c r="H42" s="198"/>
      <c r="I42" s="199">
        <f>SUM(D42:H42)</f>
        <v>150000</v>
      </c>
    </row>
    <row r="43" spans="1:9" ht="16.2" thickBot="1" x14ac:dyDescent="0.35">
      <c r="A43" s="22" t="s">
        <v>11</v>
      </c>
      <c r="B43" s="23"/>
      <c r="C43" s="212"/>
      <c r="D43" s="24">
        <f t="shared" ref="D43:I43" si="6">SUM(D40:D42)</f>
        <v>100000</v>
      </c>
      <c r="E43" s="24">
        <f t="shared" si="6"/>
        <v>150000</v>
      </c>
      <c r="F43" s="24">
        <f t="shared" si="6"/>
        <v>0</v>
      </c>
      <c r="G43" s="24">
        <f t="shared" si="6"/>
        <v>50000</v>
      </c>
      <c r="H43" s="24">
        <f t="shared" si="6"/>
        <v>0</v>
      </c>
      <c r="I43" s="24">
        <f t="shared" si="6"/>
        <v>300000</v>
      </c>
    </row>
    <row r="44" spans="1:9" thickTop="1" thickBot="1" x14ac:dyDescent="0.35">
      <c r="A44" s="25" t="s">
        <v>159</v>
      </c>
      <c r="B44" s="26"/>
      <c r="C44" s="27"/>
      <c r="D44" s="28">
        <f t="shared" ref="D44:I44" si="7">D43+D38+D23+D10</f>
        <v>625000</v>
      </c>
      <c r="E44" s="28">
        <f t="shared" si="7"/>
        <v>1450000</v>
      </c>
      <c r="F44" s="28">
        <f t="shared" si="7"/>
        <v>19000000</v>
      </c>
      <c r="G44" s="28">
        <f t="shared" si="7"/>
        <v>720000</v>
      </c>
      <c r="H44" s="28">
        <f t="shared" si="7"/>
        <v>0</v>
      </c>
      <c r="I44" s="28">
        <f t="shared" si="7"/>
        <v>21770000</v>
      </c>
    </row>
    <row r="45" spans="1:9" ht="16.2" thickTop="1" x14ac:dyDescent="0.3">
      <c r="I45" s="17">
        <v>500000</v>
      </c>
    </row>
  </sheetData>
  <mergeCells count="12">
    <mergeCell ref="A40:A41"/>
    <mergeCell ref="A3:D3"/>
    <mergeCell ref="A4:A5"/>
    <mergeCell ref="A6:A9"/>
    <mergeCell ref="A11:D11"/>
    <mergeCell ref="A13:A15"/>
    <mergeCell ref="A16:A20"/>
    <mergeCell ref="A21:A22"/>
    <mergeCell ref="A24:D24"/>
    <mergeCell ref="A26:A27"/>
    <mergeCell ref="A29:A37"/>
    <mergeCell ref="A39:D3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8"/>
  <sheetViews>
    <sheetView tabSelected="1" zoomScale="70" zoomScaleNormal="70" workbookViewId="0">
      <selection activeCell="F36" sqref="F36"/>
    </sheetView>
  </sheetViews>
  <sheetFormatPr defaultColWidth="8.69921875" defaultRowHeight="14.4" x14ac:dyDescent="0.3"/>
  <cols>
    <col min="1" max="1" width="31.69921875" style="300" customWidth="1"/>
    <col min="2" max="2" width="31.19921875" style="300" customWidth="1"/>
    <col min="3" max="3" width="13.5" style="300" customWidth="1"/>
    <col min="4" max="4" width="13.8984375" style="300" customWidth="1"/>
    <col min="5" max="5" width="11.09765625" style="300" customWidth="1"/>
    <col min="6" max="6" width="25.3984375" style="300" customWidth="1"/>
    <col min="7" max="7" width="7.296875" style="339" customWidth="1"/>
    <col min="8" max="8" width="8.69921875" style="300"/>
    <col min="9" max="9" width="10.59765625" style="300" customWidth="1"/>
    <col min="10" max="10" width="8.69921875" style="300"/>
    <col min="11" max="12" width="10.19921875" style="351" bestFit="1" customWidth="1"/>
    <col min="13" max="16384" width="8.69921875" style="300"/>
  </cols>
  <sheetData>
    <row r="1" spans="1:12" x14ac:dyDescent="0.3">
      <c r="A1" s="298" t="s">
        <v>367</v>
      </c>
      <c r="B1" s="298"/>
      <c r="C1" s="298"/>
      <c r="D1" s="298"/>
      <c r="E1" s="298"/>
      <c r="F1" s="298"/>
      <c r="G1" s="299"/>
    </row>
    <row r="3" spans="1:12" x14ac:dyDescent="0.3">
      <c r="A3" s="487" t="s">
        <v>1</v>
      </c>
      <c r="B3" s="493" t="s">
        <v>368</v>
      </c>
      <c r="C3" s="493"/>
      <c r="D3" s="493"/>
      <c r="E3" s="494"/>
      <c r="F3" s="494">
        <f>SUM(F8:F35)</f>
        <v>2402490</v>
      </c>
      <c r="G3" s="487" t="s">
        <v>369</v>
      </c>
    </row>
    <row r="4" spans="1:12" x14ac:dyDescent="0.3">
      <c r="A4" s="487"/>
      <c r="B4" s="493"/>
      <c r="C4" s="493"/>
      <c r="D4" s="493"/>
      <c r="E4" s="494"/>
      <c r="F4" s="494"/>
      <c r="G4" s="487"/>
    </row>
    <row r="5" spans="1:12" x14ac:dyDescent="0.3">
      <c r="A5" s="487"/>
      <c r="B5" s="301" t="s">
        <v>7</v>
      </c>
      <c r="C5" s="302" t="s">
        <v>8</v>
      </c>
      <c r="D5" s="302" t="s">
        <v>9</v>
      </c>
      <c r="E5" s="302" t="s">
        <v>10</v>
      </c>
      <c r="F5" s="301" t="s">
        <v>11</v>
      </c>
      <c r="G5" s="487"/>
    </row>
    <row r="6" spans="1:12" ht="14.4" customHeight="1" x14ac:dyDescent="0.3">
      <c r="A6" s="488" t="s">
        <v>370</v>
      </c>
      <c r="B6" s="488"/>
      <c r="C6" s="488"/>
      <c r="D6" s="488"/>
      <c r="E6" s="488"/>
      <c r="F6" s="488"/>
      <c r="G6" s="488"/>
    </row>
    <row r="7" spans="1:12" x14ac:dyDescent="0.3">
      <c r="A7" s="303" t="s">
        <v>17</v>
      </c>
      <c r="B7" s="304"/>
      <c r="C7" s="304"/>
      <c r="D7" s="304"/>
      <c r="E7" s="304"/>
      <c r="F7" s="305" t="s">
        <v>18</v>
      </c>
      <c r="G7" s="306" t="s">
        <v>18</v>
      </c>
    </row>
    <row r="8" spans="1:12" s="313" customFormat="1" ht="86.4" x14ac:dyDescent="0.3">
      <c r="A8" s="307" t="s">
        <v>19</v>
      </c>
      <c r="B8" s="308" t="s">
        <v>20</v>
      </c>
      <c r="C8" s="309">
        <v>16500</v>
      </c>
      <c r="D8" s="310">
        <v>4</v>
      </c>
      <c r="E8" s="310">
        <v>1</v>
      </c>
      <c r="F8" s="311">
        <f>C8*D8</f>
        <v>66000</v>
      </c>
      <c r="G8" s="312" t="s">
        <v>371</v>
      </c>
      <c r="K8" s="352"/>
      <c r="L8" s="352"/>
    </row>
    <row r="9" spans="1:12" s="313" customFormat="1" ht="28.8" x14ac:dyDescent="0.3">
      <c r="A9" s="307" t="s">
        <v>19</v>
      </c>
      <c r="B9" s="307" t="s">
        <v>21</v>
      </c>
      <c r="C9" s="314">
        <v>20350</v>
      </c>
      <c r="D9" s="314">
        <v>4</v>
      </c>
      <c r="E9" s="314">
        <v>2</v>
      </c>
      <c r="F9" s="315">
        <f>+E9*D9*C9</f>
        <v>162800</v>
      </c>
      <c r="G9" s="316" t="s">
        <v>371</v>
      </c>
      <c r="K9" s="352"/>
      <c r="L9" s="352"/>
    </row>
    <row r="10" spans="1:12" s="313" customFormat="1" ht="35.549999999999997" customHeight="1" x14ac:dyDescent="0.3">
      <c r="A10" s="489" t="s">
        <v>29</v>
      </c>
      <c r="B10" s="317" t="s">
        <v>372</v>
      </c>
      <c r="C10" s="318"/>
      <c r="D10" s="318"/>
      <c r="E10" s="318"/>
      <c r="F10" s="315">
        <f>215000</f>
        <v>215000</v>
      </c>
      <c r="G10" s="312" t="s">
        <v>371</v>
      </c>
      <c r="H10" s="313" t="s">
        <v>18</v>
      </c>
      <c r="K10" s="352"/>
      <c r="L10" s="352"/>
    </row>
    <row r="11" spans="1:12" s="313" customFormat="1" ht="35.549999999999997" customHeight="1" x14ac:dyDescent="0.3">
      <c r="A11" s="489"/>
      <c r="B11" s="320" t="s">
        <v>373</v>
      </c>
      <c r="C11" s="309">
        <v>3300</v>
      </c>
      <c r="D11" s="310">
        <v>3</v>
      </c>
      <c r="E11" s="310">
        <v>4</v>
      </c>
      <c r="F11" s="319">
        <f>+C11*D11*E11</f>
        <v>39600</v>
      </c>
      <c r="G11" s="312" t="s">
        <v>374</v>
      </c>
      <c r="K11" s="352"/>
      <c r="L11" s="352"/>
    </row>
    <row r="12" spans="1:12" s="313" customFormat="1" ht="35.549999999999997" customHeight="1" x14ac:dyDescent="0.3">
      <c r="A12" s="489"/>
      <c r="B12" s="317" t="s">
        <v>375</v>
      </c>
      <c r="C12" s="309">
        <v>2990</v>
      </c>
      <c r="D12" s="318"/>
      <c r="E12" s="310">
        <v>15</v>
      </c>
      <c r="F12" s="319">
        <f>C12*E12</f>
        <v>44850</v>
      </c>
      <c r="G12" s="312" t="s">
        <v>376</v>
      </c>
      <c r="K12" s="352"/>
      <c r="L12" s="352"/>
    </row>
    <row r="13" spans="1:12" x14ac:dyDescent="0.3">
      <c r="A13" s="303" t="s">
        <v>30</v>
      </c>
      <c r="B13" s="304"/>
      <c r="C13" s="304"/>
      <c r="D13" s="304"/>
      <c r="E13" s="304"/>
      <c r="F13" s="321" t="s">
        <v>18</v>
      </c>
      <c r="G13" s="322"/>
      <c r="H13" s="300" t="s">
        <v>18</v>
      </c>
    </row>
    <row r="14" spans="1:12" ht="57.6" x14ac:dyDescent="0.3">
      <c r="A14" s="307" t="s">
        <v>377</v>
      </c>
      <c r="B14" s="307" t="s">
        <v>32</v>
      </c>
      <c r="C14" s="314">
        <v>16500</v>
      </c>
      <c r="D14" s="314">
        <v>3</v>
      </c>
      <c r="E14" s="314">
        <v>1</v>
      </c>
      <c r="F14" s="315">
        <f>C14*D14*E14</f>
        <v>49500</v>
      </c>
      <c r="G14" s="323" t="s">
        <v>374</v>
      </c>
      <c r="H14" s="300" t="s">
        <v>18</v>
      </c>
    </row>
    <row r="15" spans="1:12" s="324" customFormat="1" ht="43.2" x14ac:dyDescent="0.3">
      <c r="A15" s="307" t="s">
        <v>378</v>
      </c>
      <c r="B15" s="307" t="s">
        <v>37</v>
      </c>
      <c r="C15" s="314">
        <v>16500</v>
      </c>
      <c r="D15" s="314">
        <v>2</v>
      </c>
      <c r="E15" s="314">
        <v>1</v>
      </c>
      <c r="F15" s="315">
        <f>C15*D15*E15</f>
        <v>33000</v>
      </c>
      <c r="G15" s="323" t="s">
        <v>379</v>
      </c>
      <c r="K15" s="353"/>
      <c r="L15" s="353"/>
    </row>
    <row r="16" spans="1:12" s="324" customFormat="1" ht="43.2" x14ac:dyDescent="0.3">
      <c r="A16" s="307" t="s">
        <v>380</v>
      </c>
      <c r="B16" s="307" t="s">
        <v>42</v>
      </c>
      <c r="C16" s="314">
        <v>16500</v>
      </c>
      <c r="D16" s="314">
        <v>6</v>
      </c>
      <c r="E16" s="314">
        <v>1</v>
      </c>
      <c r="F16" s="315">
        <f>C16*D16*E16</f>
        <v>99000</v>
      </c>
      <c r="G16" s="323" t="s">
        <v>371</v>
      </c>
      <c r="K16" s="353"/>
      <c r="L16" s="353"/>
    </row>
    <row r="17" spans="1:12" s="324" customFormat="1" ht="72" x14ac:dyDescent="0.3">
      <c r="A17" s="490" t="s">
        <v>381</v>
      </c>
      <c r="B17" s="307" t="s">
        <v>46</v>
      </c>
      <c r="C17" s="314">
        <v>3080</v>
      </c>
      <c r="D17" s="314">
        <v>3</v>
      </c>
      <c r="E17" s="314">
        <v>1</v>
      </c>
      <c r="F17" s="315">
        <f>C17*D17*E17</f>
        <v>9240</v>
      </c>
      <c r="G17" s="323" t="s">
        <v>376</v>
      </c>
      <c r="K17" s="353"/>
      <c r="L17" s="353"/>
    </row>
    <row r="18" spans="1:12" s="324" customFormat="1" x14ac:dyDescent="0.3">
      <c r="A18" s="490"/>
      <c r="B18" s="307" t="s">
        <v>382</v>
      </c>
      <c r="C18" s="314"/>
      <c r="D18" s="314"/>
      <c r="E18" s="314"/>
      <c r="F18" s="315">
        <v>37000</v>
      </c>
      <c r="G18" s="323"/>
      <c r="K18" s="353"/>
      <c r="L18" s="353"/>
    </row>
    <row r="19" spans="1:12" s="324" customFormat="1" x14ac:dyDescent="0.3">
      <c r="A19" s="490"/>
      <c r="B19" s="307" t="s">
        <v>383</v>
      </c>
      <c r="C19" s="325">
        <v>0.25</v>
      </c>
      <c r="D19" s="314"/>
      <c r="E19" s="314">
        <v>250000</v>
      </c>
      <c r="F19" s="315">
        <f>C19*E19</f>
        <v>62500</v>
      </c>
      <c r="G19" s="323"/>
      <c r="K19" s="353"/>
      <c r="L19" s="353"/>
    </row>
    <row r="20" spans="1:12" s="324" customFormat="1" ht="43.2" x14ac:dyDescent="0.3">
      <c r="A20" s="490"/>
      <c r="B20" s="307" t="s">
        <v>384</v>
      </c>
      <c r="C20" s="314">
        <v>16500</v>
      </c>
      <c r="D20" s="314">
        <v>2</v>
      </c>
      <c r="E20" s="314">
        <v>1</v>
      </c>
      <c r="F20" s="315">
        <f>C20*D20*E20</f>
        <v>33000</v>
      </c>
      <c r="G20" s="323" t="s">
        <v>379</v>
      </c>
      <c r="K20" s="353"/>
      <c r="L20" s="353"/>
    </row>
    <row r="21" spans="1:12" ht="72" x14ac:dyDescent="0.3">
      <c r="A21" s="326" t="s">
        <v>385</v>
      </c>
      <c r="B21" s="326" t="s">
        <v>49</v>
      </c>
      <c r="C21" s="314">
        <v>16500</v>
      </c>
      <c r="D21" s="314">
        <v>4</v>
      </c>
      <c r="E21" s="314">
        <v>1</v>
      </c>
      <c r="F21" s="315">
        <f>C21*D21*E21</f>
        <v>66000</v>
      </c>
      <c r="G21" s="327" t="s">
        <v>376</v>
      </c>
    </row>
    <row r="22" spans="1:12" ht="43.2" x14ac:dyDescent="0.3">
      <c r="A22" s="326" t="s">
        <v>385</v>
      </c>
      <c r="B22" s="307" t="s">
        <v>51</v>
      </c>
      <c r="C22" s="314">
        <v>525000</v>
      </c>
      <c r="D22" s="314">
        <v>1</v>
      </c>
      <c r="E22" s="315">
        <v>1</v>
      </c>
      <c r="F22" s="315">
        <f>+E22*D22*C22</f>
        <v>525000</v>
      </c>
      <c r="G22" s="323" t="s">
        <v>371</v>
      </c>
    </row>
    <row r="23" spans="1:12" ht="24" customHeight="1" x14ac:dyDescent="0.3">
      <c r="A23" s="328" t="s">
        <v>52</v>
      </c>
      <c r="B23" s="328"/>
      <c r="C23" s="328"/>
      <c r="D23" s="328"/>
      <c r="E23" s="328"/>
      <c r="F23" s="329" t="s">
        <v>18</v>
      </c>
      <c r="G23" s="330"/>
    </row>
    <row r="24" spans="1:12" ht="44.4" customHeight="1" x14ac:dyDescent="0.3">
      <c r="A24" s="307" t="s">
        <v>386</v>
      </c>
      <c r="B24" s="326" t="s">
        <v>387</v>
      </c>
      <c r="C24" s="331">
        <v>50000</v>
      </c>
      <c r="D24" s="331">
        <v>1</v>
      </c>
      <c r="E24" s="331">
        <v>1</v>
      </c>
      <c r="F24" s="332">
        <v>50000</v>
      </c>
      <c r="G24" s="323" t="s">
        <v>374</v>
      </c>
    </row>
    <row r="25" spans="1:12" s="313" customFormat="1" ht="28.8" x14ac:dyDescent="0.3">
      <c r="A25" s="307" t="s">
        <v>388</v>
      </c>
      <c r="B25" s="326" t="s">
        <v>389</v>
      </c>
      <c r="C25" s="331">
        <v>250000</v>
      </c>
      <c r="D25" s="331">
        <v>1</v>
      </c>
      <c r="E25" s="331">
        <v>1</v>
      </c>
      <c r="F25" s="332">
        <f>C25*D25*E25</f>
        <v>250000</v>
      </c>
      <c r="G25" s="323" t="s">
        <v>376</v>
      </c>
      <c r="K25" s="352"/>
      <c r="L25" s="352"/>
    </row>
    <row r="26" spans="1:12" s="313" customFormat="1" ht="43.2" x14ac:dyDescent="0.3">
      <c r="A26" s="307" t="s">
        <v>388</v>
      </c>
      <c r="B26" s="326" t="s">
        <v>390</v>
      </c>
      <c r="C26" s="331">
        <v>30000</v>
      </c>
      <c r="D26" s="331"/>
      <c r="E26" s="331"/>
      <c r="F26" s="332">
        <v>30000</v>
      </c>
      <c r="G26" s="323"/>
      <c r="K26" s="352"/>
      <c r="L26" s="352"/>
    </row>
    <row r="27" spans="1:12" s="313" customFormat="1" ht="28.8" x14ac:dyDescent="0.3">
      <c r="A27" s="307" t="s">
        <v>391</v>
      </c>
      <c r="B27" s="326" t="s">
        <v>392</v>
      </c>
      <c r="C27" s="331">
        <v>200000</v>
      </c>
      <c r="D27" s="331">
        <v>1</v>
      </c>
      <c r="E27" s="333">
        <v>0.4</v>
      </c>
      <c r="F27" s="332">
        <f>75000</f>
        <v>75000</v>
      </c>
      <c r="G27" s="323" t="s">
        <v>374</v>
      </c>
      <c r="K27" s="352"/>
      <c r="L27" s="352"/>
    </row>
    <row r="28" spans="1:12" s="313" customFormat="1" ht="28.8" x14ac:dyDescent="0.3">
      <c r="A28" s="307" t="s">
        <v>393</v>
      </c>
      <c r="B28" s="326" t="s">
        <v>394</v>
      </c>
      <c r="C28" s="331">
        <v>50000</v>
      </c>
      <c r="D28" s="331">
        <v>1</v>
      </c>
      <c r="E28" s="331">
        <v>1</v>
      </c>
      <c r="F28" s="315">
        <f>C28*D28*E28</f>
        <v>50000</v>
      </c>
      <c r="G28" s="323" t="str">
        <f>+G27</f>
        <v>T3-T4</v>
      </c>
      <c r="K28" s="352"/>
      <c r="L28" s="352"/>
    </row>
    <row r="29" spans="1:12" s="313" customFormat="1" ht="28.8" x14ac:dyDescent="0.3">
      <c r="A29" s="307" t="s">
        <v>393</v>
      </c>
      <c r="B29" s="326" t="s">
        <v>395</v>
      </c>
      <c r="C29" s="331">
        <v>50000</v>
      </c>
      <c r="D29" s="331">
        <v>1</v>
      </c>
      <c r="E29" s="331">
        <v>1</v>
      </c>
      <c r="F29" s="315">
        <f>C29*D29*E29</f>
        <v>50000</v>
      </c>
      <c r="G29" s="323" t="s">
        <v>371</v>
      </c>
      <c r="K29" s="352"/>
      <c r="L29" s="352"/>
    </row>
    <row r="30" spans="1:12" s="324" customFormat="1" ht="57.6" x14ac:dyDescent="0.3">
      <c r="A30" s="307" t="s">
        <v>396</v>
      </c>
      <c r="B30" s="307" t="s">
        <v>397</v>
      </c>
      <c r="C30" s="314">
        <v>100000</v>
      </c>
      <c r="D30" s="314">
        <v>1</v>
      </c>
      <c r="E30" s="314">
        <v>1</v>
      </c>
      <c r="F30" s="315">
        <f>C30*D30*E30</f>
        <v>100000</v>
      </c>
      <c r="G30" s="323" t="s">
        <v>376</v>
      </c>
      <c r="K30" s="353"/>
      <c r="L30" s="353"/>
    </row>
    <row r="31" spans="1:12" s="313" customFormat="1" ht="57.6" x14ac:dyDescent="0.3">
      <c r="A31" s="307" t="s">
        <v>396</v>
      </c>
      <c r="B31" s="326" t="s">
        <v>398</v>
      </c>
      <c r="C31" s="331">
        <v>20000</v>
      </c>
      <c r="D31" s="331">
        <v>1</v>
      </c>
      <c r="E31" s="331">
        <v>1</v>
      </c>
      <c r="F31" s="332">
        <f>C31*D31*E31</f>
        <v>20000</v>
      </c>
      <c r="G31" s="327" t="s">
        <v>399</v>
      </c>
      <c r="K31" s="352"/>
      <c r="L31" s="352"/>
    </row>
    <row r="32" spans="1:12" s="313" customFormat="1" ht="57.6" x14ac:dyDescent="0.3">
      <c r="A32" s="307" t="s">
        <v>400</v>
      </c>
      <c r="B32" s="326" t="s">
        <v>401</v>
      </c>
      <c r="C32" s="331">
        <v>250000</v>
      </c>
      <c r="D32" s="331">
        <v>1</v>
      </c>
      <c r="E32" s="331">
        <v>1</v>
      </c>
      <c r="F32" s="332">
        <v>200000</v>
      </c>
      <c r="G32" s="327" t="s">
        <v>399</v>
      </c>
      <c r="K32" s="352"/>
      <c r="L32" s="352"/>
    </row>
    <row r="33" spans="1:12" s="313" customFormat="1" ht="28.8" x14ac:dyDescent="0.3">
      <c r="A33" s="307" t="s">
        <v>402</v>
      </c>
      <c r="B33" s="326" t="s">
        <v>403</v>
      </c>
      <c r="C33" s="331">
        <v>30000</v>
      </c>
      <c r="D33" s="331">
        <v>1</v>
      </c>
      <c r="E33" s="331">
        <v>1</v>
      </c>
      <c r="F33" s="332">
        <f>C33*D33*E33</f>
        <v>30000</v>
      </c>
      <c r="G33" s="327" t="s">
        <v>404</v>
      </c>
      <c r="K33" s="352"/>
      <c r="L33" s="352"/>
    </row>
    <row r="34" spans="1:12" s="313" customFormat="1" ht="43.2" x14ac:dyDescent="0.3">
      <c r="A34" s="307" t="s">
        <v>402</v>
      </c>
      <c r="B34" s="326" t="s">
        <v>405</v>
      </c>
      <c r="C34" s="331">
        <v>400000</v>
      </c>
      <c r="D34" s="331">
        <v>1</v>
      </c>
      <c r="E34" s="334">
        <v>0.2</v>
      </c>
      <c r="F34" s="315">
        <f>C34*D34*E34</f>
        <v>80000</v>
      </c>
      <c r="G34" s="323" t="s">
        <v>399</v>
      </c>
      <c r="I34" s="313" t="s">
        <v>18</v>
      </c>
      <c r="K34" s="352"/>
      <c r="L34" s="352"/>
    </row>
    <row r="35" spans="1:12" s="313" customFormat="1" ht="28.8" x14ac:dyDescent="0.3">
      <c r="A35" s="307" t="s">
        <v>406</v>
      </c>
      <c r="B35" s="326" t="s">
        <v>407</v>
      </c>
      <c r="C35" s="331">
        <v>50000</v>
      </c>
      <c r="D35" s="331">
        <v>1</v>
      </c>
      <c r="E35" s="331">
        <v>0.5</v>
      </c>
      <c r="F35" s="315">
        <f>C35*D35*E35</f>
        <v>25000</v>
      </c>
      <c r="G35" s="323" t="s">
        <v>408</v>
      </c>
      <c r="K35" s="352"/>
      <c r="L35" s="352"/>
    </row>
    <row r="36" spans="1:12" x14ac:dyDescent="0.3">
      <c r="A36" s="491" t="s">
        <v>159</v>
      </c>
      <c r="B36" s="492"/>
      <c r="C36" s="335"/>
      <c r="D36" s="335"/>
      <c r="E36" s="335"/>
      <c r="F36" s="336">
        <f>SUM(F8:F35)</f>
        <v>2402490</v>
      </c>
      <c r="G36" s="337"/>
      <c r="I36" s="338" t="s">
        <v>18</v>
      </c>
    </row>
    <row r="37" spans="1:12" x14ac:dyDescent="0.3">
      <c r="F37" s="338" t="s">
        <v>18</v>
      </c>
    </row>
    <row r="38" spans="1:12" x14ac:dyDescent="0.3">
      <c r="F38" s="338" t="s">
        <v>18</v>
      </c>
    </row>
  </sheetData>
  <mergeCells count="9">
    <mergeCell ref="G3:G5"/>
    <mergeCell ref="A6:G6"/>
    <mergeCell ref="A10:A12"/>
    <mergeCell ref="A17:A20"/>
    <mergeCell ref="A36:B36"/>
    <mergeCell ref="A3:A5"/>
    <mergeCell ref="B3:D4"/>
    <mergeCell ref="E3:E4"/>
    <mergeCell ref="F3:F4"/>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1. Detailed Budget </vt:lpstr>
      <vt:lpstr>2. Pluriannual Plan PEP</vt:lpstr>
      <vt:lpstr>3. Procurement Plan - PA</vt:lpstr>
      <vt:lpstr>4. Sintetic - PA</vt:lpstr>
      <vt:lpstr>5. Budget by Components</vt:lpstr>
      <vt:lpstr>Prices</vt:lpstr>
      <vt:lpstr>PETI 2017-2020</vt:lpstr>
      <vt:lpstr>POA 2017</vt:lpstr>
      <vt:lpstr>'1. Detailed Budget '!Print_Area</vt:lpstr>
    </vt:vector>
  </TitlesOfParts>
  <Manager/>
  <Company>TotalCode Software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Reinoso</dc:creator>
  <cp:keywords/>
  <dc:description/>
  <cp:lastModifiedBy>Canillas Gomez, Mariana Belen</cp:lastModifiedBy>
  <cp:revision/>
  <dcterms:created xsi:type="dcterms:W3CDTF">2013-04-08T21:46:41Z</dcterms:created>
  <dcterms:modified xsi:type="dcterms:W3CDTF">2017-06-02T15:56:15Z</dcterms:modified>
  <cp:category/>
  <cp:contentStatus/>
</cp:coreProperties>
</file>