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A\2019\PROSAMIM III\PA Versão 18 - Em Elaboração\Enviar ao BID em 03.05.19\"/>
    </mc:Choice>
  </mc:AlternateContent>
  <bookViews>
    <workbookView xWindow="0" yWindow="0" windowWidth="28800" windowHeight="11940" tabRatio="721" firstSheet="5" activeTab="5"/>
  </bookViews>
  <sheets>
    <sheet name="Tabela de Comprometimento 29.09" sheetId="1" state="hidden" r:id="rId1"/>
    <sheet name="Matriz " sheetId="2" state="hidden" r:id="rId2"/>
    <sheet name="blabla" sheetId="3" state="hidden" r:id="rId3"/>
    <sheet name="Memo 11 Mil" sheetId="13" state="hidden" r:id="rId4"/>
    <sheet name="Plan1" sheetId="6" state="hidden" r:id="rId5"/>
    <sheet name="P-A x V18" sheetId="21" r:id="rId6"/>
    <sheet name="Folha de Comentários (18)" sheetId="28" r:id="rId7"/>
    <sheet name="Tabela de Comprometimento" sheetId="8" state="hidden" r:id="rId8"/>
    <sheet name="compara PI " sheetId="9" state="hidden" r:id="rId9"/>
    <sheet name="compara PII" sheetId="10" state="hidden" r:id="rId10"/>
    <sheet name="supervisão + gerenciam" sheetId="11" state="hidden" r:id="rId11"/>
    <sheet name="Memória" sheetId="12" state="hidden" r:id="rId12"/>
  </sheets>
  <externalReferences>
    <externalReference r:id="rId13"/>
  </externalReferences>
  <definedNames>
    <definedName name="_xlnm._FilterDatabase" localSheetId="5" hidden="1">'P-A x V18'!$A$12:$AD$12</definedName>
    <definedName name="_xlnm._FilterDatabase" localSheetId="7" hidden="1">'Tabela de Comprometimento'!$A$4:$AH$139</definedName>
    <definedName name="_xlnm._FilterDatabase" localSheetId="0" hidden="1">'Tabela de Comprometimento 29.09'!$A$5:$AL$146</definedName>
    <definedName name="_xlnm.Print_Area" localSheetId="2">blabla!$A$1:$AE$23</definedName>
    <definedName name="_xlnm.Print_Area" localSheetId="6">'Folha de Comentários (18)'!$A$1:$D$45</definedName>
    <definedName name="_xlnm.Print_Area" localSheetId="1">'Matriz '!$B$1:$Y$20</definedName>
    <definedName name="_xlnm.Print_Area" localSheetId="5">'P-A x V18'!$C$1:$S$245</definedName>
    <definedName name="_xlnm.Print_Area" localSheetId="7">'Tabela de Comprometimento'!$B$100:$B$108</definedName>
    <definedName name="_xlnm.Print_Area" localSheetId="0">'Tabela de Comprometimento 29.09'!$A$1:$AE$153</definedName>
    <definedName name="capacitacao" localSheetId="6">#REF!</definedName>
    <definedName name="capacitacao" localSheetId="5">'P-A x V18'!$G$279:$G$287</definedName>
    <definedName name="capacitacao">'[1]PGO-V15-PROCV BASE'!#REF!</definedName>
    <definedName name="_xlnm.Print_Titles" localSheetId="2">blabla!$1:$6</definedName>
    <definedName name="_xlnm.Print_Titles" localSheetId="6">'Folha de Comentários (18)'!$7:$7</definedName>
    <definedName name="_xlnm.Print_Titles" localSheetId="0">'Tabela de Comprometimento 29.09'!$4:$5</definedName>
    <definedName name="Z_4F748D0E_E050_4B9E_BA26_0A3F6D7B169B_.wvu.Cols" localSheetId="2" hidden="1">blabla!$C:$V,blabla!$Z:$AB,blabla!$AF:$AQ</definedName>
    <definedName name="Z_4F748D0E_E050_4B9E_BA26_0A3F6D7B169B_.wvu.Cols" localSheetId="8" hidden="1">'compara PI '!$Q:$Q</definedName>
    <definedName name="Z_4F748D0E_E050_4B9E_BA26_0A3F6D7B169B_.wvu.Cols" localSheetId="4" hidden="1">Plan1!$C:$V,Plan1!$AG:$AI</definedName>
    <definedName name="Z_4F748D0E_E050_4B9E_BA26_0A3F6D7B169B_.wvu.Cols" localSheetId="7" hidden="1">'Tabela de Comprometimento'!$M:$Q,'Tabela de Comprometimento'!$S:$W,'Tabela de Comprometimento'!$Y:$AA</definedName>
    <definedName name="Z_4F748D0E_E050_4B9E_BA26_0A3F6D7B169B_.wvu.Cols" localSheetId="0" hidden="1">'Tabela de Comprometimento 29.09'!$C:$V</definedName>
    <definedName name="Z_4F748D0E_E050_4B9E_BA26_0A3F6D7B169B_.wvu.FilterData" localSheetId="7" hidden="1">'Tabela de Comprometimento'!$A$4:$AH$139</definedName>
    <definedName name="Z_4F748D0E_E050_4B9E_BA26_0A3F6D7B169B_.wvu.FilterData" localSheetId="0" hidden="1">'Tabela de Comprometimento 29.09'!$A$5:$AL$146</definedName>
    <definedName name="Z_4F748D0E_E050_4B9E_BA26_0A3F6D7B169B_.wvu.PrintArea" localSheetId="2" hidden="1">blabla!$A$1:$AE$23</definedName>
    <definedName name="Z_4F748D0E_E050_4B9E_BA26_0A3F6D7B169B_.wvu.PrintArea" localSheetId="1" hidden="1">'Matriz '!$B$1:$Y$20</definedName>
    <definedName name="Z_4F748D0E_E050_4B9E_BA26_0A3F6D7B169B_.wvu.PrintArea" localSheetId="7" hidden="1">'Tabela de Comprometimento'!$B$100:$B$108</definedName>
    <definedName name="Z_4F748D0E_E050_4B9E_BA26_0A3F6D7B169B_.wvu.PrintArea" localSheetId="0" hidden="1">'Tabela de Comprometimento 29.09'!$A$1:$AE$153</definedName>
    <definedName name="Z_4F748D0E_E050_4B9E_BA26_0A3F6D7B169B_.wvu.PrintTitles" localSheetId="2" hidden="1">blabla!$1:$6</definedName>
    <definedName name="Z_4F748D0E_E050_4B9E_BA26_0A3F6D7B169B_.wvu.PrintTitles" localSheetId="0" hidden="1">'Tabela de Comprometimento 29.09'!$4:$5</definedName>
    <definedName name="Z_4F748D0E_E050_4B9E_BA26_0A3F6D7B169B_.wvu.Rows" localSheetId="8" hidden="1">'compara PI '!$30:$49</definedName>
    <definedName name="Z_4F748D0E_E050_4B9E_BA26_0A3F6D7B169B_.wvu.Rows" localSheetId="4" hidden="1">Plan1!$7:$7,Plan1!$58:$60,Plan1!$77:$80,Plan1!$111:$122</definedName>
    <definedName name="Z_4F748D0E_E050_4B9E_BA26_0A3F6D7B169B_.wvu.Rows" localSheetId="0" hidden="1">'Tabela de Comprometimento 29.09'!$17:$35,'Tabela de Comprometimento 29.09'!$51:$53,'Tabela de Comprometimento 29.09'!$64:$64,'Tabela de Comprometimento 29.09'!$68:$70,'Tabela de Comprometimento 29.09'!$90:$93,'Tabela de Comprometimento 29.09'!$98:$98,'Tabela de Comprometimento 29.09'!$103:$109,'Tabela de Comprometimento 29.09'!$111:$113</definedName>
    <definedName name="Z_8679FB5B_1AA7_40E9_8152_505014626217_.wvu.Cols" localSheetId="2" hidden="1">blabla!$C:$V,blabla!$Z:$AB,blabla!$AF:$AQ</definedName>
    <definedName name="Z_8679FB5B_1AA7_40E9_8152_505014626217_.wvu.Cols" localSheetId="8" hidden="1">'compara PI '!$Q:$Q</definedName>
    <definedName name="Z_8679FB5B_1AA7_40E9_8152_505014626217_.wvu.Cols" localSheetId="4" hidden="1">Plan1!$C:$V,Plan1!$AG:$AI</definedName>
    <definedName name="Z_8679FB5B_1AA7_40E9_8152_505014626217_.wvu.Cols" localSheetId="7" hidden="1">'Tabela de Comprometimento'!$M:$Q,'Tabela de Comprometimento'!$S:$W,'Tabela de Comprometimento'!$Y:$AA</definedName>
    <definedName name="Z_8679FB5B_1AA7_40E9_8152_505014626217_.wvu.Cols" localSheetId="0" hidden="1">'Tabela de Comprometimento 29.09'!$C:$V</definedName>
    <definedName name="Z_8679FB5B_1AA7_40E9_8152_505014626217_.wvu.FilterData" localSheetId="7" hidden="1">'Tabela de Comprometimento'!$A$4:$AH$139</definedName>
    <definedName name="Z_8679FB5B_1AA7_40E9_8152_505014626217_.wvu.FilterData" localSheetId="0" hidden="1">'Tabela de Comprometimento 29.09'!$A$5:$AL$146</definedName>
    <definedName name="Z_8679FB5B_1AA7_40E9_8152_505014626217_.wvu.PrintArea" localSheetId="2" hidden="1">blabla!$A$1:$AE$23</definedName>
    <definedName name="Z_8679FB5B_1AA7_40E9_8152_505014626217_.wvu.PrintArea" localSheetId="1" hidden="1">'Matriz '!$B$1:$Y$20</definedName>
    <definedName name="Z_8679FB5B_1AA7_40E9_8152_505014626217_.wvu.PrintArea" localSheetId="7" hidden="1">'Tabela de Comprometimento'!$B$100:$B$108</definedName>
    <definedName name="Z_8679FB5B_1AA7_40E9_8152_505014626217_.wvu.PrintArea" localSheetId="0" hidden="1">'Tabela de Comprometimento 29.09'!$A$1:$AE$153</definedName>
    <definedName name="Z_8679FB5B_1AA7_40E9_8152_505014626217_.wvu.PrintTitles" localSheetId="2" hidden="1">blabla!$1:$6</definedName>
    <definedName name="Z_8679FB5B_1AA7_40E9_8152_505014626217_.wvu.PrintTitles" localSheetId="0" hidden="1">'Tabela de Comprometimento 29.09'!$4:$5</definedName>
    <definedName name="Z_8679FB5B_1AA7_40E9_8152_505014626217_.wvu.Rows" localSheetId="8" hidden="1">'compara PI '!$30:$49</definedName>
    <definedName name="Z_8679FB5B_1AA7_40E9_8152_505014626217_.wvu.Rows" localSheetId="4" hidden="1">Plan1!$7:$7,Plan1!$58:$60,Plan1!$77:$80,Plan1!$111:$122</definedName>
    <definedName name="Z_8679FB5B_1AA7_40E9_8152_505014626217_.wvu.Rows" localSheetId="0" hidden="1">'Tabela de Comprometimento 29.09'!$17:$35,'Tabela de Comprometimento 29.09'!$51:$53,'Tabela de Comprometimento 29.09'!$64:$64,'Tabela de Comprometimento 29.09'!$68:$70,'Tabela de Comprometimento 29.09'!$90:$93,'Tabela de Comprometimento 29.09'!$98:$98,'Tabela de Comprometimento 29.09'!$103:$109,'Tabela de Comprometimento 29.09'!$111:$113</definedName>
  </definedNames>
  <calcPr calcId="162913"/>
  <customWorkbookViews>
    <customWorkbookView name="Daniella Jaime - Modo de exibição pessoal" guid="{4F748D0E-E050-4B9E-BA26-0A3F6D7B169B}" mergeInterval="0" personalView="1" maximized="1" xWindow="-4" yWindow="-4" windowWidth="1448" windowHeight="856" tabRatio="890" activeSheetId="4"/>
    <customWorkbookView name="daniella - Modo de exibição pessoal" guid="{8679FB5B-1AA7-40E9-8152-505014626217}" mergeInterval="0" personalView="1" maximized="1" xWindow="-8" yWindow="-8" windowWidth="1040" windowHeight="744" tabRatio="890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21" l="1"/>
  <c r="AD130" i="21" l="1"/>
  <c r="AD129" i="21"/>
  <c r="Z131" i="21"/>
  <c r="Y129" i="21" s="1"/>
  <c r="Y130" i="21" l="1"/>
  <c r="J243" i="21" l="1"/>
  <c r="G13" i="13" l="1"/>
  <c r="G14" i="13" s="1"/>
  <c r="B12" i="13" l="1"/>
  <c r="D4" i="13"/>
  <c r="C3" i="13" l="1"/>
  <c r="C4" i="13" s="1"/>
  <c r="B3" i="13"/>
  <c r="B4" i="13" l="1"/>
  <c r="C6" i="13"/>
  <c r="C7" i="13" s="1"/>
  <c r="C8" i="13" l="1"/>
  <c r="C11" i="13" s="1"/>
  <c r="D10" i="13" s="1"/>
  <c r="B7" i="13"/>
  <c r="B15" i="13" l="1"/>
  <c r="B8" i="13"/>
  <c r="C13" i="13" s="1"/>
  <c r="D7" i="13"/>
  <c r="A8" i="13" l="1"/>
  <c r="AE156" i="6" l="1"/>
  <c r="R155" i="6"/>
  <c r="M155" i="6"/>
  <c r="Y152" i="6"/>
  <c r="X152" i="6"/>
  <c r="AH151" i="6"/>
  <c r="AH150" i="6" s="1"/>
  <c r="AG151" i="6"/>
  <c r="AG150" i="6" s="1"/>
  <c r="U151" i="6"/>
  <c r="U150" i="6" s="1"/>
  <c r="T151" i="6"/>
  <c r="T150" i="6" s="1"/>
  <c r="H151" i="6"/>
  <c r="S151" i="6" s="1"/>
  <c r="Z151" i="6" s="1"/>
  <c r="AI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AH149" i="6"/>
  <c r="AH148" i="6" s="1"/>
  <c r="AG149" i="6"/>
  <c r="T149" i="6"/>
  <c r="T148" i="6" s="1"/>
  <c r="T147" i="6" s="1"/>
  <c r="R149" i="6"/>
  <c r="R148" i="6" s="1"/>
  <c r="R147" i="6" s="1"/>
  <c r="M149" i="6"/>
  <c r="M148" i="6" s="1"/>
  <c r="M147" i="6" s="1"/>
  <c r="H149" i="6"/>
  <c r="H148" i="6" s="1"/>
  <c r="H147" i="6" s="1"/>
  <c r="U148" i="6"/>
  <c r="U147" i="6" s="1"/>
  <c r="Q148" i="6"/>
  <c r="Q147" i="6" s="1"/>
  <c r="P148" i="6"/>
  <c r="P147" i="6" s="1"/>
  <c r="O148" i="6"/>
  <c r="N148" i="6"/>
  <c r="N147" i="6" s="1"/>
  <c r="L148" i="6"/>
  <c r="L147" i="6" s="1"/>
  <c r="K148" i="6"/>
  <c r="K147" i="6" s="1"/>
  <c r="J148" i="6"/>
  <c r="J147" i="6" s="1"/>
  <c r="I148" i="6"/>
  <c r="I147" i="6" s="1"/>
  <c r="G148" i="6"/>
  <c r="G147" i="6" s="1"/>
  <c r="F148" i="6"/>
  <c r="F147" i="6" s="1"/>
  <c r="O147" i="6"/>
  <c r="AH146" i="6"/>
  <c r="AH145" i="6" s="1"/>
  <c r="AH144" i="6" s="1"/>
  <c r="AH143" i="6" s="1"/>
  <c r="AG146" i="6"/>
  <c r="AG145" i="6" s="1"/>
  <c r="AG144" i="6" s="1"/>
  <c r="AG143" i="6" s="1"/>
  <c r="R146" i="6"/>
  <c r="R145" i="6" s="1"/>
  <c r="R144" i="6" s="1"/>
  <c r="R143" i="6" s="1"/>
  <c r="M146" i="6"/>
  <c r="M145" i="6" s="1"/>
  <c r="M144" i="6" s="1"/>
  <c r="M143" i="6" s="1"/>
  <c r="H146" i="6"/>
  <c r="AI145" i="6"/>
  <c r="AI144" i="6" s="1"/>
  <c r="AI143" i="6" s="1"/>
  <c r="T145" i="6"/>
  <c r="T144" i="6" s="1"/>
  <c r="T143" i="6" s="1"/>
  <c r="Q145" i="6"/>
  <c r="Q144" i="6" s="1"/>
  <c r="Q143" i="6" s="1"/>
  <c r="P145" i="6"/>
  <c r="P144" i="6" s="1"/>
  <c r="P143" i="6" s="1"/>
  <c r="O145" i="6"/>
  <c r="O144" i="6" s="1"/>
  <c r="O143" i="6" s="1"/>
  <c r="N145" i="6"/>
  <c r="N144" i="6" s="1"/>
  <c r="N143" i="6" s="1"/>
  <c r="L145" i="6"/>
  <c r="L144" i="6" s="1"/>
  <c r="L143" i="6" s="1"/>
  <c r="K145" i="6"/>
  <c r="K144" i="6" s="1"/>
  <c r="K143" i="6" s="1"/>
  <c r="J145" i="6"/>
  <c r="J144" i="6" s="1"/>
  <c r="J143" i="6" s="1"/>
  <c r="I145" i="6"/>
  <c r="I144" i="6" s="1"/>
  <c r="I143" i="6" s="1"/>
  <c r="G145" i="6"/>
  <c r="G144" i="6" s="1"/>
  <c r="G143" i="6" s="1"/>
  <c r="F145" i="6"/>
  <c r="F144" i="6" s="1"/>
  <c r="F143" i="6" s="1"/>
  <c r="AH142" i="6"/>
  <c r="AG142" i="6"/>
  <c r="V142" i="6"/>
  <c r="S142" i="6"/>
  <c r="AA142" i="6" s="1"/>
  <c r="AD142" i="6" s="1"/>
  <c r="R142" i="6"/>
  <c r="H142" i="6"/>
  <c r="AH141" i="6"/>
  <c r="AG141" i="6"/>
  <c r="V141" i="6"/>
  <c r="S141" i="6"/>
  <c r="AA141" i="6" s="1"/>
  <c r="AD141" i="6" s="1"/>
  <c r="R141" i="6"/>
  <c r="M141" i="6"/>
  <c r="H141" i="6"/>
  <c r="AH140" i="6"/>
  <c r="AG140" i="6"/>
  <c r="V140" i="6"/>
  <c r="S140" i="6"/>
  <c r="AA140" i="6" s="1"/>
  <c r="AD140" i="6" s="1"/>
  <c r="R140" i="6"/>
  <c r="M140" i="6"/>
  <c r="H140" i="6"/>
  <c r="AH139" i="6"/>
  <c r="AG139" i="6"/>
  <c r="V139" i="6"/>
  <c r="S139" i="6"/>
  <c r="AA139" i="6" s="1"/>
  <c r="AD139" i="6" s="1"/>
  <c r="R139" i="6"/>
  <c r="M139" i="6"/>
  <c r="H139" i="6"/>
  <c r="AH138" i="6"/>
  <c r="AG138" i="6"/>
  <c r="V138" i="6"/>
  <c r="S138" i="6"/>
  <c r="AA138" i="6" s="1"/>
  <c r="AD138" i="6" s="1"/>
  <c r="R138" i="6"/>
  <c r="M138" i="6"/>
  <c r="H138" i="6"/>
  <c r="AI137" i="6"/>
  <c r="M137" i="6"/>
  <c r="H137" i="6"/>
  <c r="U136" i="6"/>
  <c r="T136" i="6"/>
  <c r="Q136" i="6"/>
  <c r="P136" i="6"/>
  <c r="O136" i="6"/>
  <c r="N136" i="6"/>
  <c r="L136" i="6"/>
  <c r="K136" i="6"/>
  <c r="J136" i="6"/>
  <c r="I136" i="6"/>
  <c r="G136" i="6"/>
  <c r="F136" i="6"/>
  <c r="V135" i="6"/>
  <c r="R135" i="6"/>
  <c r="M135" i="6"/>
  <c r="H135" i="6"/>
  <c r="V134" i="6"/>
  <c r="R134" i="6"/>
  <c r="M134" i="6"/>
  <c r="H134" i="6"/>
  <c r="V133" i="6"/>
  <c r="R133" i="6"/>
  <c r="M133" i="6"/>
  <c r="H133" i="6"/>
  <c r="V132" i="6"/>
  <c r="R132" i="6"/>
  <c r="M132" i="6"/>
  <c r="F132" i="6"/>
  <c r="H132" i="6" s="1"/>
  <c r="V131" i="6"/>
  <c r="R131" i="6"/>
  <c r="M131" i="6"/>
  <c r="H131" i="6"/>
  <c r="AI130" i="6"/>
  <c r="V130" i="6"/>
  <c r="R130" i="6"/>
  <c r="M130" i="6"/>
  <c r="H130" i="6"/>
  <c r="AI129" i="6"/>
  <c r="R129" i="6"/>
  <c r="M129" i="6"/>
  <c r="H129" i="6"/>
  <c r="AI128" i="6"/>
  <c r="V128" i="6"/>
  <c r="R128" i="6"/>
  <c r="M128" i="6"/>
  <c r="H128" i="6"/>
  <c r="AI127" i="6"/>
  <c r="V127" i="6"/>
  <c r="R127" i="6"/>
  <c r="M127" i="6"/>
  <c r="H127" i="6"/>
  <c r="AI126" i="6"/>
  <c r="T126" i="6"/>
  <c r="U126" i="6" s="1"/>
  <c r="V126" i="6" s="1"/>
  <c r="R126" i="6"/>
  <c r="M126" i="6"/>
  <c r="H126" i="6"/>
  <c r="AI125" i="6"/>
  <c r="T125" i="6"/>
  <c r="U125" i="6" s="1"/>
  <c r="R125" i="6"/>
  <c r="M125" i="6"/>
  <c r="H125" i="6"/>
  <c r="AI124" i="6"/>
  <c r="T124" i="6"/>
  <c r="U124" i="6" s="1"/>
  <c r="R124" i="6"/>
  <c r="M124" i="6"/>
  <c r="H124" i="6"/>
  <c r="AH123" i="6"/>
  <c r="AG123" i="6"/>
  <c r="Q123" i="6"/>
  <c r="P123" i="6"/>
  <c r="O123" i="6"/>
  <c r="N123" i="6"/>
  <c r="L123" i="6"/>
  <c r="K123" i="6"/>
  <c r="J123" i="6"/>
  <c r="I123" i="6"/>
  <c r="G123" i="6"/>
  <c r="AI122" i="6"/>
  <c r="V122" i="6"/>
  <c r="R122" i="6"/>
  <c r="M122" i="6"/>
  <c r="H122" i="6"/>
  <c r="V121" i="6"/>
  <c r="R121" i="6"/>
  <c r="M121" i="6"/>
  <c r="F121" i="6"/>
  <c r="H121" i="6" s="1"/>
  <c r="AI120" i="6"/>
  <c r="V120" i="6"/>
  <c r="R120" i="6"/>
  <c r="M120" i="6"/>
  <c r="H120" i="6"/>
  <c r="AH119" i="6"/>
  <c r="AH110" i="6" s="1"/>
  <c r="AG119" i="6"/>
  <c r="AG110" i="6" s="1"/>
  <c r="V119" i="6"/>
  <c r="R119" i="6"/>
  <c r="M119" i="6"/>
  <c r="H119" i="6"/>
  <c r="AI118" i="6"/>
  <c r="V118" i="6"/>
  <c r="R118" i="6"/>
  <c r="M118" i="6"/>
  <c r="H118" i="6"/>
  <c r="AI117" i="6"/>
  <c r="V117" i="6"/>
  <c r="R117" i="6"/>
  <c r="M117" i="6"/>
  <c r="H117" i="6"/>
  <c r="AI116" i="6"/>
  <c r="V116" i="6"/>
  <c r="R116" i="6"/>
  <c r="M116" i="6"/>
  <c r="H116" i="6"/>
  <c r="AI115" i="6"/>
  <c r="V115" i="6"/>
  <c r="R115" i="6"/>
  <c r="M115" i="6"/>
  <c r="H115" i="6"/>
  <c r="AI114" i="6"/>
  <c r="V114" i="6"/>
  <c r="R114" i="6"/>
  <c r="M114" i="6"/>
  <c r="H114" i="6"/>
  <c r="AI113" i="6"/>
  <c r="V113" i="6"/>
  <c r="R113" i="6"/>
  <c r="M113" i="6"/>
  <c r="H113" i="6"/>
  <c r="AI112" i="6"/>
  <c r="V112" i="6"/>
  <c r="R112" i="6"/>
  <c r="M112" i="6"/>
  <c r="H112" i="6"/>
  <c r="AI111" i="6"/>
  <c r="V111" i="6"/>
  <c r="R111" i="6"/>
  <c r="M111" i="6"/>
  <c r="H111" i="6"/>
  <c r="U110" i="6"/>
  <c r="T110" i="6"/>
  <c r="Q110" i="6"/>
  <c r="P110" i="6"/>
  <c r="O110" i="6"/>
  <c r="N110" i="6"/>
  <c r="L110" i="6"/>
  <c r="K110" i="6"/>
  <c r="J110" i="6"/>
  <c r="I110" i="6"/>
  <c r="G110" i="6"/>
  <c r="AL108" i="6"/>
  <c r="AJ108" i="6"/>
  <c r="AK108" i="6" s="1"/>
  <c r="AI108" i="6"/>
  <c r="V108" i="6"/>
  <c r="R108" i="6"/>
  <c r="M108" i="6"/>
  <c r="H108" i="6"/>
  <c r="AJ107" i="6"/>
  <c r="AK107" i="6" s="1"/>
  <c r="AI107" i="6"/>
  <c r="V107" i="6"/>
  <c r="R107" i="6"/>
  <c r="M107" i="6"/>
  <c r="H107" i="6"/>
  <c r="AI106" i="6"/>
  <c r="AD106" i="6"/>
  <c r="AC106" i="6"/>
  <c r="AB106" i="6"/>
  <c r="V106" i="6"/>
  <c r="R106" i="6"/>
  <c r="H106" i="6"/>
  <c r="I106" i="6" s="1"/>
  <c r="AD105" i="6"/>
  <c r="AC105" i="6"/>
  <c r="AB105" i="6"/>
  <c r="V105" i="6"/>
  <c r="AM104" i="6" s="1"/>
  <c r="R105" i="6"/>
  <c r="M105" i="6"/>
  <c r="H105" i="6"/>
  <c r="AI104" i="6"/>
  <c r="V104" i="6"/>
  <c r="R104" i="6"/>
  <c r="M104" i="6"/>
  <c r="H104" i="6"/>
  <c r="AI103" i="6"/>
  <c r="V103" i="6"/>
  <c r="R103" i="6"/>
  <c r="M103" i="6"/>
  <c r="H103" i="6"/>
  <c r="AI102" i="6"/>
  <c r="V102" i="6"/>
  <c r="R102" i="6"/>
  <c r="M102" i="6"/>
  <c r="H102" i="6"/>
  <c r="AI101" i="6"/>
  <c r="V101" i="6"/>
  <c r="R101" i="6"/>
  <c r="M101" i="6"/>
  <c r="H101" i="6"/>
  <c r="AH100" i="6"/>
  <c r="AG100" i="6"/>
  <c r="U100" i="6"/>
  <c r="T100" i="6"/>
  <c r="Q100" i="6"/>
  <c r="P100" i="6"/>
  <c r="O100" i="6"/>
  <c r="N100" i="6"/>
  <c r="L100" i="6"/>
  <c r="K100" i="6"/>
  <c r="J100" i="6"/>
  <c r="G100" i="6"/>
  <c r="F100" i="6"/>
  <c r="T99" i="6"/>
  <c r="V99" i="6" s="1"/>
  <c r="H99" i="6"/>
  <c r="S99" i="6" s="1"/>
  <c r="AI98" i="6"/>
  <c r="AG98" i="6" s="1"/>
  <c r="V98" i="6"/>
  <c r="R98" i="6"/>
  <c r="M98" i="6"/>
  <c r="H98" i="6"/>
  <c r="AI97" i="6"/>
  <c r="AH97" i="6" s="1"/>
  <c r="V97" i="6"/>
  <c r="R97" i="6"/>
  <c r="M97" i="6"/>
  <c r="H97" i="6"/>
  <c r="AL96" i="6"/>
  <c r="AM96" i="6" s="1"/>
  <c r="AI96" i="6"/>
  <c r="AH96" i="6" s="1"/>
  <c r="V96" i="6"/>
  <c r="R96" i="6"/>
  <c r="M96" i="6"/>
  <c r="H96" i="6"/>
  <c r="AI95" i="6"/>
  <c r="AH95" i="6" s="1"/>
  <c r="V95" i="6"/>
  <c r="R95" i="6"/>
  <c r="M95" i="6"/>
  <c r="H95" i="6"/>
  <c r="AI94" i="6"/>
  <c r="AG94" i="6" s="1"/>
  <c r="V94" i="6"/>
  <c r="R94" i="6"/>
  <c r="M94" i="6"/>
  <c r="H94" i="6"/>
  <c r="AK93" i="6"/>
  <c r="AI93" i="6"/>
  <c r="AG93" i="6" s="1"/>
  <c r="R93" i="6"/>
  <c r="M93" i="6"/>
  <c r="H93" i="6"/>
  <c r="AI92" i="6"/>
  <c r="AG92" i="6" s="1"/>
  <c r="V92" i="6"/>
  <c r="R92" i="6"/>
  <c r="M92" i="6"/>
  <c r="H92" i="6"/>
  <c r="V91" i="6"/>
  <c r="W91" i="6" s="1"/>
  <c r="R91" i="6"/>
  <c r="M91" i="6"/>
  <c r="H91" i="6"/>
  <c r="AI90" i="6"/>
  <c r="AG90" i="6" s="1"/>
  <c r="V90" i="6"/>
  <c r="R90" i="6"/>
  <c r="M90" i="6"/>
  <c r="H90" i="6"/>
  <c r="AI89" i="6"/>
  <c r="S89" i="6" s="1"/>
  <c r="V89" i="6"/>
  <c r="R89" i="6"/>
  <c r="M89" i="6"/>
  <c r="H89" i="6"/>
  <c r="Q88" i="6"/>
  <c r="P88" i="6"/>
  <c r="O88" i="6"/>
  <c r="N88" i="6"/>
  <c r="L88" i="6"/>
  <c r="K88" i="6"/>
  <c r="J88" i="6"/>
  <c r="I88" i="6"/>
  <c r="G88" i="6"/>
  <c r="F88" i="6"/>
  <c r="AI87" i="6"/>
  <c r="V87" i="6"/>
  <c r="R87" i="6"/>
  <c r="M87" i="6"/>
  <c r="H87" i="6"/>
  <c r="AI86" i="6"/>
  <c r="R86" i="6"/>
  <c r="M86" i="6"/>
  <c r="H86" i="6"/>
  <c r="AI85" i="6"/>
  <c r="V85" i="6"/>
  <c r="R85" i="6"/>
  <c r="M85" i="6"/>
  <c r="H85" i="6"/>
  <c r="AI84" i="6"/>
  <c r="V84" i="6"/>
  <c r="R84" i="6"/>
  <c r="M84" i="6"/>
  <c r="H84" i="6"/>
  <c r="AI83" i="6"/>
  <c r="V83" i="6"/>
  <c r="R83" i="6"/>
  <c r="M83" i="6"/>
  <c r="H83" i="6"/>
  <c r="AI82" i="6"/>
  <c r="AC82" i="6"/>
  <c r="V82" i="6"/>
  <c r="R82" i="6"/>
  <c r="M82" i="6"/>
  <c r="F82" i="6"/>
  <c r="U81" i="6"/>
  <c r="Q81" i="6"/>
  <c r="P81" i="6"/>
  <c r="O81" i="6"/>
  <c r="N81" i="6"/>
  <c r="L81" i="6"/>
  <c r="K81" i="6"/>
  <c r="J81" i="6"/>
  <c r="I81" i="6"/>
  <c r="G81" i="6"/>
  <c r="V80" i="6"/>
  <c r="R80" i="6"/>
  <c r="M80" i="6"/>
  <c r="H80" i="6"/>
  <c r="AH79" i="6"/>
  <c r="AH76" i="6" s="1"/>
  <c r="AG79" i="6"/>
  <c r="AG76" i="6" s="1"/>
  <c r="V79" i="6"/>
  <c r="R79" i="6"/>
  <c r="M79" i="6"/>
  <c r="H79" i="6"/>
  <c r="V78" i="6"/>
  <c r="R78" i="6"/>
  <c r="M78" i="6"/>
  <c r="H78" i="6"/>
  <c r="AI77" i="6"/>
  <c r="AI76" i="6" s="1"/>
  <c r="V77" i="6"/>
  <c r="N77" i="6"/>
  <c r="R77" i="6" s="1"/>
  <c r="M77" i="6"/>
  <c r="H77" i="6"/>
  <c r="U76" i="6"/>
  <c r="T76" i="6"/>
  <c r="Q76" i="6"/>
  <c r="P76" i="6"/>
  <c r="O76" i="6"/>
  <c r="L76" i="6"/>
  <c r="K76" i="6"/>
  <c r="J76" i="6"/>
  <c r="I76" i="6"/>
  <c r="G76" i="6"/>
  <c r="F76" i="6"/>
  <c r="AI72" i="6"/>
  <c r="AG72" i="6" s="1"/>
  <c r="V72" i="6"/>
  <c r="R72" i="6"/>
  <c r="M72" i="6"/>
  <c r="H72" i="6"/>
  <c r="AH71" i="6"/>
  <c r="AG71" i="6"/>
  <c r="V71" i="6"/>
  <c r="S71" i="6"/>
  <c r="R71" i="6"/>
  <c r="M71" i="6"/>
  <c r="H71" i="6"/>
  <c r="AH70" i="6"/>
  <c r="AG70" i="6"/>
  <c r="V70" i="6"/>
  <c r="S70" i="6"/>
  <c r="R70" i="6"/>
  <c r="M70" i="6"/>
  <c r="H70" i="6"/>
  <c r="AI69" i="6"/>
  <c r="AH69" i="6" s="1"/>
  <c r="V69" i="6"/>
  <c r="R69" i="6"/>
  <c r="M69" i="6"/>
  <c r="H69" i="6"/>
  <c r="AI68" i="6"/>
  <c r="AG68" i="6" s="1"/>
  <c r="V68" i="6"/>
  <c r="R68" i="6"/>
  <c r="M68" i="6"/>
  <c r="H68" i="6"/>
  <c r="AI67" i="6"/>
  <c r="AG67" i="6" s="1"/>
  <c r="V67" i="6"/>
  <c r="R67" i="6"/>
  <c r="M67" i="6"/>
  <c r="H67" i="6"/>
  <c r="U66" i="6"/>
  <c r="T66" i="6"/>
  <c r="Q66" i="6"/>
  <c r="P66" i="6"/>
  <c r="O66" i="6"/>
  <c r="N66" i="6"/>
  <c r="L66" i="6"/>
  <c r="K66" i="6"/>
  <c r="J66" i="6"/>
  <c r="I66" i="6"/>
  <c r="G66" i="6"/>
  <c r="F66" i="6"/>
  <c r="AI65" i="6"/>
  <c r="AI61" i="6" s="1"/>
  <c r="V65" i="6"/>
  <c r="R65" i="6"/>
  <c r="M65" i="6"/>
  <c r="H65" i="6"/>
  <c r="R64" i="6"/>
  <c r="M64" i="6"/>
  <c r="H64" i="6"/>
  <c r="V63" i="6"/>
  <c r="R63" i="6"/>
  <c r="M63" i="6"/>
  <c r="H63" i="6"/>
  <c r="V62" i="6"/>
  <c r="R62" i="6"/>
  <c r="M62" i="6"/>
  <c r="H62" i="6"/>
  <c r="AH61" i="6"/>
  <c r="AG61" i="6"/>
  <c r="T61" i="6"/>
  <c r="Q61" i="6"/>
  <c r="P61" i="6"/>
  <c r="O61" i="6"/>
  <c r="N61" i="6"/>
  <c r="L61" i="6"/>
  <c r="K61" i="6"/>
  <c r="J61" i="6"/>
  <c r="I61" i="6"/>
  <c r="G61" i="6"/>
  <c r="F61" i="6"/>
  <c r="AI60" i="6"/>
  <c r="V60" i="6"/>
  <c r="R60" i="6"/>
  <c r="M60" i="6"/>
  <c r="H60" i="6"/>
  <c r="AI59" i="6"/>
  <c r="V59" i="6"/>
  <c r="R59" i="6"/>
  <c r="M59" i="6"/>
  <c r="H59" i="6"/>
  <c r="AI58" i="6"/>
  <c r="V58" i="6"/>
  <c r="N58" i="6"/>
  <c r="R58" i="6" s="1"/>
  <c r="M58" i="6"/>
  <c r="H58" i="6"/>
  <c r="AH57" i="6"/>
  <c r="AG57" i="6"/>
  <c r="U57" i="6"/>
  <c r="T57" i="6"/>
  <c r="Q57" i="6"/>
  <c r="P57" i="6"/>
  <c r="O57" i="6"/>
  <c r="L57" i="6"/>
  <c r="K57" i="6"/>
  <c r="J57" i="6"/>
  <c r="I57" i="6"/>
  <c r="G57" i="6"/>
  <c r="F57" i="6"/>
  <c r="AH55" i="6"/>
  <c r="AG55" i="6"/>
  <c r="V55" i="6"/>
  <c r="S55" i="6"/>
  <c r="M55" i="6"/>
  <c r="H55" i="6"/>
  <c r="AN54" i="6"/>
  <c r="AK54" i="6" s="1"/>
  <c r="AL54" i="6" s="1"/>
  <c r="AH54" i="6"/>
  <c r="AG54" i="6"/>
  <c r="V54" i="6"/>
  <c r="S54" i="6"/>
  <c r="M54" i="6"/>
  <c r="H54" i="6"/>
  <c r="AI53" i="6"/>
  <c r="U53" i="6"/>
  <c r="T53" i="6"/>
  <c r="R53" i="6"/>
  <c r="Q53" i="6"/>
  <c r="P53" i="6"/>
  <c r="O53" i="6"/>
  <c r="N53" i="6"/>
  <c r="L53" i="6"/>
  <c r="K53" i="6"/>
  <c r="J53" i="6"/>
  <c r="I53" i="6"/>
  <c r="G53" i="6"/>
  <c r="F53" i="6"/>
  <c r="AL52" i="6"/>
  <c r="AI52" i="6"/>
  <c r="M52" i="6"/>
  <c r="H52" i="6"/>
  <c r="AI51" i="6"/>
  <c r="V51" i="6"/>
  <c r="N51" i="6"/>
  <c r="R51" i="6" s="1"/>
  <c r="M51" i="6"/>
  <c r="G51" i="6"/>
  <c r="G49" i="6" s="1"/>
  <c r="F51" i="6"/>
  <c r="AI50" i="6"/>
  <c r="V50" i="6"/>
  <c r="N50" i="6"/>
  <c r="R50" i="6" s="1"/>
  <c r="M50" i="6"/>
  <c r="H50" i="6"/>
  <c r="AH49" i="6"/>
  <c r="AG49" i="6"/>
  <c r="T49" i="6"/>
  <c r="Q49" i="6"/>
  <c r="P49" i="6"/>
  <c r="O49" i="6"/>
  <c r="L49" i="6"/>
  <c r="K49" i="6"/>
  <c r="J49" i="6"/>
  <c r="I49" i="6"/>
  <c r="AI47" i="6"/>
  <c r="V47" i="6"/>
  <c r="R47" i="6"/>
  <c r="M47" i="6"/>
  <c r="H47" i="6"/>
  <c r="AI46" i="6"/>
  <c r="AG46" i="6" s="1"/>
  <c r="V46" i="6"/>
  <c r="R46" i="6"/>
  <c r="M46" i="6"/>
  <c r="H46" i="6"/>
  <c r="AI45" i="6"/>
  <c r="S45" i="6" s="1"/>
  <c r="V45" i="6"/>
  <c r="R45" i="6"/>
  <c r="M45" i="6"/>
  <c r="H45" i="6"/>
  <c r="AI44" i="6"/>
  <c r="AG44" i="6" s="1"/>
  <c r="V44" i="6"/>
  <c r="R44" i="6"/>
  <c r="M44" i="6"/>
  <c r="H44" i="6"/>
  <c r="U43" i="6"/>
  <c r="T43" i="6"/>
  <c r="Q43" i="6"/>
  <c r="P43" i="6"/>
  <c r="O43" i="6"/>
  <c r="N43" i="6"/>
  <c r="L43" i="6"/>
  <c r="K43" i="6"/>
  <c r="J43" i="6"/>
  <c r="I43" i="6"/>
  <c r="G43" i="6"/>
  <c r="F43" i="6"/>
  <c r="AI42" i="6"/>
  <c r="T42" i="6"/>
  <c r="V42" i="6" s="1"/>
  <c r="R42" i="6"/>
  <c r="M42" i="6"/>
  <c r="H42" i="6"/>
  <c r="AI41" i="6"/>
  <c r="V41" i="6"/>
  <c r="R41" i="6"/>
  <c r="M41" i="6"/>
  <c r="H41" i="6"/>
  <c r="AI40" i="6"/>
  <c r="V40" i="6"/>
  <c r="R40" i="6"/>
  <c r="M40" i="6"/>
  <c r="H40" i="6"/>
  <c r="AI39" i="6"/>
  <c r="V39" i="6"/>
  <c r="R39" i="6"/>
  <c r="M39" i="6"/>
  <c r="H39" i="6"/>
  <c r="AI38" i="6"/>
  <c r="V38" i="6"/>
  <c r="R38" i="6"/>
  <c r="M38" i="6"/>
  <c r="H38" i="6"/>
  <c r="AI37" i="6"/>
  <c r="V37" i="6"/>
  <c r="R37" i="6"/>
  <c r="M37" i="6"/>
  <c r="H37" i="6"/>
  <c r="AI36" i="6"/>
  <c r="V36" i="6"/>
  <c r="R36" i="6"/>
  <c r="M36" i="6"/>
  <c r="H36" i="6"/>
  <c r="AI35" i="6"/>
  <c r="T35" i="6"/>
  <c r="R35" i="6"/>
  <c r="M35" i="6"/>
  <c r="F35" i="6"/>
  <c r="AI34" i="6"/>
  <c r="V34" i="6"/>
  <c r="R34" i="6"/>
  <c r="M34" i="6"/>
  <c r="F34" i="6"/>
  <c r="H34" i="6" s="1"/>
  <c r="AI33" i="6"/>
  <c r="V33" i="6"/>
  <c r="R33" i="6"/>
  <c r="M33" i="6"/>
  <c r="H33" i="6"/>
  <c r="AI32" i="6"/>
  <c r="V32" i="6"/>
  <c r="R32" i="6"/>
  <c r="M32" i="6"/>
  <c r="H32" i="6"/>
  <c r="AH31" i="6"/>
  <c r="AG31" i="6"/>
  <c r="U31" i="6"/>
  <c r="Q31" i="6"/>
  <c r="P31" i="6"/>
  <c r="O31" i="6"/>
  <c r="N31" i="6"/>
  <c r="L31" i="6"/>
  <c r="K31" i="6"/>
  <c r="J31" i="6"/>
  <c r="I31" i="6"/>
  <c r="G31" i="6"/>
  <c r="AI30" i="6"/>
  <c r="V30" i="6"/>
  <c r="R30" i="6"/>
  <c r="M30" i="6"/>
  <c r="H30" i="6"/>
  <c r="AI29" i="6"/>
  <c r="V29" i="6"/>
  <c r="R29" i="6"/>
  <c r="M29" i="6"/>
  <c r="H29" i="6"/>
  <c r="AI28" i="6"/>
  <c r="V28" i="6"/>
  <c r="R28" i="6"/>
  <c r="M28" i="6"/>
  <c r="H28" i="6"/>
  <c r="AI27" i="6"/>
  <c r="V27" i="6"/>
  <c r="R27" i="6"/>
  <c r="M27" i="6"/>
  <c r="H27" i="6"/>
  <c r="AI26" i="6"/>
  <c r="V26" i="6"/>
  <c r="R26" i="6"/>
  <c r="M26" i="6"/>
  <c r="H26" i="6"/>
  <c r="AI25" i="6"/>
  <c r="V25" i="6"/>
  <c r="R25" i="6"/>
  <c r="M25" i="6"/>
  <c r="H25" i="6"/>
  <c r="AI24" i="6"/>
  <c r="V24" i="6"/>
  <c r="R24" i="6"/>
  <c r="M24" i="6"/>
  <c r="H24" i="6"/>
  <c r="AI23" i="6"/>
  <c r="V23" i="6"/>
  <c r="R23" i="6"/>
  <c r="M23" i="6"/>
  <c r="H23" i="6"/>
  <c r="AI22" i="6"/>
  <c r="V22" i="6"/>
  <c r="R22" i="6"/>
  <c r="M22" i="6"/>
  <c r="H22" i="6"/>
  <c r="AI21" i="6"/>
  <c r="V21" i="6"/>
  <c r="R21" i="6"/>
  <c r="M21" i="6"/>
  <c r="H21" i="6"/>
  <c r="AI20" i="6"/>
  <c r="V20" i="6"/>
  <c r="R20" i="6"/>
  <c r="M20" i="6"/>
  <c r="H20" i="6"/>
  <c r="AI19" i="6"/>
  <c r="V19" i="6"/>
  <c r="R19" i="6"/>
  <c r="M19" i="6"/>
  <c r="H19" i="6"/>
  <c r="AI18" i="6"/>
  <c r="V18" i="6"/>
  <c r="R18" i="6"/>
  <c r="M18" i="6"/>
  <c r="H18" i="6"/>
  <c r="AI17" i="6"/>
  <c r="V17" i="6"/>
  <c r="R17" i="6"/>
  <c r="M17" i="6"/>
  <c r="H17" i="6"/>
  <c r="AI16" i="6"/>
  <c r="V16" i="6"/>
  <c r="R16" i="6"/>
  <c r="M16" i="6"/>
  <c r="H16" i="6"/>
  <c r="AI15" i="6"/>
  <c r="V15" i="6"/>
  <c r="R15" i="6"/>
  <c r="M15" i="6"/>
  <c r="H15" i="6"/>
  <c r="AI14" i="6"/>
  <c r="V14" i="6"/>
  <c r="R14" i="6"/>
  <c r="M14" i="6"/>
  <c r="H14" i="6"/>
  <c r="AI13" i="6"/>
  <c r="V13" i="6"/>
  <c r="R13" i="6"/>
  <c r="M13" i="6"/>
  <c r="H13" i="6"/>
  <c r="AI12" i="6"/>
  <c r="V12" i="6"/>
  <c r="R12" i="6"/>
  <c r="M12" i="6"/>
  <c r="H12" i="6"/>
  <c r="AI11" i="6"/>
  <c r="V11" i="6"/>
  <c r="R11" i="6"/>
  <c r="M11" i="6"/>
  <c r="H11" i="6"/>
  <c r="AI10" i="6"/>
  <c r="V10" i="6"/>
  <c r="R10" i="6"/>
  <c r="M10" i="6"/>
  <c r="H10" i="6"/>
  <c r="AH9" i="6"/>
  <c r="AG9" i="6"/>
  <c r="AF9" i="6"/>
  <c r="U9" i="6"/>
  <c r="T9" i="6"/>
  <c r="Q9" i="6"/>
  <c r="P9" i="6"/>
  <c r="O9" i="6"/>
  <c r="N9" i="6"/>
  <c r="L9" i="6"/>
  <c r="K9" i="6"/>
  <c r="J9" i="6"/>
  <c r="I9" i="6"/>
  <c r="G9" i="6"/>
  <c r="F9" i="6"/>
  <c r="AK6" i="6"/>
  <c r="F110" i="6" l="1"/>
  <c r="K109" i="6"/>
  <c r="H51" i="6"/>
  <c r="H49" i="6" s="1"/>
  <c r="AK110" i="6"/>
  <c r="F123" i="6"/>
  <c r="F31" i="6"/>
  <c r="F8" i="6" s="1"/>
  <c r="F49" i="6"/>
  <c r="F48" i="6" s="1"/>
  <c r="V149" i="6"/>
  <c r="V148" i="6" s="1"/>
  <c r="V147" i="6" s="1"/>
  <c r="P109" i="6"/>
  <c r="S90" i="6"/>
  <c r="W90" i="6" s="1"/>
  <c r="Z90" i="6" s="1"/>
  <c r="W99" i="6"/>
  <c r="AA99" i="6" s="1"/>
  <c r="AD99" i="6" s="1"/>
  <c r="S102" i="6"/>
  <c r="W102" i="6" s="1"/>
  <c r="AA102" i="6" s="1"/>
  <c r="AD102" i="6" s="1"/>
  <c r="S20" i="6"/>
  <c r="W20" i="6" s="1"/>
  <c r="S28" i="6"/>
  <c r="W28" i="6" s="1"/>
  <c r="F56" i="6"/>
  <c r="K56" i="6"/>
  <c r="R136" i="6"/>
  <c r="I48" i="6"/>
  <c r="M53" i="6"/>
  <c r="AH53" i="6"/>
  <c r="AH48" i="6" s="1"/>
  <c r="S72" i="6"/>
  <c r="W72" i="6" s="1"/>
  <c r="R123" i="6"/>
  <c r="M136" i="6"/>
  <c r="K8" i="6"/>
  <c r="P8" i="6"/>
  <c r="H53" i="6"/>
  <c r="AG53" i="6"/>
  <c r="R61" i="6"/>
  <c r="H66" i="6"/>
  <c r="AG69" i="6"/>
  <c r="AG66" i="6" s="1"/>
  <c r="AG56" i="6" s="1"/>
  <c r="W71" i="6"/>
  <c r="AA71" i="6" s="1"/>
  <c r="AD71" i="6" s="1"/>
  <c r="S96" i="6"/>
  <c r="W96" i="6" s="1"/>
  <c r="AA96" i="6" s="1"/>
  <c r="AD96" i="6" s="1"/>
  <c r="S98" i="6"/>
  <c r="W98" i="6" s="1"/>
  <c r="Z98" i="6" s="1"/>
  <c r="AE105" i="6"/>
  <c r="G109" i="6"/>
  <c r="L109" i="6"/>
  <c r="Q109" i="6"/>
  <c r="S119" i="6"/>
  <c r="AA119" i="6" s="1"/>
  <c r="AD119" i="6" s="1"/>
  <c r="K75" i="6"/>
  <c r="K74" i="6" s="1"/>
  <c r="S85" i="6"/>
  <c r="W85" i="6" s="1"/>
  <c r="Z85" i="6" s="1"/>
  <c r="AI88" i="6"/>
  <c r="AI81" i="6" s="1"/>
  <c r="AI75" i="6" s="1"/>
  <c r="AE106" i="6"/>
  <c r="S133" i="6"/>
  <c r="AA133" i="6" s="1"/>
  <c r="AD133" i="6" s="1"/>
  <c r="V151" i="6"/>
  <c r="V150" i="6" s="1"/>
  <c r="G8" i="6"/>
  <c r="S25" i="6"/>
  <c r="W25" i="6" s="1"/>
  <c r="S29" i="6"/>
  <c r="W29" i="6" s="1"/>
  <c r="J8" i="6"/>
  <c r="S34" i="6"/>
  <c r="W34" i="6" s="1"/>
  <c r="AA34" i="6" s="1"/>
  <c r="AD34" i="6" s="1"/>
  <c r="AH46" i="6"/>
  <c r="AI49" i="6"/>
  <c r="AI48" i="6" s="1"/>
  <c r="R49" i="6"/>
  <c r="R48" i="6" s="1"/>
  <c r="M61" i="6"/>
  <c r="S68" i="6"/>
  <c r="W68" i="6" s="1"/>
  <c r="Z68" i="6" s="1"/>
  <c r="AH72" i="6"/>
  <c r="AH90" i="6"/>
  <c r="AH94" i="6"/>
  <c r="AH98" i="6"/>
  <c r="S107" i="6"/>
  <c r="W107" i="6" s="1"/>
  <c r="Z107" i="6" s="1"/>
  <c r="S116" i="6"/>
  <c r="AA116" i="6" s="1"/>
  <c r="AD116" i="6" s="1"/>
  <c r="L8" i="6"/>
  <c r="AH44" i="6"/>
  <c r="N49" i="6"/>
  <c r="N48" i="6" s="1"/>
  <c r="V76" i="6"/>
  <c r="AI123" i="6"/>
  <c r="S117" i="6"/>
  <c r="S120" i="6"/>
  <c r="W120" i="6" s="1"/>
  <c r="Z120" i="6" s="1"/>
  <c r="AC120" i="6" s="1"/>
  <c r="O75" i="6"/>
  <c r="O74" i="6" s="1"/>
  <c r="S41" i="6"/>
  <c r="W41" i="6" s="1"/>
  <c r="S44" i="6"/>
  <c r="W44" i="6" s="1"/>
  <c r="S10" i="6"/>
  <c r="W10" i="6" s="1"/>
  <c r="Z10" i="6" s="1"/>
  <c r="AI9" i="6"/>
  <c r="V9" i="6"/>
  <c r="S14" i="6"/>
  <c r="W14" i="6" s="1"/>
  <c r="Z14" i="6" s="1"/>
  <c r="AH45" i="6"/>
  <c r="G56" i="6"/>
  <c r="L56" i="6"/>
  <c r="T56" i="6"/>
  <c r="S65" i="6"/>
  <c r="W65" i="6" s="1"/>
  <c r="Z65" i="6" s="1"/>
  <c r="AC65" i="6" s="1"/>
  <c r="S69" i="6"/>
  <c r="W69" i="6" s="1"/>
  <c r="S87" i="6"/>
  <c r="W87" i="6" s="1"/>
  <c r="AG89" i="6"/>
  <c r="S93" i="6"/>
  <c r="U93" i="6" s="1"/>
  <c r="V93" i="6" s="1"/>
  <c r="W93" i="6" s="1"/>
  <c r="V100" i="6"/>
  <c r="S105" i="6"/>
  <c r="W105" i="6" s="1"/>
  <c r="Y105" i="6" s="1"/>
  <c r="M9" i="6"/>
  <c r="S36" i="6"/>
  <c r="W36" i="6" s="1"/>
  <c r="AA36" i="6" s="1"/>
  <c r="AD36" i="6" s="1"/>
  <c r="S40" i="6"/>
  <c r="W40" i="6" s="1"/>
  <c r="AA40" i="6" s="1"/>
  <c r="AD40" i="6" s="1"/>
  <c r="O56" i="6"/>
  <c r="S63" i="6"/>
  <c r="W63" i="6" s="1"/>
  <c r="J75" i="6"/>
  <c r="J74" i="6" s="1"/>
  <c r="AH93" i="6"/>
  <c r="S104" i="6"/>
  <c r="W104" i="6" s="1"/>
  <c r="Z104" i="6" s="1"/>
  <c r="S108" i="6"/>
  <c r="W108" i="6" s="1"/>
  <c r="O109" i="6"/>
  <c r="S113" i="6"/>
  <c r="W113" i="6" s="1"/>
  <c r="Z113" i="6" s="1"/>
  <c r="S134" i="6"/>
  <c r="AA134" i="6" s="1"/>
  <c r="AD134" i="6" s="1"/>
  <c r="S135" i="6"/>
  <c r="AA135" i="6" s="1"/>
  <c r="AD135" i="6" s="1"/>
  <c r="S127" i="6"/>
  <c r="W127" i="6" s="1"/>
  <c r="Z127" i="6" s="1"/>
  <c r="AC127" i="6" s="1"/>
  <c r="S111" i="6"/>
  <c r="AA111" i="6" s="1"/>
  <c r="S77" i="6"/>
  <c r="W77" i="6" s="1"/>
  <c r="AI57" i="6"/>
  <c r="V57" i="6"/>
  <c r="S92" i="6"/>
  <c r="W92" i="6" s="1"/>
  <c r="Z92" i="6" s="1"/>
  <c r="AC92" i="6" s="1"/>
  <c r="I8" i="6"/>
  <c r="Q8" i="6"/>
  <c r="S15" i="6"/>
  <c r="W15" i="6" s="1"/>
  <c r="AA15" i="6" s="1"/>
  <c r="AD15" i="6" s="1"/>
  <c r="S24" i="6"/>
  <c r="W24" i="6" s="1"/>
  <c r="AA24" i="6" s="1"/>
  <c r="AD24" i="6" s="1"/>
  <c r="S26" i="6"/>
  <c r="W26" i="6" s="1"/>
  <c r="AA26" i="6" s="1"/>
  <c r="AD26" i="6" s="1"/>
  <c r="S27" i="6"/>
  <c r="W27" i="6" s="1"/>
  <c r="P48" i="6"/>
  <c r="V53" i="6"/>
  <c r="P56" i="6"/>
  <c r="R57" i="6"/>
  <c r="S60" i="6"/>
  <c r="W60" i="6" s="1"/>
  <c r="S64" i="6"/>
  <c r="U64" i="6" s="1"/>
  <c r="V64" i="6" s="1"/>
  <c r="V61" i="6" s="1"/>
  <c r="R76" i="6"/>
  <c r="M81" i="6"/>
  <c r="S86" i="6"/>
  <c r="T86" i="6" s="1"/>
  <c r="V86" i="6" s="1"/>
  <c r="V81" i="6" s="1"/>
  <c r="AG96" i="6"/>
  <c r="S97" i="6"/>
  <c r="W97" i="6" s="1"/>
  <c r="S22" i="6"/>
  <c r="W22" i="6" s="1"/>
  <c r="Z22" i="6" s="1"/>
  <c r="N8" i="6"/>
  <c r="S13" i="6"/>
  <c r="W13" i="6" s="1"/>
  <c r="Z13" i="6" s="1"/>
  <c r="S17" i="6"/>
  <c r="W17" i="6" s="1"/>
  <c r="AA17" i="6" s="1"/>
  <c r="AD17" i="6" s="1"/>
  <c r="S21" i="6"/>
  <c r="W21" i="6" s="1"/>
  <c r="AA21" i="6" s="1"/>
  <c r="AD21" i="6" s="1"/>
  <c r="R31" i="6"/>
  <c r="S39" i="6"/>
  <c r="W39" i="6" s="1"/>
  <c r="Z39" i="6" s="1"/>
  <c r="AC39" i="6" s="1"/>
  <c r="S42" i="6"/>
  <c r="W42" i="6" s="1"/>
  <c r="Z42" i="6" s="1"/>
  <c r="AC42" i="6" s="1"/>
  <c r="G48" i="6"/>
  <c r="L48" i="6"/>
  <c r="Q48" i="6"/>
  <c r="S52" i="6"/>
  <c r="U52" i="6" s="1"/>
  <c r="V52" i="6" s="1"/>
  <c r="V49" i="6" s="1"/>
  <c r="AI66" i="6"/>
  <c r="S67" i="6"/>
  <c r="W67" i="6" s="1"/>
  <c r="Z67" i="6" s="1"/>
  <c r="W70" i="6"/>
  <c r="Z70" i="6" s="1"/>
  <c r="H76" i="6"/>
  <c r="L75" i="6"/>
  <c r="L74" i="6" s="1"/>
  <c r="S80" i="6"/>
  <c r="W80" i="6" s="1"/>
  <c r="AA80" i="6" s="1"/>
  <c r="AD80" i="6" s="1"/>
  <c r="G75" i="6"/>
  <c r="G74" i="6" s="1"/>
  <c r="AH92" i="6"/>
  <c r="S94" i="6"/>
  <c r="W94" i="6" s="1"/>
  <c r="Z94" i="6" s="1"/>
  <c r="AG95" i="6"/>
  <c r="S114" i="6"/>
  <c r="AA114" i="6" s="1"/>
  <c r="AD114" i="6" s="1"/>
  <c r="S124" i="6"/>
  <c r="AA124" i="6" s="1"/>
  <c r="H136" i="6"/>
  <c r="W139" i="6"/>
  <c r="Z139" i="6" s="1"/>
  <c r="AC139" i="6" s="1"/>
  <c r="AE139" i="6" s="1"/>
  <c r="H43" i="6"/>
  <c r="S58" i="6"/>
  <c r="W58" i="6" s="1"/>
  <c r="S84" i="6"/>
  <c r="W84" i="6" s="1"/>
  <c r="I109" i="6"/>
  <c r="N109" i="6"/>
  <c r="S132" i="6"/>
  <c r="W132" i="6" s="1"/>
  <c r="Z132" i="6" s="1"/>
  <c r="Z91" i="6"/>
  <c r="AC91" i="6" s="1"/>
  <c r="AA91" i="6"/>
  <c r="AD91" i="6" s="1"/>
  <c r="I100" i="6"/>
  <c r="M106" i="6"/>
  <c r="M100" i="6" s="1"/>
  <c r="AI148" i="6"/>
  <c r="AH147" i="6"/>
  <c r="AI147" i="6" s="1"/>
  <c r="N57" i="6"/>
  <c r="N56" i="6" s="1"/>
  <c r="V66" i="6"/>
  <c r="N76" i="6"/>
  <c r="N75" i="6" s="1"/>
  <c r="N74" i="6" s="1"/>
  <c r="S78" i="6"/>
  <c r="W78" i="6" s="1"/>
  <c r="Z78" i="6" s="1"/>
  <c r="S79" i="6"/>
  <c r="W79" i="6" s="1"/>
  <c r="AA79" i="6" s="1"/>
  <c r="AD79" i="6" s="1"/>
  <c r="I75" i="6"/>
  <c r="Q75" i="6"/>
  <c r="Q74" i="6" s="1"/>
  <c r="M88" i="6"/>
  <c r="S126" i="6"/>
  <c r="S130" i="6"/>
  <c r="AA130" i="6" s="1"/>
  <c r="AD130" i="6" s="1"/>
  <c r="J109" i="6"/>
  <c r="V136" i="6"/>
  <c r="W141" i="6"/>
  <c r="Z141" i="6" s="1"/>
  <c r="AC141" i="6" s="1"/>
  <c r="AE141" i="6" s="1"/>
  <c r="W142" i="6"/>
  <c r="Z142" i="6" s="1"/>
  <c r="AC142" i="6" s="1"/>
  <c r="AE142" i="6" s="1"/>
  <c r="S146" i="6"/>
  <c r="S145" i="6" s="1"/>
  <c r="S144" i="6" s="1"/>
  <c r="S143" i="6" s="1"/>
  <c r="R110" i="6"/>
  <c r="AI31" i="6"/>
  <c r="H35" i="6"/>
  <c r="S35" i="6" s="1"/>
  <c r="S37" i="6"/>
  <c r="W37" i="6" s="1"/>
  <c r="AA37" i="6" s="1"/>
  <c r="AD37" i="6" s="1"/>
  <c r="O8" i="6"/>
  <c r="U8" i="6"/>
  <c r="S11" i="6"/>
  <c r="W11" i="6" s="1"/>
  <c r="AA11" i="6" s="1"/>
  <c r="AD11" i="6" s="1"/>
  <c r="S12" i="6"/>
  <c r="W12" i="6" s="1"/>
  <c r="AA12" i="6" s="1"/>
  <c r="AD12" i="6" s="1"/>
  <c r="S18" i="6"/>
  <c r="W18" i="6" s="1"/>
  <c r="Z18" i="6" s="1"/>
  <c r="S30" i="6"/>
  <c r="W30" i="6" s="1"/>
  <c r="AA30" i="6" s="1"/>
  <c r="AD30" i="6" s="1"/>
  <c r="S38" i="6"/>
  <c r="W38" i="6" s="1"/>
  <c r="Z38" i="6" s="1"/>
  <c r="AI43" i="6"/>
  <c r="R43" i="6"/>
  <c r="J48" i="6"/>
  <c r="T48" i="6"/>
  <c r="M49" i="6"/>
  <c r="M48" i="6" s="1"/>
  <c r="J56" i="6"/>
  <c r="S83" i="6"/>
  <c r="W83" i="6" s="1"/>
  <c r="Z83" i="6" s="1"/>
  <c r="T88" i="6"/>
  <c r="S95" i="6"/>
  <c r="W95" i="6" s="1"/>
  <c r="AA95" i="6" s="1"/>
  <c r="AD95" i="6" s="1"/>
  <c r="V110" i="6"/>
  <c r="H123" i="6"/>
  <c r="R9" i="6"/>
  <c r="S16" i="6"/>
  <c r="W16" i="6" s="1"/>
  <c r="Z16" i="6" s="1"/>
  <c r="AG45" i="6"/>
  <c r="M43" i="6"/>
  <c r="K48" i="6"/>
  <c r="AG48" i="6"/>
  <c r="W54" i="6"/>
  <c r="Z54" i="6" s="1"/>
  <c r="AC54" i="6" s="1"/>
  <c r="W55" i="6"/>
  <c r="R66" i="6"/>
  <c r="AH68" i="6"/>
  <c r="P75" i="6"/>
  <c r="P74" i="6" s="1"/>
  <c r="M76" i="6"/>
  <c r="R88" i="6"/>
  <c r="S112" i="6"/>
  <c r="AA112" i="6" s="1"/>
  <c r="AD112" i="6" s="1"/>
  <c r="S115" i="6"/>
  <c r="AA115" i="6" s="1"/>
  <c r="AD115" i="6" s="1"/>
  <c r="S118" i="6"/>
  <c r="AA118" i="6" s="1"/>
  <c r="AD118" i="6" s="1"/>
  <c r="S149" i="6"/>
  <c r="S148" i="6" s="1"/>
  <c r="S147" i="6" s="1"/>
  <c r="S150" i="6"/>
  <c r="M31" i="6"/>
  <c r="S32" i="6"/>
  <c r="O48" i="6"/>
  <c r="H57" i="6"/>
  <c r="Q56" i="6"/>
  <c r="T31" i="6"/>
  <c r="T8" i="6" s="1"/>
  <c r="V35" i="6"/>
  <c r="V31" i="6" s="1"/>
  <c r="S62" i="6"/>
  <c r="H61" i="6"/>
  <c r="S50" i="6"/>
  <c r="I56" i="6"/>
  <c r="S59" i="6"/>
  <c r="W59" i="6" s="1"/>
  <c r="M57" i="6"/>
  <c r="M66" i="6"/>
  <c r="W45" i="6"/>
  <c r="S51" i="6"/>
  <c r="W51" i="6" s="1"/>
  <c r="H9" i="6"/>
  <c r="S19" i="6"/>
  <c r="W19" i="6" s="1"/>
  <c r="S23" i="6"/>
  <c r="W23" i="6" s="1"/>
  <c r="S33" i="6"/>
  <c r="W33" i="6" s="1"/>
  <c r="V43" i="6"/>
  <c r="AH47" i="6"/>
  <c r="AG47" i="6"/>
  <c r="S47" i="6"/>
  <c r="W47" i="6" s="1"/>
  <c r="S53" i="6"/>
  <c r="H82" i="6"/>
  <c r="F81" i="6"/>
  <c r="F75" i="6" s="1"/>
  <c r="F74" i="6" s="1"/>
  <c r="W89" i="6"/>
  <c r="S101" i="6"/>
  <c r="H100" i="6"/>
  <c r="AI100" i="6"/>
  <c r="S46" i="6"/>
  <c r="W46" i="6" s="1"/>
  <c r="R81" i="6"/>
  <c r="H88" i="6"/>
  <c r="Z117" i="6"/>
  <c r="W117" i="6"/>
  <c r="AA117" i="6"/>
  <c r="AD117" i="6" s="1"/>
  <c r="AH89" i="6"/>
  <c r="AG97" i="6"/>
  <c r="M110" i="6"/>
  <c r="S121" i="6"/>
  <c r="R100" i="6"/>
  <c r="AI110" i="6"/>
  <c r="W135" i="6"/>
  <c r="Z135" i="6" s="1"/>
  <c r="S103" i="6"/>
  <c r="W103" i="6" s="1"/>
  <c r="S122" i="6"/>
  <c r="M123" i="6"/>
  <c r="H110" i="6"/>
  <c r="S128" i="6"/>
  <c r="S131" i="6"/>
  <c r="V125" i="6"/>
  <c r="S129" i="6"/>
  <c r="AG137" i="6"/>
  <c r="AG136" i="6" s="1"/>
  <c r="AG109" i="6" s="1"/>
  <c r="S137" i="6"/>
  <c r="AH137" i="6"/>
  <c r="AH136" i="6" s="1"/>
  <c r="AH109" i="6" s="1"/>
  <c r="AI136" i="6"/>
  <c r="W138" i="6"/>
  <c r="Z138" i="6" s="1"/>
  <c r="AC151" i="6"/>
  <c r="Z150" i="6"/>
  <c r="V124" i="6"/>
  <c r="S125" i="6"/>
  <c r="W140" i="6"/>
  <c r="Z140" i="6" s="1"/>
  <c r="H145" i="6"/>
  <c r="H144" i="6" s="1"/>
  <c r="H143" i="6" s="1"/>
  <c r="W133" i="6" l="1"/>
  <c r="Z133" i="6" s="1"/>
  <c r="Z99" i="6"/>
  <c r="W116" i="6"/>
  <c r="Z116" i="6" s="1"/>
  <c r="AC116" i="6" s="1"/>
  <c r="AE116" i="6" s="1"/>
  <c r="AB141" i="6"/>
  <c r="AA68" i="6"/>
  <c r="AD68" i="6" s="1"/>
  <c r="Z26" i="6"/>
  <c r="AB26" i="6" s="1"/>
  <c r="H48" i="6"/>
  <c r="Z40" i="6"/>
  <c r="AC40" i="6" s="1"/>
  <c r="AE40" i="6" s="1"/>
  <c r="K73" i="6"/>
  <c r="AA127" i="6"/>
  <c r="AD127" i="6" s="1"/>
  <c r="AE127" i="6" s="1"/>
  <c r="I7" i="6"/>
  <c r="AA90" i="6"/>
  <c r="AD90" i="6" s="1"/>
  <c r="AA65" i="6"/>
  <c r="AD65" i="6" s="1"/>
  <c r="AE65" i="6" s="1"/>
  <c r="AA10" i="6"/>
  <c r="AB10" i="6" s="1"/>
  <c r="T81" i="6"/>
  <c r="T75" i="6" s="1"/>
  <c r="T74" i="6" s="1"/>
  <c r="F109" i="6"/>
  <c r="F73" i="6" s="1"/>
  <c r="Z36" i="6"/>
  <c r="AC36" i="6" s="1"/>
  <c r="AE36" i="6" s="1"/>
  <c r="AA38" i="6"/>
  <c r="AD38" i="6" s="1"/>
  <c r="Z37" i="6"/>
  <c r="AC37" i="6" s="1"/>
  <c r="AE37" i="6" s="1"/>
  <c r="Z28" i="6"/>
  <c r="AC28" i="6" s="1"/>
  <c r="AA28" i="6"/>
  <c r="AD28" i="6" s="1"/>
  <c r="W119" i="6"/>
  <c r="Z119" i="6" s="1"/>
  <c r="AB119" i="6" s="1"/>
  <c r="AH43" i="6"/>
  <c r="AH8" i="6" s="1"/>
  <c r="AA120" i="6"/>
  <c r="AD120" i="6" s="1"/>
  <c r="AE120" i="6" s="1"/>
  <c r="U88" i="6"/>
  <c r="U75" i="6" s="1"/>
  <c r="U74" i="6" s="1"/>
  <c r="AG88" i="6"/>
  <c r="AG81" i="6" s="1"/>
  <c r="AG75" i="6" s="1"/>
  <c r="AG74" i="6" s="1"/>
  <c r="AG73" i="6" s="1"/>
  <c r="AJ74" i="6" s="1"/>
  <c r="W134" i="6"/>
  <c r="Z134" i="6" s="1"/>
  <c r="AC134" i="6" s="1"/>
  <c r="AE134" i="6" s="1"/>
  <c r="S66" i="6"/>
  <c r="Z71" i="6"/>
  <c r="AB71" i="6" s="1"/>
  <c r="U61" i="6"/>
  <c r="U56" i="6" s="1"/>
  <c r="Q7" i="6"/>
  <c r="AA83" i="6"/>
  <c r="AD83" i="6" s="1"/>
  <c r="V48" i="6"/>
  <c r="AA108" i="6"/>
  <c r="AD108" i="6" s="1"/>
  <c r="Z108" i="6"/>
  <c r="AC108" i="6" s="1"/>
  <c r="Z20" i="6"/>
  <c r="AC20" i="6" s="1"/>
  <c r="AA20" i="6"/>
  <c r="AD20" i="6" s="1"/>
  <c r="AA18" i="6"/>
  <c r="AD18" i="6" s="1"/>
  <c r="Z24" i="6"/>
  <c r="AC24" i="6" s="1"/>
  <c r="AE24" i="6" s="1"/>
  <c r="G73" i="6"/>
  <c r="R109" i="6"/>
  <c r="AE91" i="6"/>
  <c r="Z80" i="6"/>
  <c r="AC80" i="6" s="1"/>
  <c r="AE80" i="6" s="1"/>
  <c r="Q73" i="6"/>
  <c r="AA14" i="6"/>
  <c r="AD14" i="6" s="1"/>
  <c r="AB139" i="6"/>
  <c r="U49" i="6"/>
  <c r="U48" i="6" s="1"/>
  <c r="Z72" i="6"/>
  <c r="AC72" i="6" s="1"/>
  <c r="AA72" i="6"/>
  <c r="AD72" i="6" s="1"/>
  <c r="Z95" i="6"/>
  <c r="AB95" i="6" s="1"/>
  <c r="AA98" i="6"/>
  <c r="AD98" i="6" s="1"/>
  <c r="P73" i="6"/>
  <c r="AA146" i="6"/>
  <c r="AD146" i="6" s="1"/>
  <c r="AD145" i="6" s="1"/>
  <c r="AD144" i="6" s="1"/>
  <c r="AD143" i="6" s="1"/>
  <c r="I74" i="6"/>
  <c r="I73" i="6" s="1"/>
  <c r="W112" i="6"/>
  <c r="Z112" i="6" s="1"/>
  <c r="AB112" i="6" s="1"/>
  <c r="W118" i="6"/>
  <c r="Z118" i="6" s="1"/>
  <c r="AC118" i="6" s="1"/>
  <c r="AE118" i="6" s="1"/>
  <c r="AA67" i="6"/>
  <c r="AD67" i="6" s="1"/>
  <c r="Z34" i="6"/>
  <c r="AC34" i="6" s="1"/>
  <c r="AE34" i="6" s="1"/>
  <c r="Z11" i="6"/>
  <c r="AB11" i="6" s="1"/>
  <c r="W111" i="6"/>
  <c r="Z111" i="6" s="1"/>
  <c r="R75" i="6"/>
  <c r="R74" i="6" s="1"/>
  <c r="AB142" i="6"/>
  <c r="AA42" i="6"/>
  <c r="AD42" i="6" s="1"/>
  <c r="AE42" i="6" s="1"/>
  <c r="Z15" i="6"/>
  <c r="AB15" i="6" s="1"/>
  <c r="AH66" i="6"/>
  <c r="AH56" i="6" s="1"/>
  <c r="AA107" i="6"/>
  <c r="AD107" i="6" s="1"/>
  <c r="Z17" i="6"/>
  <c r="AB17" i="6" s="1"/>
  <c r="AA132" i="6"/>
  <c r="AD132" i="6" s="1"/>
  <c r="X105" i="6"/>
  <c r="H109" i="6"/>
  <c r="W130" i="6"/>
  <c r="Z130" i="6" s="1"/>
  <c r="AB130" i="6" s="1"/>
  <c r="Z96" i="6"/>
  <c r="AB96" i="6" s="1"/>
  <c r="AB91" i="6"/>
  <c r="AA29" i="6"/>
  <c r="AD29" i="6" s="1"/>
  <c r="Z29" i="6"/>
  <c r="AC29" i="6" s="1"/>
  <c r="AC85" i="6"/>
  <c r="AH88" i="6"/>
  <c r="AH81" i="6" s="1"/>
  <c r="AH75" i="6" s="1"/>
  <c r="AH74" i="6" s="1"/>
  <c r="AH73" i="6" s="1"/>
  <c r="AK74" i="6" s="1"/>
  <c r="W66" i="6"/>
  <c r="AA113" i="6"/>
  <c r="AD113" i="6" s="1"/>
  <c r="Z102" i="6"/>
  <c r="AC102" i="6" s="1"/>
  <c r="AE102" i="6" s="1"/>
  <c r="S88" i="6"/>
  <c r="AA70" i="6"/>
  <c r="AD70" i="6" s="1"/>
  <c r="H31" i="6"/>
  <c r="H8" i="6" s="1"/>
  <c r="AA54" i="6"/>
  <c r="AB54" i="6" s="1"/>
  <c r="AA39" i="6"/>
  <c r="AD39" i="6" s="1"/>
  <c r="AE39" i="6" s="1"/>
  <c r="Z30" i="6"/>
  <c r="AC30" i="6" s="1"/>
  <c r="AE30" i="6" s="1"/>
  <c r="AA13" i="6"/>
  <c r="AD13" i="6" s="1"/>
  <c r="AA85" i="6"/>
  <c r="AD85" i="6" s="1"/>
  <c r="W114" i="6"/>
  <c r="Z114" i="6" s="1"/>
  <c r="AC114" i="6" s="1"/>
  <c r="AE114" i="6" s="1"/>
  <c r="AA92" i="6"/>
  <c r="AD92" i="6" s="1"/>
  <c r="AE92" i="6" s="1"/>
  <c r="AA78" i="6"/>
  <c r="AD78" i="6" s="1"/>
  <c r="M75" i="6"/>
  <c r="M74" i="6" s="1"/>
  <c r="K7" i="6"/>
  <c r="L73" i="6"/>
  <c r="W151" i="6"/>
  <c r="W150" i="6" s="1"/>
  <c r="U146" i="6"/>
  <c r="V146" i="6" s="1"/>
  <c r="M8" i="6"/>
  <c r="Z21" i="6"/>
  <c r="AC21" i="6" s="1"/>
  <c r="AE21" i="6" s="1"/>
  <c r="F7" i="6"/>
  <c r="W52" i="6"/>
  <c r="Z52" i="6" s="1"/>
  <c r="O7" i="6"/>
  <c r="S106" i="6"/>
  <c r="W106" i="6" s="1"/>
  <c r="N73" i="6"/>
  <c r="G7" i="6"/>
  <c r="AA22" i="6"/>
  <c r="AD22" i="6" s="1"/>
  <c r="AA41" i="6"/>
  <c r="AD41" i="6" s="1"/>
  <c r="Z41" i="6"/>
  <c r="AC41" i="6" s="1"/>
  <c r="L7" i="6"/>
  <c r="R56" i="6"/>
  <c r="AA16" i="6"/>
  <c r="AD16" i="6" s="1"/>
  <c r="R8" i="6"/>
  <c r="AA104" i="6"/>
  <c r="AD104" i="6" s="1"/>
  <c r="AA25" i="6"/>
  <c r="AD25" i="6" s="1"/>
  <c r="Z25" i="6"/>
  <c r="AC25" i="6" s="1"/>
  <c r="V88" i="6"/>
  <c r="V75" i="6" s="1"/>
  <c r="V74" i="6" s="1"/>
  <c r="O73" i="6"/>
  <c r="W64" i="6"/>
  <c r="AA64" i="6" s="1"/>
  <c r="AD64" i="6" s="1"/>
  <c r="W115" i="6"/>
  <c r="Z115" i="6" s="1"/>
  <c r="AC115" i="6" s="1"/>
  <c r="AE115" i="6" s="1"/>
  <c r="AG43" i="6"/>
  <c r="AG8" i="6" s="1"/>
  <c r="AG7" i="6" s="1"/>
  <c r="J73" i="6"/>
  <c r="W149" i="6"/>
  <c r="Z149" i="6" s="1"/>
  <c r="AA60" i="6"/>
  <c r="AD60" i="6" s="1"/>
  <c r="Z60" i="6"/>
  <c r="AC60" i="6" s="1"/>
  <c r="N7" i="6"/>
  <c r="AI56" i="6"/>
  <c r="P7" i="6"/>
  <c r="J7" i="6"/>
  <c r="AI74" i="6"/>
  <c r="W35" i="6"/>
  <c r="Z35" i="6" s="1"/>
  <c r="W53" i="6"/>
  <c r="AI8" i="6"/>
  <c r="S76" i="6"/>
  <c r="T7" i="6"/>
  <c r="W126" i="6"/>
  <c r="Z126" i="6" s="1"/>
  <c r="AA126" i="6"/>
  <c r="AD126" i="6" s="1"/>
  <c r="Z79" i="6"/>
  <c r="AB79" i="6" s="1"/>
  <c r="AA94" i="6"/>
  <c r="AD94" i="6" s="1"/>
  <c r="Z12" i="6"/>
  <c r="AB12" i="6" s="1"/>
  <c r="Z55" i="6"/>
  <c r="AA55" i="6"/>
  <c r="AD55" i="6" s="1"/>
  <c r="Z93" i="6"/>
  <c r="AA93" i="6"/>
  <c r="AD93" i="6" s="1"/>
  <c r="AI109" i="6"/>
  <c r="V8" i="6"/>
  <c r="V56" i="6"/>
  <c r="AD111" i="6"/>
  <c r="W76" i="6"/>
  <c r="AA77" i="6"/>
  <c r="Z77" i="6"/>
  <c r="AA89" i="6"/>
  <c r="Z89" i="6"/>
  <c r="W88" i="6"/>
  <c r="AC38" i="6"/>
  <c r="W50" i="6"/>
  <c r="S49" i="6"/>
  <c r="S48" i="6" s="1"/>
  <c r="W125" i="6"/>
  <c r="Z125" i="6" s="1"/>
  <c r="AA125" i="6"/>
  <c r="AD125" i="6" s="1"/>
  <c r="AC150" i="6"/>
  <c r="S136" i="6"/>
  <c r="W137" i="6"/>
  <c r="AA137" i="6"/>
  <c r="AA128" i="6"/>
  <c r="AD128" i="6" s="1"/>
  <c r="W128" i="6"/>
  <c r="Z128" i="6" s="1"/>
  <c r="AA122" i="6"/>
  <c r="AD122" i="6" s="1"/>
  <c r="W122" i="6"/>
  <c r="Z122" i="6" s="1"/>
  <c r="AC133" i="6"/>
  <c r="AE133" i="6" s="1"/>
  <c r="AB133" i="6"/>
  <c r="S123" i="6"/>
  <c r="M109" i="6"/>
  <c r="AC132" i="6"/>
  <c r="AC117" i="6"/>
  <c r="AE117" i="6" s="1"/>
  <c r="AB117" i="6"/>
  <c r="AA46" i="6"/>
  <c r="AD46" i="6" s="1"/>
  <c r="Z46" i="6"/>
  <c r="AC94" i="6"/>
  <c r="AC70" i="6"/>
  <c r="AA23" i="6"/>
  <c r="AD23" i="6" s="1"/>
  <c r="Z23" i="6"/>
  <c r="M56" i="6"/>
  <c r="S9" i="6"/>
  <c r="AC107" i="6"/>
  <c r="AA131" i="6"/>
  <c r="AD131" i="6" s="1"/>
  <c r="W131" i="6"/>
  <c r="Z131" i="6" s="1"/>
  <c r="AC78" i="6"/>
  <c r="AC83" i="6"/>
  <c r="W57" i="6"/>
  <c r="AA58" i="6"/>
  <c r="Z58" i="6"/>
  <c r="S31" i="6"/>
  <c r="W32" i="6"/>
  <c r="AC16" i="6"/>
  <c r="AC138" i="6"/>
  <c r="AE138" i="6" s="1"/>
  <c r="AB138" i="6"/>
  <c r="W124" i="6"/>
  <c r="AA97" i="6"/>
  <c r="AD97" i="6" s="1"/>
  <c r="Z97" i="6"/>
  <c r="AC98" i="6"/>
  <c r="W86" i="6"/>
  <c r="AA87" i="6"/>
  <c r="AD87" i="6" s="1"/>
  <c r="Z87" i="6"/>
  <c r="H81" i="6"/>
  <c r="H75" i="6" s="1"/>
  <c r="H74" i="6" s="1"/>
  <c r="S82" i="6"/>
  <c r="AB99" i="6"/>
  <c r="AC99" i="6"/>
  <c r="AE99" i="6" s="1"/>
  <c r="AC90" i="6"/>
  <c r="AC68" i="6"/>
  <c r="AE68" i="6" s="1"/>
  <c r="AA19" i="6"/>
  <c r="AD19" i="6" s="1"/>
  <c r="Z19" i="6"/>
  <c r="AA51" i="6"/>
  <c r="AD51" i="6" s="1"/>
  <c r="Z51" i="6"/>
  <c r="AC67" i="6"/>
  <c r="AA59" i="6"/>
  <c r="AD59" i="6" s="1"/>
  <c r="Z59" i="6"/>
  <c r="Z44" i="6"/>
  <c r="W43" i="6"/>
  <c r="AA44" i="6"/>
  <c r="AA63" i="6"/>
  <c r="AD63" i="6" s="1"/>
  <c r="Z63" i="6"/>
  <c r="H56" i="6"/>
  <c r="AC104" i="6"/>
  <c r="AC22" i="6"/>
  <c r="AC13" i="6"/>
  <c r="W9" i="6"/>
  <c r="AC113" i="6"/>
  <c r="AA27" i="6"/>
  <c r="AD27" i="6" s="1"/>
  <c r="Z27" i="6"/>
  <c r="AC18" i="6"/>
  <c r="AC140" i="6"/>
  <c r="AE140" i="6" s="1"/>
  <c r="AB140" i="6"/>
  <c r="T129" i="6"/>
  <c r="AA129" i="6"/>
  <c r="AD129" i="6" s="1"/>
  <c r="AA103" i="6"/>
  <c r="AD103" i="6" s="1"/>
  <c r="Z103" i="6"/>
  <c r="AC135" i="6"/>
  <c r="AE135" i="6" s="1"/>
  <c r="AB135" i="6"/>
  <c r="AD124" i="6"/>
  <c r="AA121" i="6"/>
  <c r="AD121" i="6" s="1"/>
  <c r="W121" i="6"/>
  <c r="Z121" i="6" s="1"/>
  <c r="S110" i="6"/>
  <c r="AA69" i="6"/>
  <c r="AD69" i="6" s="1"/>
  <c r="Z69" i="6"/>
  <c r="W101" i="6"/>
  <c r="AA84" i="6"/>
  <c r="AD84" i="6" s="1"/>
  <c r="Z84" i="6"/>
  <c r="AA47" i="6"/>
  <c r="AD47" i="6" s="1"/>
  <c r="Z47" i="6"/>
  <c r="AA33" i="6"/>
  <c r="AD33" i="6" s="1"/>
  <c r="Z33" i="6"/>
  <c r="AA45" i="6"/>
  <c r="AD45" i="6" s="1"/>
  <c r="Z45" i="6"/>
  <c r="S43" i="6"/>
  <c r="S61" i="6"/>
  <c r="W62" i="6"/>
  <c r="S57" i="6"/>
  <c r="AC10" i="6"/>
  <c r="AC14" i="6"/>
  <c r="AE90" i="6" l="1"/>
  <c r="AB37" i="6"/>
  <c r="AB116" i="6"/>
  <c r="AB80" i="6"/>
  <c r="AB68" i="6"/>
  <c r="AB13" i="6"/>
  <c r="U145" i="6"/>
  <c r="U144" i="6" s="1"/>
  <c r="U143" i="6" s="1"/>
  <c r="AB67" i="6"/>
  <c r="AC26" i="6"/>
  <c r="AE26" i="6" s="1"/>
  <c r="AB127" i="6"/>
  <c r="AC95" i="6"/>
  <c r="AE95" i="6" s="1"/>
  <c r="AD10" i="6"/>
  <c r="AE10" i="6" s="1"/>
  <c r="AE108" i="6"/>
  <c r="AB38" i="6"/>
  <c r="AB120" i="6"/>
  <c r="AB107" i="6"/>
  <c r="AE38" i="6"/>
  <c r="AB98" i="6"/>
  <c r="AB36" i="6"/>
  <c r="K152" i="6"/>
  <c r="K157" i="6" s="1"/>
  <c r="AB34" i="6"/>
  <c r="AC130" i="6"/>
  <c r="AE130" i="6" s="1"/>
  <c r="AB40" i="6"/>
  <c r="AC112" i="6"/>
  <c r="AE112" i="6" s="1"/>
  <c r="AB92" i="6"/>
  <c r="AB108" i="6"/>
  <c r="AE70" i="6"/>
  <c r="AB70" i="6"/>
  <c r="AE107" i="6"/>
  <c r="AE22" i="6"/>
  <c r="AE18" i="6"/>
  <c r="AB18" i="6"/>
  <c r="AB22" i="6"/>
  <c r="AE98" i="6"/>
  <c r="AB134" i="6"/>
  <c r="AC119" i="6"/>
  <c r="AE119" i="6" s="1"/>
  <c r="AA145" i="6"/>
  <c r="AA144" i="6" s="1"/>
  <c r="AA143" i="6" s="1"/>
  <c r="M7" i="6"/>
  <c r="I152" i="6"/>
  <c r="I157" i="6" s="1"/>
  <c r="AE29" i="6"/>
  <c r="AE132" i="6"/>
  <c r="AE20" i="6"/>
  <c r="AE28" i="6"/>
  <c r="AE14" i="6"/>
  <c r="AC71" i="6"/>
  <c r="AE71" i="6" s="1"/>
  <c r="AB65" i="6"/>
  <c r="AB90" i="6"/>
  <c r="AB29" i="6"/>
  <c r="AB28" i="6"/>
  <c r="AC17" i="6"/>
  <c r="AE17" i="6" s="1"/>
  <c r="AC11" i="6"/>
  <c r="AE11" i="6" s="1"/>
  <c r="U7" i="6"/>
  <c r="AB21" i="6"/>
  <c r="W148" i="6"/>
  <c r="W147" i="6" s="1"/>
  <c r="AA149" i="6"/>
  <c r="AD149" i="6" s="1"/>
  <c r="AD148" i="6" s="1"/>
  <c r="F152" i="6"/>
  <c r="AC12" i="6"/>
  <c r="AE12" i="6" s="1"/>
  <c r="L152" i="6"/>
  <c r="L157" i="6" s="1"/>
  <c r="AE113" i="6"/>
  <c r="AE13" i="6"/>
  <c r="AB83" i="6"/>
  <c r="AB42" i="6"/>
  <c r="AH7" i="6"/>
  <c r="AH152" i="6" s="1"/>
  <c r="AB16" i="6"/>
  <c r="AB72" i="6"/>
  <c r="AC15" i="6"/>
  <c r="AE15" i="6" s="1"/>
  <c r="AC96" i="6"/>
  <c r="AE96" i="6" s="1"/>
  <c r="AB118" i="6"/>
  <c r="Q152" i="6"/>
  <c r="Q157" i="6" s="1"/>
  <c r="AB115" i="6"/>
  <c r="AE25" i="6"/>
  <c r="AE16" i="6"/>
  <c r="AE60" i="6"/>
  <c r="AA35" i="6"/>
  <c r="AD35" i="6" s="1"/>
  <c r="AB24" i="6"/>
  <c r="AB14" i="6"/>
  <c r="AB20" i="6"/>
  <c r="Z64" i="6"/>
  <c r="AC64" i="6" s="1"/>
  <c r="AE64" i="6" s="1"/>
  <c r="AE72" i="6"/>
  <c r="R73" i="6"/>
  <c r="AB30" i="6"/>
  <c r="AA52" i="6"/>
  <c r="AD52" i="6" s="1"/>
  <c r="H73" i="6"/>
  <c r="G152" i="6"/>
  <c r="AB39" i="6"/>
  <c r="AB132" i="6"/>
  <c r="P152" i="6"/>
  <c r="AB60" i="6"/>
  <c r="AB113" i="6"/>
  <c r="AB114" i="6"/>
  <c r="AA53" i="6"/>
  <c r="AB25" i="6"/>
  <c r="AE85" i="6"/>
  <c r="AB102" i="6"/>
  <c r="AD54" i="6"/>
  <c r="AD53" i="6" s="1"/>
  <c r="AE78" i="6"/>
  <c r="AE41" i="6"/>
  <c r="AB94" i="6"/>
  <c r="AB85" i="6"/>
  <c r="AA151" i="6"/>
  <c r="AA150" i="6" s="1"/>
  <c r="AB78" i="6"/>
  <c r="AB41" i="6"/>
  <c r="AE94" i="6"/>
  <c r="AB104" i="6"/>
  <c r="S100" i="6"/>
  <c r="AE104" i="6"/>
  <c r="N152" i="6"/>
  <c r="N157" i="6" s="1"/>
  <c r="AI7" i="6"/>
  <c r="O152" i="6"/>
  <c r="O157" i="6" s="1"/>
  <c r="R7" i="6"/>
  <c r="AC79" i="6"/>
  <c r="AE79" i="6" s="1"/>
  <c r="J152" i="6"/>
  <c r="J157" i="6" s="1"/>
  <c r="AG152" i="6"/>
  <c r="AI73" i="6"/>
  <c r="H7" i="6"/>
  <c r="AC126" i="6"/>
  <c r="AE126" i="6" s="1"/>
  <c r="AB126" i="6"/>
  <c r="AB55" i="6"/>
  <c r="AB53" i="6" s="1"/>
  <c r="Z53" i="6"/>
  <c r="AC55" i="6"/>
  <c r="S56" i="6"/>
  <c r="M73" i="6"/>
  <c r="AD66" i="6"/>
  <c r="V7" i="6"/>
  <c r="AB93" i="6"/>
  <c r="AC93" i="6"/>
  <c r="AE93" i="6" s="1"/>
  <c r="AC45" i="6"/>
  <c r="AE45" i="6" s="1"/>
  <c r="AB45" i="6"/>
  <c r="Z101" i="6"/>
  <c r="AA101" i="6"/>
  <c r="W100" i="6"/>
  <c r="AC35" i="6"/>
  <c r="AD44" i="6"/>
  <c r="AD43" i="6" s="1"/>
  <c r="AA43" i="6"/>
  <c r="Z124" i="6"/>
  <c r="AC23" i="6"/>
  <c r="AE23" i="6" s="1"/>
  <c r="AB23" i="6"/>
  <c r="AA62" i="6"/>
  <c r="Z62" i="6"/>
  <c r="W61" i="6"/>
  <c r="W56" i="6" s="1"/>
  <c r="AC69" i="6"/>
  <c r="AE69" i="6" s="1"/>
  <c r="AB69" i="6"/>
  <c r="U129" i="6"/>
  <c r="U123" i="6" s="1"/>
  <c r="U109" i="6" s="1"/>
  <c r="U73" i="6" s="1"/>
  <c r="T123" i="6"/>
  <c r="T109" i="6" s="1"/>
  <c r="T73" i="6" s="1"/>
  <c r="T152" i="6" s="1"/>
  <c r="AC27" i="6"/>
  <c r="AE27" i="6" s="1"/>
  <c r="AB27" i="6"/>
  <c r="AB59" i="6"/>
  <c r="AC59" i="6"/>
  <c r="AE59" i="6" s="1"/>
  <c r="AE67" i="6"/>
  <c r="W82" i="6"/>
  <c r="S81" i="6"/>
  <c r="S75" i="6" s="1"/>
  <c r="AA86" i="6"/>
  <c r="AD86" i="6" s="1"/>
  <c r="Z86" i="6"/>
  <c r="AB111" i="6"/>
  <c r="Z110" i="6"/>
  <c r="AC111" i="6"/>
  <c r="AA57" i="6"/>
  <c r="AD58" i="6"/>
  <c r="AD57" i="6" s="1"/>
  <c r="AC131" i="6"/>
  <c r="AE131" i="6" s="1"/>
  <c r="AB131" i="6"/>
  <c r="AA9" i="6"/>
  <c r="V145" i="6"/>
  <c r="V144" i="6" s="1"/>
  <c r="V143" i="6" s="1"/>
  <c r="W146" i="6"/>
  <c r="AD110" i="6"/>
  <c r="AC51" i="6"/>
  <c r="AE51" i="6" s="1"/>
  <c r="AB51" i="6"/>
  <c r="W110" i="6"/>
  <c r="AC58" i="6"/>
  <c r="AB58" i="6"/>
  <c r="Z57" i="6"/>
  <c r="AK10" i="6"/>
  <c r="AC47" i="6"/>
  <c r="AE47" i="6" s="1"/>
  <c r="AB47" i="6"/>
  <c r="S109" i="6"/>
  <c r="AD123" i="6"/>
  <c r="AC63" i="6"/>
  <c r="AE63" i="6" s="1"/>
  <c r="AB63" i="6"/>
  <c r="AC44" i="6"/>
  <c r="AB44" i="6"/>
  <c r="Z43" i="6"/>
  <c r="AC19" i="6"/>
  <c r="AE19" i="6" s="1"/>
  <c r="AB19" i="6"/>
  <c r="AC52" i="6"/>
  <c r="AC97" i="6"/>
  <c r="AE97" i="6" s="1"/>
  <c r="AB97" i="6"/>
  <c r="AA32" i="6"/>
  <c r="Z32" i="6"/>
  <c r="W31" i="6"/>
  <c r="W8" i="6" s="1"/>
  <c r="S8" i="6"/>
  <c r="AB46" i="6"/>
  <c r="AC46" i="6"/>
  <c r="AE46" i="6" s="1"/>
  <c r="AB128" i="6"/>
  <c r="AC128" i="6"/>
  <c r="AE128" i="6" s="1"/>
  <c r="AA136" i="6"/>
  <c r="AD137" i="6"/>
  <c r="AD136" i="6" s="1"/>
  <c r="AA50" i="6"/>
  <c r="Z50" i="6"/>
  <c r="W49" i="6"/>
  <c r="W48" i="6" s="1"/>
  <c r="Z88" i="6"/>
  <c r="AC89" i="6"/>
  <c r="AB89" i="6"/>
  <c r="AC77" i="6"/>
  <c r="AB77" i="6"/>
  <c r="Z76" i="6"/>
  <c r="AA110" i="6"/>
  <c r="AC149" i="6"/>
  <c r="AC33" i="6"/>
  <c r="AE33" i="6" s="1"/>
  <c r="AB33" i="6"/>
  <c r="AC84" i="6"/>
  <c r="AE84" i="6" s="1"/>
  <c r="AB84" i="6"/>
  <c r="AB121" i="6"/>
  <c r="AC121" i="6"/>
  <c r="AE121" i="6" s="1"/>
  <c r="AE83" i="6"/>
  <c r="AB122" i="6"/>
  <c r="AC122" i="6"/>
  <c r="AE122" i="6" s="1"/>
  <c r="AB125" i="6"/>
  <c r="AC125" i="6"/>
  <c r="AE125" i="6" s="1"/>
  <c r="Z9" i="6"/>
  <c r="AA123" i="6"/>
  <c r="AB103" i="6"/>
  <c r="AC103" i="6"/>
  <c r="AE103" i="6" s="1"/>
  <c r="Z66" i="6"/>
  <c r="AC87" i="6"/>
  <c r="AE87" i="6" s="1"/>
  <c r="AB87" i="6"/>
  <c r="W136" i="6"/>
  <c r="Z137" i="6"/>
  <c r="AA66" i="6"/>
  <c r="AD89" i="6"/>
  <c r="AD88" i="6" s="1"/>
  <c r="AA88" i="6"/>
  <c r="AA76" i="6"/>
  <c r="AD77" i="6"/>
  <c r="AD76" i="6" s="1"/>
  <c r="AK5" i="3"/>
  <c r="AK6" i="3" s="1"/>
  <c r="AK17" i="3"/>
  <c r="AL20" i="3"/>
  <c r="AM20" i="3" s="1"/>
  <c r="T22" i="3"/>
  <c r="V22" i="3" s="1"/>
  <c r="H22" i="3"/>
  <c r="S22" i="3" s="1"/>
  <c r="AI11" i="3"/>
  <c r="AH11" i="3" s="1"/>
  <c r="V11" i="3"/>
  <c r="R11" i="3"/>
  <c r="M11" i="3"/>
  <c r="H11" i="3"/>
  <c r="AI21" i="3"/>
  <c r="AG21" i="3" s="1"/>
  <c r="V21" i="3"/>
  <c r="R21" i="3"/>
  <c r="M21" i="3"/>
  <c r="H21" i="3"/>
  <c r="AI20" i="3"/>
  <c r="AH20" i="3" s="1"/>
  <c r="V20" i="3"/>
  <c r="R20" i="3"/>
  <c r="M20" i="3"/>
  <c r="H20" i="3"/>
  <c r="AI18" i="3"/>
  <c r="AG18" i="3" s="1"/>
  <c r="V18" i="3"/>
  <c r="R18" i="3"/>
  <c r="M18" i="3"/>
  <c r="H18" i="3"/>
  <c r="AI19" i="3"/>
  <c r="S19" i="3" s="1"/>
  <c r="V19" i="3"/>
  <c r="R19" i="3"/>
  <c r="M19" i="3"/>
  <c r="H19" i="3"/>
  <c r="AI17" i="3"/>
  <c r="AG17" i="3" s="1"/>
  <c r="R17" i="3"/>
  <c r="M17" i="3"/>
  <c r="H17" i="3"/>
  <c r="AI16" i="3"/>
  <c r="V16" i="3"/>
  <c r="R16" i="3"/>
  <c r="M16" i="3"/>
  <c r="H16" i="3"/>
  <c r="V15" i="3"/>
  <c r="W15" i="3" s="1"/>
  <c r="AA15" i="3" s="1"/>
  <c r="AD15" i="3" s="1"/>
  <c r="R15" i="3"/>
  <c r="M15" i="3"/>
  <c r="H15" i="3"/>
  <c r="AI14" i="3"/>
  <c r="AH14" i="3" s="1"/>
  <c r="V14" i="3"/>
  <c r="R14" i="3"/>
  <c r="M14" i="3"/>
  <c r="H14" i="3"/>
  <c r="AI13" i="3"/>
  <c r="AH13" i="3" s="1"/>
  <c r="V13" i="3"/>
  <c r="R13" i="3"/>
  <c r="M13" i="3"/>
  <c r="H13" i="3"/>
  <c r="Q12" i="3"/>
  <c r="P12" i="3"/>
  <c r="O12" i="3"/>
  <c r="N12" i="3"/>
  <c r="L12" i="3"/>
  <c r="K12" i="3"/>
  <c r="J12" i="3"/>
  <c r="I12" i="3"/>
  <c r="G12" i="3"/>
  <c r="F12" i="3"/>
  <c r="AI10" i="3"/>
  <c r="V10" i="3"/>
  <c r="R10" i="3"/>
  <c r="M10" i="3"/>
  <c r="H10" i="3"/>
  <c r="AI9" i="3"/>
  <c r="R9" i="3"/>
  <c r="M9" i="3"/>
  <c r="H9" i="3"/>
  <c r="AI8" i="3"/>
  <c r="AC8" i="3"/>
  <c r="V8" i="3"/>
  <c r="R8" i="3"/>
  <c r="M8" i="3"/>
  <c r="F8" i="3"/>
  <c r="H8" i="3" s="1"/>
  <c r="U7" i="3"/>
  <c r="Q7" i="3"/>
  <c r="P7" i="3"/>
  <c r="O7" i="3"/>
  <c r="N7" i="3"/>
  <c r="L7" i="3"/>
  <c r="K7" i="3"/>
  <c r="J7" i="3"/>
  <c r="I7" i="3"/>
  <c r="G7" i="3"/>
  <c r="AB35" i="6" l="1"/>
  <c r="AB52" i="6"/>
  <c r="AD9" i="6"/>
  <c r="AD151" i="6"/>
  <c r="AD150" i="6" s="1"/>
  <c r="AE35" i="6"/>
  <c r="AE52" i="6"/>
  <c r="U152" i="6"/>
  <c r="AB151" i="6"/>
  <c r="AB150" i="6" s="1"/>
  <c r="AB66" i="6"/>
  <c r="M152" i="6"/>
  <c r="M157" i="6" s="1"/>
  <c r="AB149" i="6"/>
  <c r="AA148" i="6"/>
  <c r="AB148" i="6" s="1"/>
  <c r="AB64" i="6"/>
  <c r="AD157" i="6"/>
  <c r="P157" i="6"/>
  <c r="R152" i="6"/>
  <c r="R157" i="6" s="1"/>
  <c r="AE54" i="6"/>
  <c r="H152" i="6"/>
  <c r="AE149" i="6"/>
  <c r="AB76" i="6"/>
  <c r="AB9" i="6"/>
  <c r="S74" i="6"/>
  <c r="S73" i="6" s="1"/>
  <c r="AI152" i="6"/>
  <c r="AL74" i="6"/>
  <c r="AC157" i="6"/>
  <c r="S7" i="6"/>
  <c r="AB88" i="6"/>
  <c r="AP13" i="3"/>
  <c r="V129" i="6"/>
  <c r="V123" i="6" s="1"/>
  <c r="V109" i="6" s="1"/>
  <c r="V73" i="6" s="1"/>
  <c r="V152" i="6" s="1"/>
  <c r="AB43" i="6"/>
  <c r="AE9" i="6"/>
  <c r="W7" i="6"/>
  <c r="AE55" i="6"/>
  <c r="AE53" i="6" s="1"/>
  <c r="AC53" i="6"/>
  <c r="AB110" i="6"/>
  <c r="AC101" i="6"/>
  <c r="AB101" i="6"/>
  <c r="AB100" i="6" s="1"/>
  <c r="Z100" i="6"/>
  <c r="AB137" i="6"/>
  <c r="AB136" i="6" s="1"/>
  <c r="AC137" i="6"/>
  <c r="Z136" i="6"/>
  <c r="AA49" i="6"/>
  <c r="AA48" i="6" s="1"/>
  <c r="AD50" i="6"/>
  <c r="AD49" i="6" s="1"/>
  <c r="AD48" i="6" s="1"/>
  <c r="AA31" i="6"/>
  <c r="AA8" i="6" s="1"/>
  <c r="AD32" i="6"/>
  <c r="AD31" i="6" s="1"/>
  <c r="AC43" i="6"/>
  <c r="AE44" i="6"/>
  <c r="AE43" i="6" s="1"/>
  <c r="AC9" i="6"/>
  <c r="AB57" i="6"/>
  <c r="AB86" i="6"/>
  <c r="AC86" i="6"/>
  <c r="AE66" i="6"/>
  <c r="AD147" i="6"/>
  <c r="AE147" i="6" s="1"/>
  <c r="AE148" i="6"/>
  <c r="AE89" i="6"/>
  <c r="AE88" i="6" s="1"/>
  <c r="AC88" i="6"/>
  <c r="Z49" i="6"/>
  <c r="Z48" i="6" s="1"/>
  <c r="AC50" i="6"/>
  <c r="AB50" i="6"/>
  <c r="AB49" i="6" s="1"/>
  <c r="AB48" i="6" s="1"/>
  <c r="W81" i="6"/>
  <c r="W75" i="6" s="1"/>
  <c r="W74" i="6" s="1"/>
  <c r="AA82" i="6"/>
  <c r="AC76" i="6"/>
  <c r="AE77" i="6"/>
  <c r="AE76" i="6" s="1"/>
  <c r="AC57" i="6"/>
  <c r="AE58" i="6"/>
  <c r="AE57" i="6" s="1"/>
  <c r="AD109" i="6"/>
  <c r="AE111" i="6"/>
  <c r="AE110" i="6" s="1"/>
  <c r="AC110" i="6"/>
  <c r="AC66" i="6"/>
  <c r="Z61" i="6"/>
  <c r="Z56" i="6" s="1"/>
  <c r="AC62" i="6"/>
  <c r="AB62" i="6"/>
  <c r="AB124" i="6"/>
  <c r="AC124" i="6"/>
  <c r="AB32" i="6"/>
  <c r="Z31" i="6"/>
  <c r="Z8" i="6" s="1"/>
  <c r="AC32" i="6"/>
  <c r="AA109" i="6"/>
  <c r="Z146" i="6"/>
  <c r="W145" i="6"/>
  <c r="W144" i="6" s="1"/>
  <c r="W143" i="6" s="1"/>
  <c r="AD62" i="6"/>
  <c r="AD61" i="6" s="1"/>
  <c r="AD56" i="6" s="1"/>
  <c r="AA61" i="6"/>
  <c r="AA56" i="6" s="1"/>
  <c r="AD101" i="6"/>
  <c r="AD100" i="6" s="1"/>
  <c r="AA100" i="6"/>
  <c r="Z81" i="6"/>
  <c r="Z75" i="6" s="1"/>
  <c r="S20" i="3"/>
  <c r="W20" i="3" s="1"/>
  <c r="R12" i="3"/>
  <c r="W19" i="3"/>
  <c r="AA19" i="3" s="1"/>
  <c r="AD19" i="3" s="1"/>
  <c r="S21" i="3"/>
  <c r="W21" i="3" s="1"/>
  <c r="S14" i="3"/>
  <c r="W14" i="3" s="1"/>
  <c r="AG14" i="3"/>
  <c r="AG11" i="3"/>
  <c r="F7" i="3"/>
  <c r="T12" i="3"/>
  <c r="AG19" i="3"/>
  <c r="S11" i="3"/>
  <c r="W11" i="3" s="1"/>
  <c r="S9" i="3"/>
  <c r="T9" i="3" s="1"/>
  <c r="V9" i="3" s="1"/>
  <c r="V7" i="3" s="1"/>
  <c r="R7" i="3"/>
  <c r="AG13" i="3"/>
  <c r="S13" i="3"/>
  <c r="W13" i="3" s="1"/>
  <c r="AH17" i="3"/>
  <c r="M12" i="3"/>
  <c r="Z15" i="3"/>
  <c r="AC15" i="3" s="1"/>
  <c r="AE15" i="3" s="1"/>
  <c r="W22" i="3"/>
  <c r="AH19" i="3"/>
  <c r="AH21" i="3"/>
  <c r="S10" i="3"/>
  <c r="W10" i="3" s="1"/>
  <c r="S17" i="3"/>
  <c r="U17" i="3" s="1"/>
  <c r="H7" i="3"/>
  <c r="S8" i="3"/>
  <c r="AH16" i="3"/>
  <c r="AI12" i="3"/>
  <c r="AI7" i="3" s="1"/>
  <c r="AG16" i="3"/>
  <c r="S16" i="3"/>
  <c r="W16" i="3" s="1"/>
  <c r="M7" i="3"/>
  <c r="H12" i="3"/>
  <c r="S18" i="3"/>
  <c r="W18" i="3" s="1"/>
  <c r="AH18" i="3"/>
  <c r="AG20" i="3"/>
  <c r="AB31" i="6" l="1"/>
  <c r="AE151" i="6"/>
  <c r="AE150" i="6" s="1"/>
  <c r="AD8" i="6"/>
  <c r="AD7" i="6" s="1"/>
  <c r="Z74" i="6"/>
  <c r="AB61" i="6"/>
  <c r="AA147" i="6"/>
  <c r="AB147" i="6" s="1"/>
  <c r="AE157" i="6"/>
  <c r="W129" i="6"/>
  <c r="Z129" i="6" s="1"/>
  <c r="AB8" i="6"/>
  <c r="S152" i="6"/>
  <c r="R159" i="6" s="1"/>
  <c r="Z7" i="6"/>
  <c r="Z145" i="6"/>
  <c r="Z144" i="6" s="1"/>
  <c r="Z143" i="6" s="1"/>
  <c r="AC146" i="6"/>
  <c r="AB146" i="6"/>
  <c r="AB145" i="6" s="1"/>
  <c r="AB144" i="6" s="1"/>
  <c r="AB143" i="6" s="1"/>
  <c r="AE32" i="6"/>
  <c r="AE31" i="6" s="1"/>
  <c r="AE8" i="6" s="1"/>
  <c r="AC31" i="6"/>
  <c r="AC8" i="6" s="1"/>
  <c r="AE124" i="6"/>
  <c r="AE62" i="6"/>
  <c r="AE61" i="6" s="1"/>
  <c r="AE56" i="6" s="1"/>
  <c r="AC61" i="6"/>
  <c r="AC56" i="6" s="1"/>
  <c r="AB82" i="6"/>
  <c r="AA81" i="6"/>
  <c r="AA75" i="6" s="1"/>
  <c r="AA74" i="6" s="1"/>
  <c r="AA73" i="6" s="1"/>
  <c r="AD82" i="6"/>
  <c r="AE86" i="6"/>
  <c r="AC81" i="6"/>
  <c r="AC75" i="6" s="1"/>
  <c r="AB56" i="6"/>
  <c r="AC136" i="6"/>
  <c r="AE137" i="6"/>
  <c r="AE136" i="6" s="1"/>
  <c r="AE50" i="6"/>
  <c r="AE49" i="6" s="1"/>
  <c r="AE48" i="6" s="1"/>
  <c r="AC49" i="6"/>
  <c r="AC48" i="6" s="1"/>
  <c r="AC100" i="6"/>
  <c r="AE101" i="6"/>
  <c r="AE100" i="6" s="1"/>
  <c r="AA7" i="6"/>
  <c r="Z19" i="3"/>
  <c r="AB19" i="3" s="1"/>
  <c r="AH12" i="3"/>
  <c r="AH7" i="3" s="1"/>
  <c r="Z21" i="3"/>
  <c r="AC21" i="3" s="1"/>
  <c r="AA21" i="3"/>
  <c r="AD21" i="3" s="1"/>
  <c r="Z14" i="3"/>
  <c r="AC14" i="3" s="1"/>
  <c r="AA14" i="3"/>
  <c r="AD14" i="3" s="1"/>
  <c r="T7" i="3"/>
  <c r="AB15" i="3"/>
  <c r="AA13" i="3"/>
  <c r="AD13" i="3" s="1"/>
  <c r="Z13" i="3"/>
  <c r="AC13" i="3" s="1"/>
  <c r="AA22" i="3"/>
  <c r="AD22" i="3" s="1"/>
  <c r="Z22" i="3"/>
  <c r="AG12" i="3"/>
  <c r="AG7" i="3" s="1"/>
  <c r="AA11" i="3"/>
  <c r="AD11" i="3" s="1"/>
  <c r="Z11" i="3"/>
  <c r="U12" i="3"/>
  <c r="V17" i="3"/>
  <c r="W9" i="3"/>
  <c r="AA10" i="3"/>
  <c r="AD10" i="3" s="1"/>
  <c r="Z10" i="3"/>
  <c r="AA20" i="3"/>
  <c r="AD20" i="3" s="1"/>
  <c r="Z20" i="3"/>
  <c r="AA18" i="3"/>
  <c r="AD18" i="3" s="1"/>
  <c r="Z18" i="3"/>
  <c r="S12" i="3"/>
  <c r="AA16" i="3"/>
  <c r="AD16" i="3" s="1"/>
  <c r="Z16" i="3"/>
  <c r="W8" i="3"/>
  <c r="S7" i="3"/>
  <c r="W123" i="6" l="1"/>
  <c r="W109" i="6" s="1"/>
  <c r="W73" i="6" s="1"/>
  <c r="W152" i="6" s="1"/>
  <c r="R160" i="6" s="1"/>
  <c r="AB7" i="6"/>
  <c r="AA152" i="6"/>
  <c r="AC7" i="6"/>
  <c r="AC74" i="6"/>
  <c r="AE7" i="6"/>
  <c r="X82" i="6"/>
  <c r="Y82" i="6" s="1"/>
  <c r="AB81" i="6"/>
  <c r="AB75" i="6" s="1"/>
  <c r="AB74" i="6" s="1"/>
  <c r="AB129" i="6"/>
  <c r="AB123" i="6" s="1"/>
  <c r="AB109" i="6" s="1"/>
  <c r="AC129" i="6"/>
  <c r="Z123" i="6"/>
  <c r="Z109" i="6" s="1"/>
  <c r="Z73" i="6" s="1"/>
  <c r="Z152" i="6" s="1"/>
  <c r="AC145" i="6"/>
  <c r="AC144" i="6" s="1"/>
  <c r="AC143" i="6" s="1"/>
  <c r="AE146" i="6"/>
  <c r="AE145" i="6" s="1"/>
  <c r="AE144" i="6" s="1"/>
  <c r="AE143" i="6" s="1"/>
  <c r="AD81" i="6"/>
  <c r="AD75" i="6" s="1"/>
  <c r="AD74" i="6" s="1"/>
  <c r="AD73" i="6" s="1"/>
  <c r="AD152" i="6" s="1"/>
  <c r="AE82" i="6"/>
  <c r="AE81" i="6" s="1"/>
  <c r="AE75" i="6" s="1"/>
  <c r="AE74" i="6" s="1"/>
  <c r="AC19" i="3"/>
  <c r="AE19" i="3" s="1"/>
  <c r="AE21" i="3"/>
  <c r="AB21" i="3"/>
  <c r="W7" i="3"/>
  <c r="AE14" i="3"/>
  <c r="AB13" i="3"/>
  <c r="AB14" i="3"/>
  <c r="AC22" i="3"/>
  <c r="AE22" i="3" s="1"/>
  <c r="AB22" i="3"/>
  <c r="AE13" i="3"/>
  <c r="AB10" i="3"/>
  <c r="AC10" i="3"/>
  <c r="AE10" i="3" s="1"/>
  <c r="AB18" i="3"/>
  <c r="AC18" i="3"/>
  <c r="AE18" i="3" s="1"/>
  <c r="AA8" i="3"/>
  <c r="AA9" i="3"/>
  <c r="AD9" i="3" s="1"/>
  <c r="Z9" i="3"/>
  <c r="Z7" i="3" s="1"/>
  <c r="AC11" i="3"/>
  <c r="AE11" i="3" s="1"/>
  <c r="AB11" i="3"/>
  <c r="AC16" i="3"/>
  <c r="AE16" i="3" s="1"/>
  <c r="AB16" i="3"/>
  <c r="AC20" i="3"/>
  <c r="AE20" i="3" s="1"/>
  <c r="AB20" i="3"/>
  <c r="V12" i="3"/>
  <c r="W17" i="3"/>
  <c r="AF152" i="6" l="1"/>
  <c r="AB73" i="6"/>
  <c r="AB152" i="6" s="1"/>
  <c r="AF153" i="6" s="1"/>
  <c r="AE129" i="6"/>
  <c r="AE123" i="6" s="1"/>
  <c r="AE109" i="6" s="1"/>
  <c r="AE73" i="6" s="1"/>
  <c r="AE152" i="6" s="1"/>
  <c r="AC123" i="6"/>
  <c r="AC109" i="6" s="1"/>
  <c r="AC73" i="6" s="1"/>
  <c r="AC152" i="6" s="1"/>
  <c r="AD158" i="6"/>
  <c r="AD159" i="6"/>
  <c r="AA7" i="3"/>
  <c r="AB9" i="3"/>
  <c r="AC9" i="3"/>
  <c r="AA17" i="3"/>
  <c r="Z17" i="3"/>
  <c r="W12" i="3"/>
  <c r="AB8" i="3"/>
  <c r="AD8" i="3"/>
  <c r="AD7" i="3" s="1"/>
  <c r="W155" i="6" l="1"/>
  <c r="Z155" i="6"/>
  <c r="AC158" i="6"/>
  <c r="AE158" i="6" s="1"/>
  <c r="AC159" i="6"/>
  <c r="AC160" i="6" s="1"/>
  <c r="AA4" i="6" s="1"/>
  <c r="Z4" i="6" s="1"/>
  <c r="AD160" i="6"/>
  <c r="AF154" i="6"/>
  <c r="AE9" i="3"/>
  <c r="AC7" i="3"/>
  <c r="AB7" i="3"/>
  <c r="AE8" i="3"/>
  <c r="X8" i="3"/>
  <c r="Y8" i="3" s="1"/>
  <c r="AB17" i="3"/>
  <c r="AB12" i="3" s="1"/>
  <c r="AC17" i="3"/>
  <c r="Z12" i="3"/>
  <c r="AD17" i="3"/>
  <c r="AD12" i="3" s="1"/>
  <c r="AA12" i="3"/>
  <c r="AE159" i="6" l="1"/>
  <c r="AE160" i="6"/>
  <c r="AB4" i="6"/>
  <c r="AC4" i="6" s="1"/>
  <c r="AE7" i="3"/>
  <c r="AE17" i="3"/>
  <c r="AE12" i="3" s="1"/>
  <c r="AC12" i="3"/>
  <c r="J133" i="21" l="1"/>
  <c r="J47" i="21" l="1"/>
  <c r="X75" i="1" l="1"/>
  <c r="AE3" i="1" l="1"/>
  <c r="S131" i="1" l="1"/>
  <c r="W131" i="1" s="1"/>
  <c r="Z131" i="1" s="1"/>
  <c r="AH131" i="1"/>
  <c r="AG131" i="1"/>
  <c r="T101" i="1"/>
  <c r="U101" i="1" s="1"/>
  <c r="T100" i="1"/>
  <c r="U100" i="1" s="1"/>
  <c r="T99" i="1"/>
  <c r="U99" i="1" s="1"/>
  <c r="AA131" i="1" l="1"/>
  <c r="AD131" i="1" s="1"/>
  <c r="AB131" i="1" l="1"/>
  <c r="AC131" i="1"/>
  <c r="AE131" i="1" s="1"/>
  <c r="AI83" i="1" l="1"/>
  <c r="AP83" i="1" s="1"/>
  <c r="AQ83" i="1" s="1"/>
  <c r="AI82" i="1"/>
  <c r="J38" i="2" l="1"/>
  <c r="I38" i="2"/>
  <c r="K38" i="2" l="1"/>
  <c r="T67" i="1"/>
  <c r="Q67" i="1" l="1"/>
  <c r="P67" i="1"/>
  <c r="O67" i="1"/>
  <c r="L67" i="1"/>
  <c r="K67" i="1"/>
  <c r="J67" i="1"/>
  <c r="I67" i="1"/>
  <c r="G67" i="1"/>
  <c r="G11" i="2" l="1"/>
  <c r="AN46" i="1"/>
  <c r="AK46" i="1" s="1"/>
  <c r="AI46" i="1" s="1"/>
  <c r="AI47" i="1"/>
  <c r="D43" i="2"/>
  <c r="D30" i="2" s="1"/>
  <c r="C43" i="2"/>
  <c r="C30" i="2" s="1"/>
  <c r="E30" i="2" l="1"/>
  <c r="E33" i="2"/>
  <c r="C10" i="2"/>
  <c r="C9" i="2" s="1"/>
  <c r="E12" i="2"/>
  <c r="AI86" i="1" l="1"/>
  <c r="Y94" i="1" l="1"/>
  <c r="T94" i="1"/>
  <c r="S94" i="1"/>
  <c r="AJ95" i="1"/>
  <c r="AK95" i="1" s="1"/>
  <c r="AJ96" i="1"/>
  <c r="AK96" i="1" s="1"/>
  <c r="AL86" i="1"/>
  <c r="AM86" i="1" s="1"/>
  <c r="U16" i="1" l="1"/>
  <c r="AG37" i="1"/>
  <c r="G89" i="1"/>
  <c r="G66" i="1" s="1"/>
  <c r="F89" i="1"/>
  <c r="H38" i="2" l="1"/>
  <c r="E38" i="2"/>
  <c r="E37" i="2"/>
  <c r="E36" i="2" s="1"/>
  <c r="D36" i="2"/>
  <c r="C36" i="2"/>
  <c r="E35" i="2"/>
  <c r="E34" i="2" s="1"/>
  <c r="D34" i="2"/>
  <c r="C34" i="2"/>
  <c r="E28" i="2"/>
  <c r="E27" i="2"/>
  <c r="E26" i="2"/>
  <c r="D25" i="2"/>
  <c r="C25" i="2"/>
  <c r="L17" i="2"/>
  <c r="L37" i="2" s="1"/>
  <c r="L36" i="2" l="1"/>
  <c r="E25" i="2"/>
  <c r="J18" i="2"/>
  <c r="I18" i="2"/>
  <c r="H18" i="2"/>
  <c r="E18" i="2"/>
  <c r="E17" i="2"/>
  <c r="E16" i="2" s="1"/>
  <c r="D16" i="2"/>
  <c r="C16" i="2"/>
  <c r="E15" i="2"/>
  <c r="E14" i="2" s="1"/>
  <c r="D14" i="2"/>
  <c r="C14" i="2"/>
  <c r="E13" i="2"/>
  <c r="E8" i="2"/>
  <c r="E7" i="2"/>
  <c r="E44" i="2" s="1"/>
  <c r="E6" i="2"/>
  <c r="D5" i="2"/>
  <c r="C5" i="2"/>
  <c r="K18" i="2" l="1"/>
  <c r="E5" i="2"/>
  <c r="C19" i="2"/>
  <c r="L16" i="2"/>
  <c r="V144" i="1" l="1"/>
  <c r="W144" i="1" s="1"/>
  <c r="V141" i="1"/>
  <c r="V140" i="1" s="1"/>
  <c r="V139" i="1" s="1"/>
  <c r="V138" i="1"/>
  <c r="W138" i="1" s="1"/>
  <c r="V137" i="1"/>
  <c r="V136" i="1"/>
  <c r="V132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6" i="1"/>
  <c r="V95" i="1"/>
  <c r="V94" i="1"/>
  <c r="AM93" i="1" s="1"/>
  <c r="V93" i="1"/>
  <c r="V92" i="1"/>
  <c r="V91" i="1"/>
  <c r="V90" i="1"/>
  <c r="V88" i="1"/>
  <c r="V87" i="1"/>
  <c r="V86" i="1"/>
  <c r="V83" i="1"/>
  <c r="V82" i="1"/>
  <c r="V81" i="1"/>
  <c r="V79" i="1"/>
  <c r="V78" i="1"/>
  <c r="V77" i="1"/>
  <c r="V76" i="1"/>
  <c r="V74" i="1"/>
  <c r="V73" i="1"/>
  <c r="V72" i="1"/>
  <c r="V71" i="1"/>
  <c r="V70" i="1"/>
  <c r="V69" i="1"/>
  <c r="V68" i="1"/>
  <c r="V64" i="1"/>
  <c r="W64" i="1" s="1"/>
  <c r="AA64" i="1" s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49" i="1"/>
  <c r="W49" i="1" s="1"/>
  <c r="Z49" i="1" s="1"/>
  <c r="V48" i="1"/>
  <c r="V47" i="1"/>
  <c r="V46" i="1"/>
  <c r="V45" i="1"/>
  <c r="V44" i="1"/>
  <c r="U143" i="1"/>
  <c r="U142" i="1" s="1"/>
  <c r="T143" i="1"/>
  <c r="U140" i="1"/>
  <c r="U139" i="1" s="1"/>
  <c r="T140" i="1"/>
  <c r="T139" i="1" s="1"/>
  <c r="T134" i="1"/>
  <c r="T133" i="1" s="1"/>
  <c r="U89" i="1"/>
  <c r="T89" i="1"/>
  <c r="T66" i="1" s="1"/>
  <c r="U50" i="1"/>
  <c r="T50" i="1"/>
  <c r="U43" i="1"/>
  <c r="T43" i="1"/>
  <c r="V36" i="1"/>
  <c r="V37" i="1"/>
  <c r="V38" i="1"/>
  <c r="V39" i="1"/>
  <c r="V40" i="1"/>
  <c r="V41" i="1"/>
  <c r="V42" i="1"/>
  <c r="W42" i="1" s="1"/>
  <c r="AA42" i="1" s="1"/>
  <c r="V34" i="1"/>
  <c r="V35" i="1"/>
  <c r="V15" i="1"/>
  <c r="V16" i="1"/>
  <c r="V29" i="1"/>
  <c r="V30" i="1"/>
  <c r="V31" i="1"/>
  <c r="V32" i="1"/>
  <c r="V33" i="1"/>
  <c r="V24" i="1"/>
  <c r="V25" i="1"/>
  <c r="V26" i="1"/>
  <c r="V12" i="1"/>
  <c r="V13" i="1"/>
  <c r="V14" i="1"/>
  <c r="V27" i="1"/>
  <c r="V28" i="1"/>
  <c r="V10" i="1"/>
  <c r="V21" i="1"/>
  <c r="V22" i="1"/>
  <c r="V23" i="1"/>
  <c r="V11" i="1"/>
  <c r="V17" i="1"/>
  <c r="V18" i="1"/>
  <c r="V9" i="1"/>
  <c r="V19" i="1"/>
  <c r="V20" i="1"/>
  <c r="V8" i="1"/>
  <c r="U7" i="1"/>
  <c r="T7" i="1"/>
  <c r="V143" i="1" l="1"/>
  <c r="V142" i="1" s="1"/>
  <c r="T142" i="1"/>
  <c r="Z64" i="1"/>
  <c r="Z42" i="1"/>
  <c r="V43" i="1"/>
  <c r="V89" i="1"/>
  <c r="V50" i="1"/>
  <c r="AA49" i="1"/>
  <c r="T6" i="1"/>
  <c r="U6" i="1"/>
  <c r="V7" i="1"/>
  <c r="V6" i="1" l="1"/>
  <c r="Q89" i="1" l="1"/>
  <c r="Q66" i="1" s="1"/>
  <c r="P89" i="1"/>
  <c r="O89" i="1"/>
  <c r="O66" i="1" s="1"/>
  <c r="N89" i="1"/>
  <c r="D11" i="2"/>
  <c r="J11" i="2" s="1"/>
  <c r="I89" i="1"/>
  <c r="I66" i="1" s="1"/>
  <c r="I97" i="1"/>
  <c r="L89" i="1"/>
  <c r="L66" i="1" s="1"/>
  <c r="K89" i="1"/>
  <c r="K66" i="1" s="1"/>
  <c r="J89" i="1"/>
  <c r="J66" i="1" s="1"/>
  <c r="I65" i="1" l="1"/>
  <c r="G12" i="2"/>
  <c r="J12" i="2" s="1"/>
  <c r="P66" i="1"/>
  <c r="F12" i="2"/>
  <c r="D10" i="2"/>
  <c r="E11" i="2"/>
  <c r="G31" i="2"/>
  <c r="H29" i="10"/>
  <c r="G29" i="10"/>
  <c r="I29" i="10" s="1"/>
  <c r="H28" i="10"/>
  <c r="J28" i="10" s="1"/>
  <c r="G28" i="10"/>
  <c r="I28" i="10" s="1"/>
  <c r="H27" i="10"/>
  <c r="J27" i="10" s="1"/>
  <c r="G27" i="10"/>
  <c r="I27" i="10" s="1"/>
  <c r="H26" i="10"/>
  <c r="G26" i="10"/>
  <c r="I26" i="10" s="1"/>
  <c r="H25" i="10"/>
  <c r="J25" i="10" s="1"/>
  <c r="G25" i="10"/>
  <c r="I25" i="10" s="1"/>
  <c r="H24" i="10"/>
  <c r="J24" i="10" s="1"/>
  <c r="G24" i="10"/>
  <c r="I24" i="10" s="1"/>
  <c r="H23" i="10"/>
  <c r="J23" i="10" s="1"/>
  <c r="G23" i="10"/>
  <c r="I23" i="10" s="1"/>
  <c r="H22" i="10"/>
  <c r="G22" i="10"/>
  <c r="H14" i="10"/>
  <c r="G14" i="10"/>
  <c r="I13" i="10"/>
  <c r="J12" i="10"/>
  <c r="I12" i="10"/>
  <c r="J11" i="10"/>
  <c r="I11" i="10"/>
  <c r="I10" i="10"/>
  <c r="J9" i="10"/>
  <c r="I9" i="10"/>
  <c r="J8" i="10"/>
  <c r="I8" i="10"/>
  <c r="J7" i="10"/>
  <c r="I7" i="10"/>
  <c r="J6" i="10"/>
  <c r="I6" i="10"/>
  <c r="I44" i="9"/>
  <c r="I47" i="9" s="1"/>
  <c r="M34" i="9"/>
  <c r="G34" i="9"/>
  <c r="M33" i="9"/>
  <c r="L33" i="9"/>
  <c r="K33" i="9" s="1"/>
  <c r="I33" i="9"/>
  <c r="P33" i="9" s="1"/>
  <c r="J32" i="9"/>
  <c r="J35" i="9" s="1"/>
  <c r="G32" i="9"/>
  <c r="I32" i="9" s="1"/>
  <c r="M31" i="9"/>
  <c r="L31" i="9"/>
  <c r="K31" i="9" s="1"/>
  <c r="I31" i="9"/>
  <c r="P31" i="9" s="1"/>
  <c r="Q31" i="9" s="1"/>
  <c r="M30" i="9"/>
  <c r="L30" i="9"/>
  <c r="K30" i="9" s="1"/>
  <c r="I30" i="9"/>
  <c r="P30" i="9" s="1"/>
  <c r="I27" i="9"/>
  <c r="I28" i="9" s="1"/>
  <c r="H27" i="9"/>
  <c r="H28" i="9" s="1"/>
  <c r="I25" i="9"/>
  <c r="K25" i="9" s="1"/>
  <c r="H25" i="9"/>
  <c r="J25" i="9" s="1"/>
  <c r="I24" i="9"/>
  <c r="K24" i="9" s="1"/>
  <c r="H24" i="9"/>
  <c r="I23" i="9"/>
  <c r="H23" i="9"/>
  <c r="J23" i="9" s="1"/>
  <c r="I22" i="9"/>
  <c r="H22" i="9"/>
  <c r="J22" i="9" s="1"/>
  <c r="I13" i="9"/>
  <c r="H13" i="9"/>
  <c r="K12" i="9"/>
  <c r="J12" i="9"/>
  <c r="I11" i="9"/>
  <c r="H11" i="9"/>
  <c r="K10" i="9"/>
  <c r="J10" i="9"/>
  <c r="K9" i="9"/>
  <c r="J8" i="9"/>
  <c r="K7" i="9"/>
  <c r="J7" i="9"/>
  <c r="H30" i="9" l="1"/>
  <c r="I14" i="9"/>
  <c r="M32" i="9"/>
  <c r="M35" i="9" s="1"/>
  <c r="K6" i="10"/>
  <c r="H12" i="2"/>
  <c r="F32" i="2"/>
  <c r="I32" i="2" s="1"/>
  <c r="G10" i="2"/>
  <c r="J10" i="2" s="1"/>
  <c r="G32" i="2"/>
  <c r="J32" i="2" s="1"/>
  <c r="I12" i="2"/>
  <c r="K12" i="2" s="1"/>
  <c r="D9" i="2"/>
  <c r="D19" i="2" s="1"/>
  <c r="J31" i="2"/>
  <c r="E10" i="2"/>
  <c r="L34" i="9"/>
  <c r="K34" i="9" s="1"/>
  <c r="K24" i="10"/>
  <c r="K12" i="10"/>
  <c r="E31" i="2"/>
  <c r="E32" i="2"/>
  <c r="L7" i="9"/>
  <c r="L10" i="9"/>
  <c r="L12" i="9"/>
  <c r="I26" i="9"/>
  <c r="I29" i="9" s="1"/>
  <c r="L32" i="9"/>
  <c r="K32" i="9" s="1"/>
  <c r="K11" i="10"/>
  <c r="K23" i="10"/>
  <c r="H31" i="9"/>
  <c r="K8" i="10"/>
  <c r="G30" i="10"/>
  <c r="K27" i="10"/>
  <c r="K28" i="10"/>
  <c r="H30" i="10"/>
  <c r="H14" i="9"/>
  <c r="K22" i="9"/>
  <c r="L22" i="9" s="1"/>
  <c r="H33" i="9"/>
  <c r="K7" i="10"/>
  <c r="K9" i="10"/>
  <c r="K25" i="10"/>
  <c r="I22" i="10"/>
  <c r="J22" i="10"/>
  <c r="H32" i="9"/>
  <c r="Q33" i="9"/>
  <c r="Q34" i="9" s="1"/>
  <c r="P34" i="9"/>
  <c r="L25" i="9"/>
  <c r="P32" i="9"/>
  <c r="Q30" i="9"/>
  <c r="Q32" i="9" s="1"/>
  <c r="G35" i="9"/>
  <c r="I34" i="9"/>
  <c r="H34" i="9" s="1"/>
  <c r="K27" i="9"/>
  <c r="J27" i="9"/>
  <c r="H26" i="9"/>
  <c r="H29" i="9" s="1"/>
  <c r="L14" i="9" l="1"/>
  <c r="Q35" i="9"/>
  <c r="L35" i="9"/>
  <c r="K35" i="9" s="1"/>
  <c r="G30" i="2"/>
  <c r="J30" i="2" s="1"/>
  <c r="K32" i="2"/>
  <c r="H32" i="2"/>
  <c r="E9" i="2"/>
  <c r="E19" i="2" s="1"/>
  <c r="C29" i="2"/>
  <c r="C39" i="2" s="1"/>
  <c r="P35" i="9"/>
  <c r="L27" i="9"/>
  <c r="L26" i="9"/>
  <c r="K22" i="10"/>
  <c r="I35" i="9"/>
  <c r="H35" i="9" s="1"/>
  <c r="L29" i="9"/>
  <c r="C20" i="2" l="1"/>
  <c r="D20" i="2"/>
  <c r="E29" i="2"/>
  <c r="E39" i="2" s="1"/>
  <c r="C40" i="2" s="1"/>
  <c r="D29" i="2"/>
  <c r="D39" i="2" s="1"/>
  <c r="AI41" i="1"/>
  <c r="S41" i="1" s="1"/>
  <c r="W41" i="1" s="1"/>
  <c r="Z41" i="1" s="1"/>
  <c r="E20" i="2" l="1"/>
  <c r="D40" i="2"/>
  <c r="E40" i="2" s="1"/>
  <c r="AA41" i="1"/>
  <c r="R149" i="1"/>
  <c r="M149" i="1" l="1"/>
  <c r="AE149" i="1" l="1"/>
  <c r="R138" i="1" l="1"/>
  <c r="R137" i="1"/>
  <c r="R136" i="1"/>
  <c r="R135" i="1"/>
  <c r="R115" i="1"/>
  <c r="R120" i="1"/>
  <c r="R121" i="1"/>
  <c r="R122" i="1"/>
  <c r="R123" i="1"/>
  <c r="R124" i="1"/>
  <c r="R125" i="1"/>
  <c r="R126" i="1"/>
  <c r="R127" i="1"/>
  <c r="R128" i="1"/>
  <c r="R129" i="1"/>
  <c r="R130" i="1"/>
  <c r="R132" i="1"/>
  <c r="R112" i="1"/>
  <c r="R113" i="1"/>
  <c r="R119" i="1"/>
  <c r="R114" i="1"/>
  <c r="R116" i="1"/>
  <c r="R117" i="1"/>
  <c r="R118" i="1"/>
  <c r="M136" i="1"/>
  <c r="M137" i="1"/>
  <c r="M138" i="1"/>
  <c r="M119" i="1"/>
  <c r="M114" i="1"/>
  <c r="M116" i="1"/>
  <c r="M117" i="1"/>
  <c r="M118" i="1"/>
  <c r="M115" i="1"/>
  <c r="M120" i="1"/>
  <c r="M121" i="1"/>
  <c r="M122" i="1"/>
  <c r="M123" i="1"/>
  <c r="M124" i="1"/>
  <c r="M125" i="1"/>
  <c r="M126" i="1"/>
  <c r="M127" i="1"/>
  <c r="M128" i="1"/>
  <c r="M129" i="1"/>
  <c r="M130" i="1"/>
  <c r="R77" i="1" l="1"/>
  <c r="R71" i="1"/>
  <c r="R72" i="1"/>
  <c r="R76" i="1"/>
  <c r="R95" i="1"/>
  <c r="R86" i="1"/>
  <c r="R96" i="1"/>
  <c r="R87" i="1"/>
  <c r="R83" i="1"/>
  <c r="R88" i="1"/>
  <c r="R73" i="1"/>
  <c r="R74" i="1"/>
  <c r="R78" i="1"/>
  <c r="R79" i="1"/>
  <c r="R80" i="1"/>
  <c r="R81" i="1"/>
  <c r="R82" i="1"/>
  <c r="M72" i="1"/>
  <c r="M76" i="1"/>
  <c r="M95" i="1"/>
  <c r="M86" i="1"/>
  <c r="M96" i="1"/>
  <c r="M87" i="1"/>
  <c r="M88" i="1"/>
  <c r="M73" i="1"/>
  <c r="M74" i="1"/>
  <c r="M77" i="1"/>
  <c r="M71" i="1"/>
  <c r="M78" i="1"/>
  <c r="M79" i="1"/>
  <c r="M80" i="1"/>
  <c r="M81" i="1"/>
  <c r="M82" i="1"/>
  <c r="M83" i="1"/>
  <c r="M62" i="1"/>
  <c r="M54" i="1"/>
  <c r="M63" i="1"/>
  <c r="M64" i="1"/>
  <c r="M56" i="1"/>
  <c r="M57" i="1"/>
  <c r="M58" i="1"/>
  <c r="M59" i="1"/>
  <c r="M60" i="1"/>
  <c r="M61" i="1"/>
  <c r="M46" i="1"/>
  <c r="M47" i="1"/>
  <c r="M48" i="1"/>
  <c r="M49" i="1"/>
  <c r="M36" i="1"/>
  <c r="M37" i="1"/>
  <c r="M15" i="1"/>
  <c r="M38" i="1"/>
  <c r="M39" i="1"/>
  <c r="M16" i="1"/>
  <c r="M40" i="1"/>
  <c r="M41" i="1"/>
  <c r="M42" i="1"/>
  <c r="H144" i="1"/>
  <c r="H143" i="1"/>
  <c r="H78" i="1"/>
  <c r="H79" i="1"/>
  <c r="H80" i="1"/>
  <c r="H81" i="1"/>
  <c r="H82" i="1"/>
  <c r="H83" i="1"/>
  <c r="H88" i="1"/>
  <c r="H73" i="1"/>
  <c r="H74" i="1"/>
  <c r="H77" i="1"/>
  <c r="H71" i="1"/>
  <c r="H72" i="1"/>
  <c r="H76" i="1"/>
  <c r="H95" i="1"/>
  <c r="H86" i="1"/>
  <c r="H96" i="1"/>
  <c r="H87" i="1"/>
  <c r="H46" i="1"/>
  <c r="H47" i="1"/>
  <c r="H48" i="1"/>
  <c r="H49" i="1"/>
  <c r="H36" i="1"/>
  <c r="H37" i="1"/>
  <c r="H15" i="1"/>
  <c r="S15" i="1" s="1"/>
  <c r="W15" i="1" s="1"/>
  <c r="Z15" i="1" s="1"/>
  <c r="H38" i="1"/>
  <c r="H39" i="1"/>
  <c r="H16" i="1"/>
  <c r="S16" i="1" s="1"/>
  <c r="W16" i="1" s="1"/>
  <c r="Z16" i="1" s="1"/>
  <c r="H40" i="1"/>
  <c r="H41" i="1"/>
  <c r="H42" i="1"/>
  <c r="H136" i="1"/>
  <c r="H137" i="1"/>
  <c r="H138" i="1"/>
  <c r="H119" i="1"/>
  <c r="H114" i="1"/>
  <c r="S114" i="1" s="1"/>
  <c r="H116" i="1"/>
  <c r="H117" i="1"/>
  <c r="H118" i="1"/>
  <c r="H115" i="1"/>
  <c r="S115" i="1" s="1"/>
  <c r="T115" i="1" s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62" i="1"/>
  <c r="H54" i="1"/>
  <c r="H63" i="1"/>
  <c r="H64" i="1"/>
  <c r="H56" i="1"/>
  <c r="H57" i="1"/>
  <c r="H58" i="1"/>
  <c r="H59" i="1"/>
  <c r="H60" i="1"/>
  <c r="H61" i="1"/>
  <c r="G134" i="1"/>
  <c r="G133" i="1" s="1"/>
  <c r="F134" i="1"/>
  <c r="F133" i="1" s="1"/>
  <c r="F75" i="1"/>
  <c r="F67" i="1" s="1"/>
  <c r="F66" i="1" s="1"/>
  <c r="F11" i="1"/>
  <c r="F10" i="1"/>
  <c r="S54" i="1" l="1"/>
  <c r="W54" i="1" s="1"/>
  <c r="Z54" i="1" s="1"/>
  <c r="S73" i="1"/>
  <c r="W73" i="1" s="1"/>
  <c r="Z73" i="1" s="1"/>
  <c r="S72" i="1"/>
  <c r="W72" i="1" s="1"/>
  <c r="Z72" i="1" s="1"/>
  <c r="S74" i="1"/>
  <c r="W74" i="1" s="1"/>
  <c r="Z74" i="1" s="1"/>
  <c r="U115" i="1"/>
  <c r="U97" i="1" s="1"/>
  <c r="T97" i="1"/>
  <c r="T65" i="1" s="1"/>
  <c r="T145" i="1" s="1"/>
  <c r="S71" i="1"/>
  <c r="W71" i="1" s="1"/>
  <c r="Z71" i="1" s="1"/>
  <c r="W114" i="1"/>
  <c r="Z114" i="1" s="1"/>
  <c r="AA15" i="1"/>
  <c r="AA16" i="1"/>
  <c r="AD16" i="1" s="1"/>
  <c r="AI16" i="1"/>
  <c r="AA54" i="1" l="1"/>
  <c r="AA74" i="1"/>
  <c r="V115" i="1"/>
  <c r="V97" i="1" s="1"/>
  <c r="AA73" i="1"/>
  <c r="AA72" i="1"/>
  <c r="AA71" i="1"/>
  <c r="AC16" i="1"/>
  <c r="AE16" i="1" s="1"/>
  <c r="AL47" i="1"/>
  <c r="AL46" i="1"/>
  <c r="AH115" i="1"/>
  <c r="AG115" i="1"/>
  <c r="AI15" i="1"/>
  <c r="AD15" i="1"/>
  <c r="W115" i="1" l="1"/>
  <c r="Z115" i="1" s="1"/>
  <c r="AC115" i="1" s="1"/>
  <c r="AB16" i="1"/>
  <c r="AA115" i="1"/>
  <c r="AD115" i="1" s="1"/>
  <c r="AE115" i="1" l="1"/>
  <c r="AB115" i="1"/>
  <c r="AB15" i="1"/>
  <c r="AC15" i="1"/>
  <c r="AE15" i="1" s="1"/>
  <c r="F52" i="8"/>
  <c r="F68" i="8"/>
  <c r="M135" i="1" l="1"/>
  <c r="H111" i="1" l="1"/>
  <c r="AI111" i="1"/>
  <c r="R111" i="1"/>
  <c r="M111" i="1"/>
  <c r="AI136" i="1"/>
  <c r="S136" i="1" s="1"/>
  <c r="W136" i="1" s="1"/>
  <c r="Z136" i="1" s="1"/>
  <c r="F112" i="1"/>
  <c r="S111" i="1" l="1"/>
  <c r="F97" i="1"/>
  <c r="F65" i="1" s="1"/>
  <c r="F50" i="1"/>
  <c r="F43" i="1"/>
  <c r="F7" i="1"/>
  <c r="W111" i="1" l="1"/>
  <c r="Z111" i="1" s="1"/>
  <c r="AC111" i="1" s="1"/>
  <c r="AA111" i="1"/>
  <c r="AD111" i="1" s="1"/>
  <c r="AE111" i="1" l="1"/>
  <c r="AB111" i="1"/>
  <c r="AD74" i="1"/>
  <c r="AB74" i="1" l="1"/>
  <c r="AC74" i="1"/>
  <c r="AE74" i="1" s="1"/>
  <c r="AI144" i="1" l="1"/>
  <c r="AI143" i="1"/>
  <c r="S143" i="1" s="1"/>
  <c r="W143" i="1" s="1"/>
  <c r="W142" i="1" s="1"/>
  <c r="AI138" i="1"/>
  <c r="AI137" i="1"/>
  <c r="S137" i="1" s="1"/>
  <c r="W137" i="1" s="1"/>
  <c r="Z137" i="1" s="1"/>
  <c r="AI132" i="1"/>
  <c r="S132" i="1" s="1"/>
  <c r="AI130" i="1"/>
  <c r="S130" i="1" s="1"/>
  <c r="AI129" i="1"/>
  <c r="S129" i="1" s="1"/>
  <c r="AI128" i="1"/>
  <c r="S128" i="1" s="1"/>
  <c r="AI127" i="1"/>
  <c r="S127" i="1" s="1"/>
  <c r="AI126" i="1"/>
  <c r="S126" i="1" s="1"/>
  <c r="AI125" i="1"/>
  <c r="S125" i="1" s="1"/>
  <c r="AI124" i="1"/>
  <c r="S124" i="1" s="1"/>
  <c r="AI123" i="1"/>
  <c r="S123" i="1" s="1"/>
  <c r="AI122" i="1"/>
  <c r="S122" i="1" s="1"/>
  <c r="AI121" i="1"/>
  <c r="S121" i="1" s="1"/>
  <c r="AI120" i="1"/>
  <c r="S120" i="1" s="1"/>
  <c r="AI118" i="1"/>
  <c r="S118" i="1" s="1"/>
  <c r="AI117" i="1"/>
  <c r="S117" i="1" s="1"/>
  <c r="AI116" i="1"/>
  <c r="S116" i="1" s="1"/>
  <c r="AI119" i="1"/>
  <c r="S119" i="1" s="1"/>
  <c r="AI87" i="1"/>
  <c r="S87" i="1" s="1"/>
  <c r="W87" i="1" s="1"/>
  <c r="Z87" i="1" s="1"/>
  <c r="S96" i="1"/>
  <c r="W96" i="1" s="1"/>
  <c r="Z96" i="1" s="1"/>
  <c r="S86" i="1"/>
  <c r="W86" i="1" s="1"/>
  <c r="Z86" i="1" s="1"/>
  <c r="S95" i="1"/>
  <c r="W95" i="1" s="1"/>
  <c r="Z95" i="1" s="1"/>
  <c r="AI76" i="1"/>
  <c r="S76" i="1" s="1"/>
  <c r="W76" i="1" s="1"/>
  <c r="Z76" i="1" s="1"/>
  <c r="AI77" i="1"/>
  <c r="S77" i="1" s="1"/>
  <c r="W77" i="1" s="1"/>
  <c r="Z77" i="1" s="1"/>
  <c r="AI88" i="1"/>
  <c r="S88" i="1" s="1"/>
  <c r="W88" i="1" s="1"/>
  <c r="Z88" i="1" s="1"/>
  <c r="S83" i="1"/>
  <c r="W83" i="1" s="1"/>
  <c r="Z83" i="1" s="1"/>
  <c r="S82" i="1"/>
  <c r="W82" i="1" s="1"/>
  <c r="Z82" i="1" s="1"/>
  <c r="AI81" i="1"/>
  <c r="S81" i="1" s="1"/>
  <c r="W81" i="1" s="1"/>
  <c r="Z81" i="1" s="1"/>
  <c r="AI80" i="1"/>
  <c r="S80" i="1" s="1"/>
  <c r="AI79" i="1"/>
  <c r="S79" i="1" s="1"/>
  <c r="W79" i="1" s="1"/>
  <c r="Z79" i="1" s="1"/>
  <c r="S78" i="1"/>
  <c r="W78" i="1" s="1"/>
  <c r="Z78" i="1" s="1"/>
  <c r="AI64" i="1"/>
  <c r="AI63" i="1"/>
  <c r="S63" i="1" s="1"/>
  <c r="W63" i="1" s="1"/>
  <c r="Z63" i="1" s="1"/>
  <c r="AI62" i="1"/>
  <c r="S62" i="1" s="1"/>
  <c r="W62" i="1" s="1"/>
  <c r="Z62" i="1" s="1"/>
  <c r="AI61" i="1"/>
  <c r="S61" i="1" s="1"/>
  <c r="W61" i="1" s="1"/>
  <c r="Z61" i="1" s="1"/>
  <c r="AI60" i="1"/>
  <c r="S60" i="1" s="1"/>
  <c r="W60" i="1" s="1"/>
  <c r="Z60" i="1" s="1"/>
  <c r="AI59" i="1"/>
  <c r="S59" i="1" s="1"/>
  <c r="W59" i="1" s="1"/>
  <c r="Z59" i="1" s="1"/>
  <c r="AI58" i="1"/>
  <c r="S58" i="1" s="1"/>
  <c r="W58" i="1" s="1"/>
  <c r="Z58" i="1" s="1"/>
  <c r="AI57" i="1"/>
  <c r="S57" i="1" s="1"/>
  <c r="W57" i="1" s="1"/>
  <c r="Z57" i="1" s="1"/>
  <c r="AI56" i="1"/>
  <c r="S56" i="1" s="1"/>
  <c r="AI48" i="1"/>
  <c r="S48" i="1" s="1"/>
  <c r="W48" i="1" s="1"/>
  <c r="Z48" i="1" s="1"/>
  <c r="S47" i="1"/>
  <c r="W47" i="1" s="1"/>
  <c r="Z47" i="1" s="1"/>
  <c r="S46" i="1"/>
  <c r="W46" i="1" s="1"/>
  <c r="Z46" i="1" s="1"/>
  <c r="AI42" i="1"/>
  <c r="AI40" i="1"/>
  <c r="S40" i="1" s="1"/>
  <c r="W40" i="1" s="1"/>
  <c r="Z40" i="1" s="1"/>
  <c r="AI39" i="1"/>
  <c r="S39" i="1" s="1"/>
  <c r="W39" i="1" s="1"/>
  <c r="Z39" i="1" s="1"/>
  <c r="AI38" i="1"/>
  <c r="S38" i="1" s="1"/>
  <c r="W38" i="1" s="1"/>
  <c r="Z38" i="1" s="1"/>
  <c r="S37" i="1"/>
  <c r="W37" i="1" s="1"/>
  <c r="Z37" i="1" s="1"/>
  <c r="AI36" i="1"/>
  <c r="S36" i="1" s="1"/>
  <c r="W36" i="1" s="1"/>
  <c r="Z36" i="1" s="1"/>
  <c r="Y145" i="1"/>
  <c r="X145" i="1"/>
  <c r="U80" i="1" l="1"/>
  <c r="V80" i="1" s="1"/>
  <c r="W80" i="1" s="1"/>
  <c r="W56" i="1"/>
  <c r="Z56" i="1" s="1"/>
  <c r="W119" i="1"/>
  <c r="Z119" i="1" s="1"/>
  <c r="W120" i="1"/>
  <c r="Z120" i="1" s="1"/>
  <c r="W124" i="1"/>
  <c r="Z124" i="1" s="1"/>
  <c r="W128" i="1"/>
  <c r="Z128" i="1" s="1"/>
  <c r="W116" i="1"/>
  <c r="Z116" i="1" s="1"/>
  <c r="W125" i="1"/>
  <c r="Z125" i="1" s="1"/>
  <c r="W129" i="1"/>
  <c r="Z129" i="1" s="1"/>
  <c r="W117" i="1"/>
  <c r="Z117" i="1" s="1"/>
  <c r="W122" i="1"/>
  <c r="Z122" i="1" s="1"/>
  <c r="W126" i="1"/>
  <c r="Z126" i="1" s="1"/>
  <c r="W130" i="1"/>
  <c r="Z130" i="1" s="1"/>
  <c r="W121" i="1"/>
  <c r="Z121" i="1" s="1"/>
  <c r="W118" i="1"/>
  <c r="Z118" i="1" s="1"/>
  <c r="W123" i="1"/>
  <c r="Z123" i="1" s="1"/>
  <c r="W127" i="1"/>
  <c r="Z127" i="1" s="1"/>
  <c r="W132" i="1"/>
  <c r="Z132" i="1" s="1"/>
  <c r="AA36" i="1"/>
  <c r="AA48" i="1"/>
  <c r="AA58" i="1"/>
  <c r="AA62" i="1"/>
  <c r="AA79" i="1"/>
  <c r="AA83" i="1"/>
  <c r="AA95" i="1"/>
  <c r="AA59" i="1"/>
  <c r="AA63" i="1"/>
  <c r="AA88" i="1"/>
  <c r="AA86" i="1"/>
  <c r="AA40" i="1"/>
  <c r="AA38" i="1"/>
  <c r="AA60" i="1"/>
  <c r="AA81" i="1"/>
  <c r="AA77" i="1"/>
  <c r="AA96" i="1"/>
  <c r="AA37" i="1"/>
  <c r="AA46" i="1"/>
  <c r="AA39" i="1"/>
  <c r="AA47" i="1"/>
  <c r="AA57" i="1"/>
  <c r="AA61" i="1"/>
  <c r="AA78" i="1"/>
  <c r="AA82" i="1"/>
  <c r="AA76" i="1"/>
  <c r="AA87" i="1"/>
  <c r="AH82" i="1"/>
  <c r="H142" i="1"/>
  <c r="G142" i="1"/>
  <c r="F142" i="1"/>
  <c r="R142" i="1"/>
  <c r="Q142" i="1"/>
  <c r="P142" i="1"/>
  <c r="O142" i="1"/>
  <c r="N142" i="1"/>
  <c r="M142" i="1"/>
  <c r="L142" i="1"/>
  <c r="K142" i="1"/>
  <c r="J142" i="1"/>
  <c r="I142" i="1"/>
  <c r="R134" i="1"/>
  <c r="Q134" i="1"/>
  <c r="P134" i="1"/>
  <c r="O134" i="1"/>
  <c r="N134" i="1"/>
  <c r="M134" i="1"/>
  <c r="L134" i="1"/>
  <c r="K134" i="1"/>
  <c r="J134" i="1"/>
  <c r="I134" i="1"/>
  <c r="AI98" i="1"/>
  <c r="Q97" i="1"/>
  <c r="Q65" i="1" s="1"/>
  <c r="P97" i="1"/>
  <c r="P65" i="1" s="1"/>
  <c r="O97" i="1"/>
  <c r="O65" i="1" s="1"/>
  <c r="L97" i="1"/>
  <c r="L65" i="1" s="1"/>
  <c r="K97" i="1"/>
  <c r="K65" i="1" s="1"/>
  <c r="J97" i="1"/>
  <c r="J65" i="1" s="1"/>
  <c r="G97" i="1"/>
  <c r="G65" i="1" s="1"/>
  <c r="Q50" i="1"/>
  <c r="P50" i="1"/>
  <c r="O50" i="1"/>
  <c r="L50" i="1"/>
  <c r="K50" i="1"/>
  <c r="J50" i="1"/>
  <c r="I50" i="1"/>
  <c r="G50" i="1"/>
  <c r="Q43" i="1"/>
  <c r="P43" i="1"/>
  <c r="O43" i="1"/>
  <c r="L43" i="1"/>
  <c r="K43" i="1"/>
  <c r="J43" i="1"/>
  <c r="I43" i="1"/>
  <c r="G43" i="1"/>
  <c r="Q7" i="1"/>
  <c r="P7" i="1"/>
  <c r="O7" i="1"/>
  <c r="N7" i="1"/>
  <c r="L7" i="1"/>
  <c r="K7" i="1"/>
  <c r="J7" i="1"/>
  <c r="I7" i="1"/>
  <c r="G7" i="1"/>
  <c r="H135" i="1"/>
  <c r="S135" i="1" s="1"/>
  <c r="AA56" i="1" l="1"/>
  <c r="Z80" i="1"/>
  <c r="AA80" i="1"/>
  <c r="AD80" i="1" s="1"/>
  <c r="U135" i="1"/>
  <c r="F6" i="2"/>
  <c r="G15" i="2"/>
  <c r="G35" i="2" s="1"/>
  <c r="J35" i="2" s="1"/>
  <c r="J34" i="2" s="1"/>
  <c r="G6" i="2"/>
  <c r="G7" i="2"/>
  <c r="G8" i="2"/>
  <c r="G13" i="2"/>
  <c r="F15" i="2"/>
  <c r="H134" i="1"/>
  <c r="H133" i="1" s="1"/>
  <c r="AH144" i="1"/>
  <c r="AG144" i="1"/>
  <c r="AA144" i="1"/>
  <c r="AD144" i="1" s="1"/>
  <c r="AH143" i="1"/>
  <c r="AG143" i="1"/>
  <c r="Z143" i="1"/>
  <c r="AC143" i="1" s="1"/>
  <c r="AI142" i="1"/>
  <c r="AH141" i="1"/>
  <c r="AH140" i="1" s="1"/>
  <c r="AG141" i="1"/>
  <c r="R141" i="1"/>
  <c r="M141" i="1"/>
  <c r="M140" i="1" s="1"/>
  <c r="M139" i="1" s="1"/>
  <c r="H141" i="1"/>
  <c r="Q140" i="1"/>
  <c r="Q139" i="1" s="1"/>
  <c r="P140" i="1"/>
  <c r="O140" i="1"/>
  <c r="O139" i="1" s="1"/>
  <c r="N140" i="1"/>
  <c r="L140" i="1"/>
  <c r="L139" i="1" s="1"/>
  <c r="K140" i="1"/>
  <c r="K139" i="1" s="1"/>
  <c r="J140" i="1"/>
  <c r="J139" i="1" s="1"/>
  <c r="I140" i="1"/>
  <c r="I139" i="1" s="1"/>
  <c r="G140" i="1"/>
  <c r="G139" i="1" s="1"/>
  <c r="F140" i="1"/>
  <c r="F139" i="1" s="1"/>
  <c r="AH138" i="1"/>
  <c r="AG138" i="1"/>
  <c r="Z138" i="1"/>
  <c r="AH137" i="1"/>
  <c r="AG137" i="1"/>
  <c r="AA137" i="1"/>
  <c r="AD137" i="1" s="1"/>
  <c r="AH136" i="1"/>
  <c r="AG136" i="1"/>
  <c r="AH135" i="1"/>
  <c r="AG135" i="1"/>
  <c r="AI134" i="1"/>
  <c r="AI133" i="1" s="1"/>
  <c r="R133" i="1"/>
  <c r="Q133" i="1"/>
  <c r="P133" i="1"/>
  <c r="O133" i="1"/>
  <c r="N133" i="1"/>
  <c r="M133" i="1"/>
  <c r="L133" i="1"/>
  <c r="K133" i="1"/>
  <c r="J133" i="1"/>
  <c r="I133" i="1"/>
  <c r="AH132" i="1"/>
  <c r="AG132" i="1"/>
  <c r="AH130" i="1"/>
  <c r="AG130" i="1"/>
  <c r="AA130" i="1"/>
  <c r="AH129" i="1"/>
  <c r="AG129" i="1"/>
  <c r="AA129" i="1"/>
  <c r="AD129" i="1" s="1"/>
  <c r="AH128" i="1"/>
  <c r="AG128" i="1"/>
  <c r="AH127" i="1"/>
  <c r="AG127" i="1"/>
  <c r="AA127" i="1"/>
  <c r="AD127" i="1" s="1"/>
  <c r="AH126" i="1"/>
  <c r="AG126" i="1"/>
  <c r="AH125" i="1"/>
  <c r="AG125" i="1"/>
  <c r="AA125" i="1"/>
  <c r="AD125" i="1" s="1"/>
  <c r="AH124" i="1"/>
  <c r="AG124" i="1"/>
  <c r="AH123" i="1"/>
  <c r="AG123" i="1"/>
  <c r="AA123" i="1"/>
  <c r="AD123" i="1" s="1"/>
  <c r="AH122" i="1"/>
  <c r="AG122" i="1"/>
  <c r="AH121" i="1"/>
  <c r="AG121" i="1"/>
  <c r="AA121" i="1"/>
  <c r="AD121" i="1" s="1"/>
  <c r="AH120" i="1"/>
  <c r="AG120" i="1"/>
  <c r="AH118" i="1"/>
  <c r="AG118" i="1"/>
  <c r="AH117" i="1"/>
  <c r="AG117" i="1"/>
  <c r="AA117" i="1"/>
  <c r="AD117" i="1" s="1"/>
  <c r="AH116" i="1"/>
  <c r="AG116" i="1"/>
  <c r="AH114" i="1"/>
  <c r="AG114" i="1"/>
  <c r="AA114" i="1"/>
  <c r="AD114" i="1" s="1"/>
  <c r="AH119" i="1"/>
  <c r="AG119" i="1"/>
  <c r="AC119" i="1"/>
  <c r="AI113" i="1"/>
  <c r="M113" i="1"/>
  <c r="H113" i="1"/>
  <c r="M112" i="1"/>
  <c r="H112" i="1"/>
  <c r="AI110" i="1"/>
  <c r="R110" i="1"/>
  <c r="M110" i="1"/>
  <c r="H110" i="1"/>
  <c r="AI109" i="1"/>
  <c r="R109" i="1"/>
  <c r="M109" i="1"/>
  <c r="H109" i="1"/>
  <c r="AI108" i="1"/>
  <c r="R108" i="1"/>
  <c r="M108" i="1"/>
  <c r="H108" i="1"/>
  <c r="AI107" i="1"/>
  <c r="R107" i="1"/>
  <c r="M107" i="1"/>
  <c r="H107" i="1"/>
  <c r="AI106" i="1"/>
  <c r="R106" i="1"/>
  <c r="M106" i="1"/>
  <c r="H106" i="1"/>
  <c r="AI105" i="1"/>
  <c r="R105" i="1"/>
  <c r="M105" i="1"/>
  <c r="H105" i="1"/>
  <c r="AI104" i="1"/>
  <c r="R104" i="1"/>
  <c r="M104" i="1"/>
  <c r="H104" i="1"/>
  <c r="AI103" i="1"/>
  <c r="R103" i="1"/>
  <c r="M103" i="1"/>
  <c r="H103" i="1"/>
  <c r="AI102" i="1"/>
  <c r="R102" i="1"/>
  <c r="M102" i="1"/>
  <c r="H102" i="1"/>
  <c r="AI101" i="1"/>
  <c r="R101" i="1"/>
  <c r="M101" i="1"/>
  <c r="H101" i="1"/>
  <c r="AI100" i="1"/>
  <c r="N100" i="1"/>
  <c r="M100" i="1"/>
  <c r="H100" i="1"/>
  <c r="AI99" i="1"/>
  <c r="N99" i="1"/>
  <c r="M99" i="1"/>
  <c r="H99" i="1"/>
  <c r="R98" i="1"/>
  <c r="M98" i="1"/>
  <c r="H98" i="1"/>
  <c r="AH87" i="1"/>
  <c r="AG87" i="1"/>
  <c r="AD87" i="1"/>
  <c r="AH96" i="1"/>
  <c r="AG96" i="1"/>
  <c r="AD96" i="1"/>
  <c r="AH86" i="1"/>
  <c r="AG86" i="1"/>
  <c r="AC86" i="1"/>
  <c r="AH95" i="1"/>
  <c r="AG95" i="1"/>
  <c r="AH76" i="1"/>
  <c r="AG76" i="1"/>
  <c r="AD76" i="1"/>
  <c r="AD72" i="1"/>
  <c r="AC71" i="1"/>
  <c r="AH77" i="1"/>
  <c r="AG77" i="1"/>
  <c r="AD73" i="1"/>
  <c r="AH88" i="1"/>
  <c r="AG88" i="1"/>
  <c r="AD88" i="1"/>
  <c r="AH83" i="1"/>
  <c r="AG83" i="1"/>
  <c r="AG82" i="1"/>
  <c r="AH81" i="1"/>
  <c r="AG81" i="1"/>
  <c r="AD81" i="1"/>
  <c r="AH80" i="1"/>
  <c r="AG80" i="1"/>
  <c r="AH79" i="1"/>
  <c r="AG79" i="1"/>
  <c r="AC79" i="1"/>
  <c r="AH78" i="1"/>
  <c r="AG78" i="1"/>
  <c r="R94" i="1"/>
  <c r="M94" i="1"/>
  <c r="H94" i="1"/>
  <c r="AI93" i="1"/>
  <c r="R93" i="1"/>
  <c r="M93" i="1"/>
  <c r="H93" i="1"/>
  <c r="AI92" i="1"/>
  <c r="R92" i="1"/>
  <c r="M92" i="1"/>
  <c r="H92" i="1"/>
  <c r="AI91" i="1"/>
  <c r="R91" i="1"/>
  <c r="M91" i="1"/>
  <c r="H91" i="1"/>
  <c r="AI90" i="1"/>
  <c r="AE90" i="1"/>
  <c r="R90" i="1"/>
  <c r="M90" i="1"/>
  <c r="R70" i="1"/>
  <c r="M70" i="1"/>
  <c r="H70" i="1"/>
  <c r="R69" i="1"/>
  <c r="M69" i="1"/>
  <c r="H69" i="1"/>
  <c r="AI75" i="1"/>
  <c r="R75" i="1"/>
  <c r="M75" i="1"/>
  <c r="H75" i="1"/>
  <c r="AI68" i="1"/>
  <c r="N68" i="1"/>
  <c r="N67" i="1" s="1"/>
  <c r="M68" i="1"/>
  <c r="H68" i="1"/>
  <c r="AH64" i="1"/>
  <c r="AG64" i="1"/>
  <c r="AH63" i="1"/>
  <c r="AG63" i="1"/>
  <c r="AC63" i="1"/>
  <c r="AD54" i="1"/>
  <c r="AH62" i="1"/>
  <c r="AG62" i="1"/>
  <c r="AH61" i="1"/>
  <c r="AG61" i="1"/>
  <c r="AD61" i="1"/>
  <c r="AH60" i="1"/>
  <c r="AG60" i="1"/>
  <c r="AC60" i="1"/>
  <c r="AH59" i="1"/>
  <c r="AG59" i="1"/>
  <c r="AD59" i="1"/>
  <c r="AH58" i="1"/>
  <c r="AG58" i="1"/>
  <c r="AH57" i="1"/>
  <c r="AG57" i="1"/>
  <c r="AH56" i="1"/>
  <c r="AG56" i="1"/>
  <c r="AI55" i="1"/>
  <c r="R55" i="1"/>
  <c r="M55" i="1"/>
  <c r="H55" i="1"/>
  <c r="AI53" i="1"/>
  <c r="R53" i="1"/>
  <c r="M53" i="1"/>
  <c r="H53" i="1"/>
  <c r="AI52" i="1"/>
  <c r="R52" i="1"/>
  <c r="M52" i="1"/>
  <c r="H52" i="1"/>
  <c r="AI51" i="1"/>
  <c r="N51" i="1"/>
  <c r="N50" i="1" s="1"/>
  <c r="F8" i="2" s="1"/>
  <c r="M51" i="1"/>
  <c r="H51" i="1"/>
  <c r="AH48" i="1"/>
  <c r="AG48" i="1"/>
  <c r="AD48" i="1"/>
  <c r="AH47" i="1"/>
  <c r="AG47" i="1"/>
  <c r="AH46" i="1"/>
  <c r="AG46" i="1"/>
  <c r="AD46" i="1"/>
  <c r="AI45" i="1"/>
  <c r="N45" i="1"/>
  <c r="R45" i="1" s="1"/>
  <c r="M45" i="1"/>
  <c r="H45" i="1"/>
  <c r="AI44" i="1"/>
  <c r="N44" i="1"/>
  <c r="M44" i="1"/>
  <c r="H44" i="1"/>
  <c r="AH42" i="1"/>
  <c r="AG42" i="1"/>
  <c r="AH41" i="1"/>
  <c r="AG41" i="1"/>
  <c r="AH40" i="1"/>
  <c r="AG40" i="1"/>
  <c r="AH39" i="1"/>
  <c r="AG39" i="1"/>
  <c r="AD39" i="1"/>
  <c r="AH38" i="1"/>
  <c r="AG38" i="1"/>
  <c r="AH37" i="1"/>
  <c r="AH36" i="1"/>
  <c r="AG36" i="1"/>
  <c r="AD36" i="1"/>
  <c r="AI35" i="1"/>
  <c r="R35" i="1"/>
  <c r="M35" i="1"/>
  <c r="H35" i="1"/>
  <c r="AI34" i="1"/>
  <c r="R34" i="1"/>
  <c r="M34" i="1"/>
  <c r="H34" i="1"/>
  <c r="AI33" i="1"/>
  <c r="R33" i="1"/>
  <c r="M33" i="1"/>
  <c r="H33" i="1"/>
  <c r="AI32" i="1"/>
  <c r="R32" i="1"/>
  <c r="M32" i="1"/>
  <c r="H32" i="1"/>
  <c r="AI31" i="1"/>
  <c r="R31" i="1"/>
  <c r="M31" i="1"/>
  <c r="H31" i="1"/>
  <c r="AI30" i="1"/>
  <c r="R30" i="1"/>
  <c r="M30" i="1"/>
  <c r="H30" i="1"/>
  <c r="AI29" i="1"/>
  <c r="R29" i="1"/>
  <c r="M29" i="1"/>
  <c r="H29" i="1"/>
  <c r="AI28" i="1"/>
  <c r="R28" i="1"/>
  <c r="M28" i="1"/>
  <c r="H28" i="1"/>
  <c r="AI27" i="1"/>
  <c r="R27" i="1"/>
  <c r="M27" i="1"/>
  <c r="H27" i="1"/>
  <c r="AI14" i="1"/>
  <c r="R14" i="1"/>
  <c r="M14" i="1"/>
  <c r="H14" i="1"/>
  <c r="AI13" i="1"/>
  <c r="R13" i="1"/>
  <c r="M13" i="1"/>
  <c r="H13" i="1"/>
  <c r="AI12" i="1"/>
  <c r="R12" i="1"/>
  <c r="M12" i="1"/>
  <c r="H12" i="1"/>
  <c r="AI26" i="1"/>
  <c r="R26" i="1"/>
  <c r="M26" i="1"/>
  <c r="H26" i="1"/>
  <c r="AI25" i="1"/>
  <c r="R25" i="1"/>
  <c r="M25" i="1"/>
  <c r="H25" i="1"/>
  <c r="AI24" i="1"/>
  <c r="R24" i="1"/>
  <c r="M24" i="1"/>
  <c r="H24" i="1"/>
  <c r="AI11" i="1"/>
  <c r="R11" i="1"/>
  <c r="M11" i="1"/>
  <c r="H11" i="1"/>
  <c r="AI23" i="1"/>
  <c r="R23" i="1"/>
  <c r="M23" i="1"/>
  <c r="H23" i="1"/>
  <c r="AI22" i="1"/>
  <c r="R22" i="1"/>
  <c r="M22" i="1"/>
  <c r="H22" i="1"/>
  <c r="AI21" i="1"/>
  <c r="R21" i="1"/>
  <c r="M21" i="1"/>
  <c r="H21" i="1"/>
  <c r="AI10" i="1"/>
  <c r="R10" i="1"/>
  <c r="M10" i="1"/>
  <c r="H10" i="1"/>
  <c r="AI20" i="1"/>
  <c r="R20" i="1"/>
  <c r="M20" i="1"/>
  <c r="H20" i="1"/>
  <c r="AI19" i="1"/>
  <c r="R19" i="1"/>
  <c r="M19" i="1"/>
  <c r="H19" i="1"/>
  <c r="AI9" i="1"/>
  <c r="R9" i="1"/>
  <c r="M9" i="1"/>
  <c r="H9" i="1"/>
  <c r="R18" i="1"/>
  <c r="M18" i="1"/>
  <c r="H18" i="1"/>
  <c r="AI17" i="1"/>
  <c r="R17" i="1"/>
  <c r="M17" i="1"/>
  <c r="H17" i="1"/>
  <c r="R8" i="1"/>
  <c r="M8" i="1"/>
  <c r="H8" i="1"/>
  <c r="AH136" i="8"/>
  <c r="X138" i="8"/>
  <c r="Z138" i="8" s="1"/>
  <c r="X137" i="8"/>
  <c r="Y137" i="8" s="1"/>
  <c r="AG138" i="8"/>
  <c r="AF138" i="8"/>
  <c r="AG137" i="8"/>
  <c r="AF137" i="8"/>
  <c r="W136" i="8"/>
  <c r="V136" i="8"/>
  <c r="U136" i="8"/>
  <c r="T136" i="8"/>
  <c r="S136" i="8"/>
  <c r="Q136" i="8"/>
  <c r="P136" i="8"/>
  <c r="O136" i="8"/>
  <c r="N136" i="8"/>
  <c r="M136" i="8"/>
  <c r="J136" i="8"/>
  <c r="H136" i="8"/>
  <c r="G136" i="8"/>
  <c r="F136" i="8"/>
  <c r="F26" i="2" l="1"/>
  <c r="I26" i="2" s="1"/>
  <c r="J13" i="2"/>
  <c r="J9" i="2" s="1"/>
  <c r="G9" i="2"/>
  <c r="H67" i="1"/>
  <c r="M67" i="1"/>
  <c r="AI67" i="1"/>
  <c r="AI66" i="1" s="1"/>
  <c r="S75" i="1"/>
  <c r="F11" i="2"/>
  <c r="N66" i="1"/>
  <c r="U134" i="1"/>
  <c r="U133" i="1" s="1"/>
  <c r="V135" i="1"/>
  <c r="J15" i="2"/>
  <c r="J14" i="2" s="1"/>
  <c r="G33" i="2"/>
  <c r="J6" i="2"/>
  <c r="I6" i="2"/>
  <c r="G14" i="2"/>
  <c r="G26" i="2"/>
  <c r="J26" i="2" s="1"/>
  <c r="G5" i="2"/>
  <c r="H6" i="2"/>
  <c r="S51" i="1"/>
  <c r="S52" i="1"/>
  <c r="W52" i="1" s="1"/>
  <c r="Z52" i="1" s="1"/>
  <c r="S53" i="1"/>
  <c r="W53" i="1" s="1"/>
  <c r="Z53" i="1" s="1"/>
  <c r="S55" i="1"/>
  <c r="W55" i="1" s="1"/>
  <c r="Z55" i="1" s="1"/>
  <c r="S99" i="1"/>
  <c r="W99" i="1" s="1"/>
  <c r="Z99" i="1" s="1"/>
  <c r="S100" i="1"/>
  <c r="W100" i="1" s="1"/>
  <c r="Z100" i="1" s="1"/>
  <c r="S101" i="1"/>
  <c r="AA101" i="1" s="1"/>
  <c r="AD101" i="1" s="1"/>
  <c r="S102" i="1"/>
  <c r="W102" i="1" s="1"/>
  <c r="Z102" i="1" s="1"/>
  <c r="S103" i="1"/>
  <c r="W103" i="1" s="1"/>
  <c r="Z103" i="1" s="1"/>
  <c r="S104" i="1"/>
  <c r="S105" i="1"/>
  <c r="W105" i="1" s="1"/>
  <c r="Z105" i="1" s="1"/>
  <c r="S106" i="1"/>
  <c r="W106" i="1" s="1"/>
  <c r="Z106" i="1" s="1"/>
  <c r="S107" i="1"/>
  <c r="W107" i="1" s="1"/>
  <c r="Z107" i="1" s="1"/>
  <c r="S108" i="1"/>
  <c r="W108" i="1" s="1"/>
  <c r="Z108" i="1" s="1"/>
  <c r="S109" i="1"/>
  <c r="S110" i="1"/>
  <c r="W110" i="1" s="1"/>
  <c r="Z110" i="1" s="1"/>
  <c r="N139" i="1"/>
  <c r="F17" i="2"/>
  <c r="S17" i="2" s="1"/>
  <c r="G34" i="2"/>
  <c r="S112" i="1"/>
  <c r="AA112" i="1" s="1"/>
  <c r="AD112" i="1" s="1"/>
  <c r="G28" i="2"/>
  <c r="J28" i="2" s="1"/>
  <c r="J8" i="2"/>
  <c r="S9" i="1"/>
  <c r="W9" i="1" s="1"/>
  <c r="AA9" i="1" s="1"/>
  <c r="AD9" i="1" s="1"/>
  <c r="S19" i="1"/>
  <c r="W19" i="1" s="1"/>
  <c r="Z19" i="1" s="1"/>
  <c r="S20" i="1"/>
  <c r="W20" i="1" s="1"/>
  <c r="AA20" i="1" s="1"/>
  <c r="AD20" i="1" s="1"/>
  <c r="S10" i="1"/>
  <c r="W10" i="1" s="1"/>
  <c r="AA10" i="1" s="1"/>
  <c r="AD10" i="1" s="1"/>
  <c r="S21" i="1"/>
  <c r="W21" i="1" s="1"/>
  <c r="Z21" i="1" s="1"/>
  <c r="S22" i="1"/>
  <c r="W22" i="1" s="1"/>
  <c r="Z22" i="1" s="1"/>
  <c r="S23" i="1"/>
  <c r="W23" i="1" s="1"/>
  <c r="Z23" i="1" s="1"/>
  <c r="S11" i="1"/>
  <c r="W11" i="1" s="1"/>
  <c r="Z11" i="1" s="1"/>
  <c r="S24" i="1"/>
  <c r="W24" i="1" s="1"/>
  <c r="Z24" i="1" s="1"/>
  <c r="S25" i="1"/>
  <c r="W25" i="1" s="1"/>
  <c r="Z25" i="1" s="1"/>
  <c r="S26" i="1"/>
  <c r="W26" i="1" s="1"/>
  <c r="Z26" i="1" s="1"/>
  <c r="S12" i="1"/>
  <c r="W12" i="1" s="1"/>
  <c r="Z12" i="1" s="1"/>
  <c r="S44" i="1"/>
  <c r="W44" i="1" s="1"/>
  <c r="F28" i="2"/>
  <c r="I28" i="2" s="1"/>
  <c r="I8" i="2"/>
  <c r="H8" i="2"/>
  <c r="S70" i="1"/>
  <c r="W70" i="1" s="1"/>
  <c r="Z70" i="1" s="1"/>
  <c r="P139" i="1"/>
  <c r="G17" i="2"/>
  <c r="H15" i="2"/>
  <c r="H14" i="2" s="1"/>
  <c r="F35" i="2"/>
  <c r="I35" i="2" s="1"/>
  <c r="F14" i="2"/>
  <c r="I15" i="2"/>
  <c r="J7" i="2"/>
  <c r="G27" i="2"/>
  <c r="S17" i="1"/>
  <c r="W17" i="1" s="1"/>
  <c r="S18" i="1"/>
  <c r="W18" i="1" s="1"/>
  <c r="S68" i="1"/>
  <c r="S69" i="1"/>
  <c r="W69" i="1" s="1"/>
  <c r="Z69" i="1" s="1"/>
  <c r="S91" i="1"/>
  <c r="W91" i="1" s="1"/>
  <c r="Z91" i="1" s="1"/>
  <c r="S92" i="1"/>
  <c r="W92" i="1" s="1"/>
  <c r="Z92" i="1" s="1"/>
  <c r="S93" i="1"/>
  <c r="W93" i="1" s="1"/>
  <c r="Z93" i="1" s="1"/>
  <c r="W94" i="1"/>
  <c r="Z94" i="1" s="1"/>
  <c r="S98" i="1"/>
  <c r="S45" i="1"/>
  <c r="W45" i="1" s="1"/>
  <c r="S113" i="1"/>
  <c r="AA113" i="1" s="1"/>
  <c r="AD113" i="1" s="1"/>
  <c r="S141" i="1"/>
  <c r="W141" i="1" s="1"/>
  <c r="W140" i="1" s="1"/>
  <c r="W139" i="1" s="1"/>
  <c r="S8" i="1"/>
  <c r="W8" i="1" s="1"/>
  <c r="S14" i="1"/>
  <c r="W14" i="1" s="1"/>
  <c r="Z14" i="1" s="1"/>
  <c r="S27" i="1"/>
  <c r="W27" i="1" s="1"/>
  <c r="Z27" i="1" s="1"/>
  <c r="S28" i="1"/>
  <c r="W28" i="1" s="1"/>
  <c r="Z28" i="1" s="1"/>
  <c r="S29" i="1"/>
  <c r="W29" i="1" s="1"/>
  <c r="Z29" i="1" s="1"/>
  <c r="S30" i="1"/>
  <c r="W30" i="1" s="1"/>
  <c r="Z30" i="1" s="1"/>
  <c r="S31" i="1"/>
  <c r="S32" i="1"/>
  <c r="W32" i="1" s="1"/>
  <c r="Z32" i="1" s="1"/>
  <c r="S33" i="1"/>
  <c r="W33" i="1" s="1"/>
  <c r="Z33" i="1" s="1"/>
  <c r="S34" i="1"/>
  <c r="W34" i="1" s="1"/>
  <c r="Z34" i="1" s="1"/>
  <c r="S35" i="1"/>
  <c r="R89" i="1"/>
  <c r="S13" i="1"/>
  <c r="W13" i="1" s="1"/>
  <c r="Z13" i="1" s="1"/>
  <c r="M89" i="1"/>
  <c r="AA135" i="1"/>
  <c r="AD135" i="1" s="1"/>
  <c r="AG136" i="8"/>
  <c r="AF136" i="8"/>
  <c r="Z137" i="8"/>
  <c r="AA137" i="8" s="1"/>
  <c r="Y138" i="8"/>
  <c r="AB138" i="8" s="1"/>
  <c r="X136" i="8"/>
  <c r="H50" i="1"/>
  <c r="H90" i="1"/>
  <c r="AI50" i="1"/>
  <c r="M50" i="1"/>
  <c r="AI97" i="1"/>
  <c r="M43" i="1"/>
  <c r="AG97" i="1"/>
  <c r="AH50" i="1"/>
  <c r="AH43" i="1"/>
  <c r="H7" i="1"/>
  <c r="M7" i="1"/>
  <c r="AG7" i="1"/>
  <c r="H97" i="1"/>
  <c r="R7" i="1"/>
  <c r="AI7" i="1"/>
  <c r="AH7" i="1"/>
  <c r="H43" i="1"/>
  <c r="M97" i="1"/>
  <c r="R99" i="1"/>
  <c r="N97" i="1"/>
  <c r="R44" i="1"/>
  <c r="N43" i="1"/>
  <c r="F7" i="2" s="1"/>
  <c r="AH97" i="1"/>
  <c r="AI43" i="1"/>
  <c r="AG43" i="1"/>
  <c r="AG50" i="1"/>
  <c r="Q6" i="1"/>
  <c r="AG142" i="1"/>
  <c r="L6" i="1"/>
  <c r="AH142" i="1"/>
  <c r="AD57" i="1"/>
  <c r="AG134" i="1"/>
  <c r="AG133" i="1" s="1"/>
  <c r="AD83" i="1"/>
  <c r="AD63" i="1"/>
  <c r="AE63" i="1" s="1"/>
  <c r="AB72" i="1"/>
  <c r="AA143" i="1"/>
  <c r="AA142" i="1" s="1"/>
  <c r="Z144" i="1"/>
  <c r="AB144" i="1" s="1"/>
  <c r="AB60" i="1"/>
  <c r="AC61" i="1"/>
  <c r="AE61" i="1" s="1"/>
  <c r="AD79" i="1"/>
  <c r="AE79" i="1" s="1"/>
  <c r="G6" i="1"/>
  <c r="AC73" i="1"/>
  <c r="AE73" i="1" s="1"/>
  <c r="J6" i="1"/>
  <c r="AA119" i="1"/>
  <c r="AD119" i="1" s="1"/>
  <c r="AE119" i="1" s="1"/>
  <c r="AA132" i="1"/>
  <c r="AD132" i="1" s="1"/>
  <c r="I6" i="1"/>
  <c r="AB87" i="1"/>
  <c r="S142" i="1"/>
  <c r="AD41" i="1"/>
  <c r="AC41" i="1"/>
  <c r="AC83" i="1"/>
  <c r="AC40" i="1"/>
  <c r="AD40" i="1"/>
  <c r="AC42" i="1"/>
  <c r="AD42" i="1"/>
  <c r="AC38" i="1"/>
  <c r="AD38" i="1"/>
  <c r="AC64" i="1"/>
  <c r="AD64" i="1"/>
  <c r="R68" i="1"/>
  <c r="R67" i="1" s="1"/>
  <c r="AD86" i="1"/>
  <c r="AE86" i="1" s="1"/>
  <c r="F6" i="1"/>
  <c r="F145" i="1" s="1"/>
  <c r="O6" i="1"/>
  <c r="AB36" i="1"/>
  <c r="AD47" i="1"/>
  <c r="AC48" i="1"/>
  <c r="AE48" i="1" s="1"/>
  <c r="AC56" i="1"/>
  <c r="AB80" i="1"/>
  <c r="AB88" i="1"/>
  <c r="AC76" i="1"/>
  <c r="AE76" i="1" s="1"/>
  <c r="AC96" i="1"/>
  <c r="AE96" i="1" s="1"/>
  <c r="R100" i="1"/>
  <c r="AC114" i="1"/>
  <c r="AE114" i="1" s="1"/>
  <c r="AA118" i="1"/>
  <c r="AD118" i="1" s="1"/>
  <c r="AA122" i="1"/>
  <c r="AD122" i="1" s="1"/>
  <c r="AC123" i="1"/>
  <c r="AE123" i="1" s="1"/>
  <c r="AA126" i="1"/>
  <c r="AD126" i="1" s="1"/>
  <c r="AB127" i="1"/>
  <c r="AC130" i="1"/>
  <c r="AA138" i="1"/>
  <c r="AD138" i="1" s="1"/>
  <c r="AH134" i="1"/>
  <c r="AH133" i="1" s="1"/>
  <c r="K6" i="1"/>
  <c r="P6" i="1"/>
  <c r="AD82" i="1"/>
  <c r="AA120" i="1"/>
  <c r="AD120" i="1" s="1"/>
  <c r="AC47" i="1"/>
  <c r="AD58" i="1"/>
  <c r="AD62" i="1"/>
  <c r="AD37" i="1"/>
  <c r="R51" i="1"/>
  <c r="R50" i="1" s="1"/>
  <c r="AD56" i="1"/>
  <c r="AH139" i="1"/>
  <c r="AI139" i="1" s="1"/>
  <c r="AI140" i="1"/>
  <c r="AD49" i="1"/>
  <c r="AC57" i="1"/>
  <c r="AD77" i="1"/>
  <c r="AD95" i="1"/>
  <c r="AC138" i="1"/>
  <c r="AC122" i="1"/>
  <c r="AD130" i="1"/>
  <c r="AD78" i="1"/>
  <c r="AA136" i="1"/>
  <c r="AD136" i="1" s="1"/>
  <c r="AA116" i="1"/>
  <c r="AD116" i="1" s="1"/>
  <c r="AC118" i="1"/>
  <c r="AC132" i="1"/>
  <c r="R140" i="1"/>
  <c r="R139" i="1" s="1"/>
  <c r="AA128" i="1"/>
  <c r="AD128" i="1" s="1"/>
  <c r="AA124" i="1"/>
  <c r="AD124" i="1" s="1"/>
  <c r="AC126" i="1"/>
  <c r="H140" i="1"/>
  <c r="H139" i="1" s="1"/>
  <c r="AC138" i="8"/>
  <c r="AB137" i="8"/>
  <c r="R66" i="1" l="1"/>
  <c r="AA103" i="1"/>
  <c r="AD103" i="1" s="1"/>
  <c r="U75" i="1"/>
  <c r="U67" i="1" s="1"/>
  <c r="U66" i="1" s="1"/>
  <c r="U65" i="1" s="1"/>
  <c r="U145" i="1" s="1"/>
  <c r="AA107" i="1"/>
  <c r="AD107" i="1" s="1"/>
  <c r="AA105" i="1"/>
  <c r="AD105" i="1" s="1"/>
  <c r="AA99" i="1"/>
  <c r="AD99" i="1" s="1"/>
  <c r="AI65" i="1"/>
  <c r="N65" i="1"/>
  <c r="M66" i="1"/>
  <c r="M65" i="1" s="1"/>
  <c r="AA26" i="1"/>
  <c r="AD26" i="1" s="1"/>
  <c r="K28" i="2"/>
  <c r="K35" i="2"/>
  <c r="K34" i="2" s="1"/>
  <c r="I34" i="2"/>
  <c r="K26" i="2"/>
  <c r="AC108" i="1"/>
  <c r="J27" i="2"/>
  <c r="J25" i="2" s="1"/>
  <c r="G44" i="2"/>
  <c r="J33" i="2"/>
  <c r="J29" i="2" s="1"/>
  <c r="G29" i="2"/>
  <c r="W68" i="1"/>
  <c r="Z68" i="1" s="1"/>
  <c r="S67" i="1"/>
  <c r="F10" i="2"/>
  <c r="I11" i="2"/>
  <c r="K11" i="2" s="1"/>
  <c r="H11" i="2"/>
  <c r="H10" i="2" s="1"/>
  <c r="F31" i="2"/>
  <c r="W104" i="1"/>
  <c r="Z104" i="1" s="1"/>
  <c r="AC104" i="1" s="1"/>
  <c r="S50" i="1"/>
  <c r="AA52" i="1"/>
  <c r="AD52" i="1" s="1"/>
  <c r="K6" i="2"/>
  <c r="Z10" i="1"/>
  <c r="AB10" i="1" s="1"/>
  <c r="S90" i="1"/>
  <c r="W90" i="1" s="1"/>
  <c r="Z90" i="1" s="1"/>
  <c r="Z89" i="1" s="1"/>
  <c r="H89" i="1"/>
  <c r="H66" i="1" s="1"/>
  <c r="H65" i="1" s="1"/>
  <c r="V134" i="1"/>
  <c r="V133" i="1" s="1"/>
  <c r="W135" i="1"/>
  <c r="AC107" i="1"/>
  <c r="AC103" i="1"/>
  <c r="H26" i="2"/>
  <c r="K15" i="2"/>
  <c r="K14" i="2" s="1"/>
  <c r="G25" i="2"/>
  <c r="AA12" i="1"/>
  <c r="AD12" i="1" s="1"/>
  <c r="W101" i="1"/>
  <c r="Z101" i="1" s="1"/>
  <c r="AC101" i="1" s="1"/>
  <c r="AE101" i="1" s="1"/>
  <c r="W109" i="1"/>
  <c r="Z109" i="1" s="1"/>
  <c r="AC109" i="1" s="1"/>
  <c r="W51" i="1"/>
  <c r="AA22" i="1"/>
  <c r="AD22" i="1" s="1"/>
  <c r="AC55" i="1"/>
  <c r="AA24" i="1"/>
  <c r="AD24" i="1" s="1"/>
  <c r="AA19" i="1"/>
  <c r="AD19" i="1" s="1"/>
  <c r="AA55" i="1"/>
  <c r="AD55" i="1" s="1"/>
  <c r="AA21" i="1"/>
  <c r="AD21" i="1" s="1"/>
  <c r="Z9" i="1"/>
  <c r="AB9" i="1" s="1"/>
  <c r="AA70" i="1"/>
  <c r="AD70" i="1" s="1"/>
  <c r="AA25" i="1"/>
  <c r="AD25" i="1" s="1"/>
  <c r="AA53" i="1"/>
  <c r="AD53" i="1" s="1"/>
  <c r="Z20" i="1"/>
  <c r="AB20" i="1" s="1"/>
  <c r="AA106" i="1"/>
  <c r="AD106" i="1" s="1"/>
  <c r="AA23" i="1"/>
  <c r="AD23" i="1" s="1"/>
  <c r="AC110" i="1"/>
  <c r="AC106" i="1"/>
  <c r="AC102" i="1"/>
  <c r="AA110" i="1"/>
  <c r="AD110" i="1" s="1"/>
  <c r="W113" i="1"/>
  <c r="Z113" i="1" s="1"/>
  <c r="AC113" i="1" s="1"/>
  <c r="AE113" i="1" s="1"/>
  <c r="H28" i="2"/>
  <c r="F27" i="2"/>
  <c r="I27" i="2" s="1"/>
  <c r="H7" i="2"/>
  <c r="H5" i="2" s="1"/>
  <c r="I7" i="2"/>
  <c r="F5" i="2"/>
  <c r="H35" i="2"/>
  <c r="H34" i="2" s="1"/>
  <c r="F34" i="2"/>
  <c r="F37" i="2"/>
  <c r="I17" i="2"/>
  <c r="F16" i="2"/>
  <c r="H17" i="2"/>
  <c r="H16" i="2" s="1"/>
  <c r="S16" i="2"/>
  <c r="G16" i="2"/>
  <c r="G19" i="2" s="1"/>
  <c r="X43" i="2" s="1"/>
  <c r="G37" i="2"/>
  <c r="J37" i="2" s="1"/>
  <c r="J17" i="2"/>
  <c r="K8" i="2"/>
  <c r="F13" i="2"/>
  <c r="W98" i="1"/>
  <c r="Z98" i="1"/>
  <c r="AA11" i="1"/>
  <c r="AD11" i="1" s="1"/>
  <c r="I14" i="2"/>
  <c r="J5" i="2"/>
  <c r="W112" i="1"/>
  <c r="Z112" i="1" s="1"/>
  <c r="AC112" i="1" s="1"/>
  <c r="AE112" i="1" s="1"/>
  <c r="AC32" i="1"/>
  <c r="AA32" i="1"/>
  <c r="AD32" i="1" s="1"/>
  <c r="AA28" i="1"/>
  <c r="AD28" i="1" s="1"/>
  <c r="AC28" i="1"/>
  <c r="AA93" i="1"/>
  <c r="AD93" i="1" s="1"/>
  <c r="W35" i="1"/>
  <c r="Z35" i="1" s="1"/>
  <c r="W31" i="1"/>
  <c r="Z31" i="1" s="1"/>
  <c r="AA27" i="1"/>
  <c r="AD27" i="1" s="1"/>
  <c r="AA92" i="1"/>
  <c r="AD92" i="1" s="1"/>
  <c r="AA13" i="1"/>
  <c r="AD13" i="1" s="1"/>
  <c r="AC34" i="1"/>
  <c r="AA34" i="1"/>
  <c r="AD34" i="1" s="1"/>
  <c r="AA30" i="1"/>
  <c r="AD30" i="1" s="1"/>
  <c r="AA14" i="1"/>
  <c r="AD14" i="1" s="1"/>
  <c r="AC14" i="1"/>
  <c r="AA91" i="1"/>
  <c r="Z18" i="1"/>
  <c r="AC18" i="1" s="1"/>
  <c r="AA18" i="1"/>
  <c r="AD18" i="1" s="1"/>
  <c r="AA33" i="1"/>
  <c r="AD33" i="1" s="1"/>
  <c r="AA29" i="1"/>
  <c r="AD29" i="1" s="1"/>
  <c r="Z8" i="1"/>
  <c r="AC8" i="1" s="1"/>
  <c r="AA8" i="1"/>
  <c r="W43" i="1"/>
  <c r="AA94" i="1"/>
  <c r="AD94" i="1" s="1"/>
  <c r="AC69" i="1"/>
  <c r="AA69" i="1"/>
  <c r="AD69" i="1" s="1"/>
  <c r="AA17" i="1"/>
  <c r="AD17" i="1" s="1"/>
  <c r="Z17" i="1"/>
  <c r="AC17" i="1" s="1"/>
  <c r="R43" i="1"/>
  <c r="R6" i="1" s="1"/>
  <c r="Y44" i="1"/>
  <c r="AA44" i="1" s="1"/>
  <c r="Y45" i="1"/>
  <c r="AA45" i="1" s="1"/>
  <c r="AD45" i="1" s="1"/>
  <c r="X45" i="1"/>
  <c r="Z45" i="1" s="1"/>
  <c r="X44" i="1"/>
  <c r="Z44" i="1" s="1"/>
  <c r="S134" i="1"/>
  <c r="S133" i="1" s="1"/>
  <c r="G145" i="1"/>
  <c r="AD138" i="8"/>
  <c r="AA138" i="8"/>
  <c r="AA136" i="8" s="1"/>
  <c r="AC137" i="8"/>
  <c r="AC136" i="8" s="1"/>
  <c r="Z136" i="8"/>
  <c r="AB136" i="8"/>
  <c r="Y136" i="8"/>
  <c r="AD60" i="1"/>
  <c r="AE60" i="1" s="1"/>
  <c r="AC99" i="1"/>
  <c r="AC53" i="1"/>
  <c r="AA102" i="1"/>
  <c r="AD102" i="1" s="1"/>
  <c r="J145" i="1"/>
  <c r="J150" i="1" s="1"/>
  <c r="AA109" i="1"/>
  <c r="AD109" i="1" s="1"/>
  <c r="O145" i="1"/>
  <c r="O150" i="1" s="1"/>
  <c r="AC33" i="1"/>
  <c r="AC29" i="1"/>
  <c r="AA108" i="1"/>
  <c r="AD108" i="1" s="1"/>
  <c r="AC27" i="1"/>
  <c r="AC30" i="1"/>
  <c r="P145" i="1"/>
  <c r="P150" i="1" s="1"/>
  <c r="AA100" i="1"/>
  <c r="AD100" i="1" s="1"/>
  <c r="AA104" i="1"/>
  <c r="AD104" i="1" s="1"/>
  <c r="AC52" i="1"/>
  <c r="R97" i="1"/>
  <c r="K145" i="1"/>
  <c r="K150" i="1" s="1"/>
  <c r="I145" i="1"/>
  <c r="I150" i="1" s="1"/>
  <c r="L145" i="1"/>
  <c r="L150" i="1" s="1"/>
  <c r="Q145" i="1"/>
  <c r="Q150" i="1" s="1"/>
  <c r="AC26" i="1"/>
  <c r="AC12" i="1"/>
  <c r="S97" i="1"/>
  <c r="S43" i="1"/>
  <c r="AB57" i="1"/>
  <c r="AB63" i="1"/>
  <c r="AE57" i="1"/>
  <c r="H6" i="1"/>
  <c r="AE38" i="1"/>
  <c r="AB83" i="1"/>
  <c r="AC144" i="1"/>
  <c r="AE144" i="1" s="1"/>
  <c r="AB130" i="1"/>
  <c r="AE83" i="1"/>
  <c r="AC72" i="1"/>
  <c r="AE72" i="1" s="1"/>
  <c r="AB126" i="1"/>
  <c r="AC88" i="1"/>
  <c r="AC80" i="1"/>
  <c r="AE80" i="1" s="1"/>
  <c r="AB48" i="1"/>
  <c r="AC127" i="1"/>
  <c r="AE127" i="1" s="1"/>
  <c r="AE118" i="1"/>
  <c r="AE56" i="1"/>
  <c r="AD134" i="1"/>
  <c r="AD133" i="1" s="1"/>
  <c r="M15" i="2" s="1"/>
  <c r="AD143" i="1"/>
  <c r="AD142" i="1" s="1"/>
  <c r="AB118" i="1"/>
  <c r="AB56" i="1"/>
  <c r="AB73" i="1"/>
  <c r="AE64" i="1"/>
  <c r="AE126" i="1"/>
  <c r="AB143" i="1"/>
  <c r="AB142" i="1" s="1"/>
  <c r="AB138" i="1"/>
  <c r="AE138" i="1"/>
  <c r="AC36" i="1"/>
  <c r="AE36" i="1" s="1"/>
  <c r="AI6" i="1"/>
  <c r="AB123" i="1"/>
  <c r="AB64" i="1"/>
  <c r="AB61" i="1"/>
  <c r="AB114" i="1"/>
  <c r="N6" i="1"/>
  <c r="AE41" i="1"/>
  <c r="AH6" i="1"/>
  <c r="AE42" i="1"/>
  <c r="AB79" i="1"/>
  <c r="Z142" i="1"/>
  <c r="AB132" i="1"/>
  <c r="AB42" i="1"/>
  <c r="AB38" i="1"/>
  <c r="AE132" i="1"/>
  <c r="M6" i="1"/>
  <c r="AG6" i="1"/>
  <c r="AB81" i="1"/>
  <c r="AC81" i="1"/>
  <c r="AE81" i="1" s="1"/>
  <c r="AE130" i="1"/>
  <c r="AC87" i="1"/>
  <c r="AE87" i="1" s="1"/>
  <c r="AB122" i="1"/>
  <c r="AB47" i="1"/>
  <c r="AB96" i="1"/>
  <c r="AE122" i="1"/>
  <c r="AE47" i="1"/>
  <c r="AB119" i="1"/>
  <c r="AB41" i="1"/>
  <c r="AB76" i="1"/>
  <c r="AB40" i="1"/>
  <c r="AB86" i="1"/>
  <c r="AE40" i="1"/>
  <c r="AD71" i="1"/>
  <c r="AE71" i="1" s="1"/>
  <c r="AB71" i="1"/>
  <c r="AB49" i="1"/>
  <c r="AC49" i="1"/>
  <c r="AE49" i="1" s="1"/>
  <c r="AC24" i="1"/>
  <c r="AC21" i="1"/>
  <c r="AC121" i="1"/>
  <c r="AE121" i="1" s="1"/>
  <c r="AB121" i="1"/>
  <c r="AA134" i="1"/>
  <c r="AA133" i="1" s="1"/>
  <c r="AC91" i="1"/>
  <c r="AB58" i="1"/>
  <c r="AC58" i="1"/>
  <c r="AE58" i="1" s="1"/>
  <c r="AC82" i="1"/>
  <c r="AE82" i="1" s="1"/>
  <c r="AB82" i="1"/>
  <c r="AC19" i="1"/>
  <c r="AB39" i="1"/>
  <c r="AC39" i="1"/>
  <c r="AE39" i="1" s="1"/>
  <c r="AC137" i="1"/>
  <c r="AE137" i="1" s="1"/>
  <c r="AB137" i="1"/>
  <c r="AC117" i="1"/>
  <c r="AE117" i="1" s="1"/>
  <c r="AB117" i="1"/>
  <c r="AB128" i="1"/>
  <c r="AC128" i="1"/>
  <c r="AE128" i="1" s="1"/>
  <c r="AC46" i="1"/>
  <c r="AB46" i="1"/>
  <c r="AB37" i="1"/>
  <c r="AC37" i="1"/>
  <c r="AE37" i="1" s="1"/>
  <c r="AC25" i="1"/>
  <c r="AC11" i="1"/>
  <c r="AC125" i="1"/>
  <c r="AE125" i="1" s="1"/>
  <c r="AB125" i="1"/>
  <c r="AC78" i="1"/>
  <c r="AB78" i="1"/>
  <c r="AC59" i="1"/>
  <c r="AE59" i="1" s="1"/>
  <c r="AB59" i="1"/>
  <c r="AC129" i="1"/>
  <c r="AE129" i="1" s="1"/>
  <c r="AB129" i="1"/>
  <c r="AB124" i="1"/>
  <c r="AC124" i="1"/>
  <c r="AE124" i="1" s="1"/>
  <c r="AA141" i="1"/>
  <c r="Z141" i="1"/>
  <c r="S140" i="1"/>
  <c r="S139" i="1" s="1"/>
  <c r="AB116" i="1"/>
  <c r="AC116" i="1"/>
  <c r="AE116" i="1" s="1"/>
  <c r="AB136" i="1"/>
  <c r="AC136" i="1"/>
  <c r="AE136" i="1" s="1"/>
  <c r="AC54" i="1"/>
  <c r="AE54" i="1" s="1"/>
  <c r="AB54" i="1"/>
  <c r="AC95" i="1"/>
  <c r="AB95" i="1"/>
  <c r="AC77" i="1"/>
  <c r="AE77" i="1" s="1"/>
  <c r="AB77" i="1"/>
  <c r="AB62" i="1"/>
  <c r="AC62" i="1"/>
  <c r="AE62" i="1" s="1"/>
  <c r="AB120" i="1"/>
  <c r="AC120" i="1"/>
  <c r="AE120" i="1" s="1"/>
  <c r="AB113" i="1" l="1"/>
  <c r="R65" i="1"/>
  <c r="AB22" i="1"/>
  <c r="AE99" i="1"/>
  <c r="AE103" i="1"/>
  <c r="AE108" i="1"/>
  <c r="M18" i="2"/>
  <c r="T18" i="2" s="1"/>
  <c r="V75" i="1"/>
  <c r="W75" i="1" s="1"/>
  <c r="W134" i="1"/>
  <c r="W133" i="1" s="1"/>
  <c r="Z135" i="1"/>
  <c r="AB135" i="1" s="1"/>
  <c r="AB134" i="1" s="1"/>
  <c r="AB133" i="1" s="1"/>
  <c r="AE107" i="1"/>
  <c r="AE26" i="1"/>
  <c r="AB105" i="1"/>
  <c r="S89" i="1"/>
  <c r="S66" i="1" s="1"/>
  <c r="S65" i="1" s="1"/>
  <c r="AE88" i="1"/>
  <c r="AB141" i="1"/>
  <c r="K27" i="2"/>
  <c r="K25" i="2" s="1"/>
  <c r="AA68" i="1"/>
  <c r="J36" i="2"/>
  <c r="J39" i="2" s="1"/>
  <c r="AA90" i="1"/>
  <c r="AA89" i="1" s="1"/>
  <c r="T15" i="2"/>
  <c r="M35" i="2"/>
  <c r="T35" i="2" s="1"/>
  <c r="W89" i="1"/>
  <c r="I13" i="2"/>
  <c r="S37" i="2"/>
  <c r="S36" i="2" s="1"/>
  <c r="I37" i="2"/>
  <c r="I36" i="2" s="1"/>
  <c r="I25" i="2"/>
  <c r="AB70" i="1"/>
  <c r="I10" i="2"/>
  <c r="F9" i="2"/>
  <c r="O1" i="2"/>
  <c r="I31" i="2"/>
  <c r="K31" i="2" s="1"/>
  <c r="F30" i="2"/>
  <c r="H31" i="2"/>
  <c r="H30" i="2" s="1"/>
  <c r="AB112" i="1"/>
  <c r="AB92" i="1"/>
  <c r="AE55" i="1"/>
  <c r="AE52" i="1"/>
  <c r="AE12" i="1"/>
  <c r="AB12" i="1"/>
  <c r="F33" i="2"/>
  <c r="I33" i="2" s="1"/>
  <c r="K33" i="2" s="1"/>
  <c r="H13" i="2"/>
  <c r="H9" i="2" s="1"/>
  <c r="Z51" i="1"/>
  <c r="Z50" i="1" s="1"/>
  <c r="AA51" i="1"/>
  <c r="AA50" i="1" s="1"/>
  <c r="AE14" i="1"/>
  <c r="W50" i="1"/>
  <c r="AE32" i="1"/>
  <c r="AE29" i="1"/>
  <c r="AB23" i="1"/>
  <c r="AE17" i="1"/>
  <c r="AE28" i="1"/>
  <c r="AE106" i="1"/>
  <c r="AE30" i="1"/>
  <c r="AB93" i="1"/>
  <c r="AE69" i="1"/>
  <c r="AE110" i="1"/>
  <c r="AE33" i="1"/>
  <c r="AE53" i="1"/>
  <c r="AE27" i="1"/>
  <c r="AE34" i="1"/>
  <c r="W7" i="1"/>
  <c r="Z43" i="1"/>
  <c r="K17" i="2"/>
  <c r="K16" i="2" s="1"/>
  <c r="J16" i="2"/>
  <c r="J19" i="2" s="1"/>
  <c r="K7" i="2"/>
  <c r="K5" i="2" s="1"/>
  <c r="I5" i="2"/>
  <c r="W97" i="1"/>
  <c r="G36" i="2"/>
  <c r="G39" i="2" s="1"/>
  <c r="O17" i="2"/>
  <c r="W17" i="2" s="1"/>
  <c r="W16" i="2" s="1"/>
  <c r="I16" i="2"/>
  <c r="AC44" i="1"/>
  <c r="H37" i="2"/>
  <c r="H36" i="2" s="1"/>
  <c r="F36" i="2"/>
  <c r="M14" i="2"/>
  <c r="P15" i="2"/>
  <c r="H27" i="2"/>
  <c r="H25" i="2" s="1"/>
  <c r="F25" i="2"/>
  <c r="AC45" i="1"/>
  <c r="AE45" i="1" s="1"/>
  <c r="AB45" i="1"/>
  <c r="AC31" i="1"/>
  <c r="AA31" i="1"/>
  <c r="AD31" i="1" s="1"/>
  <c r="AA35" i="1"/>
  <c r="AD35" i="1" s="1"/>
  <c r="AC35" i="1"/>
  <c r="AC94" i="1"/>
  <c r="AE94" i="1" s="1"/>
  <c r="AB94" i="1"/>
  <c r="AD91" i="1"/>
  <c r="AD89" i="1" s="1"/>
  <c r="M12" i="2" s="1"/>
  <c r="M32" i="2" s="1"/>
  <c r="AE78" i="1"/>
  <c r="AE95" i="1"/>
  <c r="AD150" i="1"/>
  <c r="H145" i="1"/>
  <c r="AB101" i="1"/>
  <c r="AD137" i="8"/>
  <c r="AD136" i="8" s="1"/>
  <c r="AB99" i="1"/>
  <c r="AB27" i="1"/>
  <c r="AB33" i="1"/>
  <c r="AB53" i="1"/>
  <c r="AB91" i="1"/>
  <c r="AB106" i="1"/>
  <c r="AB102" i="1"/>
  <c r="AC93" i="1"/>
  <c r="AE93" i="1" s="1"/>
  <c r="AC92" i="1"/>
  <c r="AE92" i="1" s="1"/>
  <c r="AB108" i="1"/>
  <c r="AB110" i="1"/>
  <c r="AB19" i="1"/>
  <c r="AB107" i="1"/>
  <c r="AE102" i="1"/>
  <c r="AB21" i="1"/>
  <c r="AB34" i="1"/>
  <c r="AE109" i="1"/>
  <c r="AB104" i="1"/>
  <c r="AB14" i="1"/>
  <c r="AB109" i="1"/>
  <c r="AE21" i="1"/>
  <c r="AB26" i="1"/>
  <c r="AB29" i="1"/>
  <c r="AB30" i="1"/>
  <c r="AC105" i="1"/>
  <c r="AE105" i="1" s="1"/>
  <c r="AB55" i="1"/>
  <c r="AC23" i="1"/>
  <c r="AE23" i="1" s="1"/>
  <c r="AB28" i="1"/>
  <c r="AE104" i="1"/>
  <c r="AC70" i="1"/>
  <c r="AE70" i="1" s="1"/>
  <c r="N145" i="1"/>
  <c r="N150" i="1" s="1"/>
  <c r="AB100" i="1"/>
  <c r="AB103" i="1"/>
  <c r="AC22" i="1"/>
  <c r="AE22" i="1" s="1"/>
  <c r="AB32" i="1"/>
  <c r="AB25" i="1"/>
  <c r="AE24" i="1"/>
  <c r="AB52" i="1"/>
  <c r="AB69" i="1"/>
  <c r="AE19" i="1"/>
  <c r="AB8" i="1"/>
  <c r="AB24" i="1"/>
  <c r="M145" i="1"/>
  <c r="M150" i="1" s="1"/>
  <c r="S7" i="1"/>
  <c r="AB18" i="1"/>
  <c r="AE25" i="1"/>
  <c r="Z7" i="1"/>
  <c r="AC20" i="1"/>
  <c r="AE20" i="1" s="1"/>
  <c r="AE18" i="1"/>
  <c r="AC10" i="1"/>
  <c r="AE10" i="1" s="1"/>
  <c r="AB11" i="1"/>
  <c r="AC9" i="1"/>
  <c r="AE9" i="1" s="1"/>
  <c r="AE11" i="1"/>
  <c r="AB17" i="1"/>
  <c r="AA43" i="1"/>
  <c r="AA98" i="1"/>
  <c r="AA97" i="1" s="1"/>
  <c r="Z97" i="1"/>
  <c r="AB13" i="1"/>
  <c r="AC13" i="1"/>
  <c r="AE13" i="1" s="1"/>
  <c r="AD8" i="1"/>
  <c r="AC142" i="1"/>
  <c r="AC100" i="1"/>
  <c r="AE100" i="1" s="1"/>
  <c r="AE143" i="1"/>
  <c r="AE142" i="1" s="1"/>
  <c r="R145" i="1"/>
  <c r="R150" i="1" s="1"/>
  <c r="AC68" i="1"/>
  <c r="AE46" i="1"/>
  <c r="AC141" i="1"/>
  <c r="AA140" i="1"/>
  <c r="AB140" i="1" s="1"/>
  <c r="AD141" i="1"/>
  <c r="AD140" i="1" s="1"/>
  <c r="Z134" i="1" l="1"/>
  <c r="Z133" i="1" s="1"/>
  <c r="M38" i="2"/>
  <c r="T38" i="2" s="1"/>
  <c r="AC135" i="1"/>
  <c r="AE135" i="1" s="1"/>
  <c r="AE134" i="1" s="1"/>
  <c r="AE133" i="1" s="1"/>
  <c r="P18" i="2"/>
  <c r="X18" i="2" s="1"/>
  <c r="V67" i="1"/>
  <c r="V66" i="1" s="1"/>
  <c r="V65" i="1" s="1"/>
  <c r="V145" i="1" s="1"/>
  <c r="L18" i="2"/>
  <c r="L38" i="2" s="1"/>
  <c r="N38" i="2" s="1"/>
  <c r="W6" i="1"/>
  <c r="AB90" i="1"/>
  <c r="AB89" i="1" s="1"/>
  <c r="H19" i="2"/>
  <c r="G20" i="2" s="1"/>
  <c r="K37" i="2"/>
  <c r="K36" i="2" s="1"/>
  <c r="M34" i="2"/>
  <c r="Z75" i="1"/>
  <c r="Z67" i="1" s="1"/>
  <c r="Z66" i="1" s="1"/>
  <c r="Z65" i="1" s="1"/>
  <c r="W67" i="1"/>
  <c r="W66" i="1" s="1"/>
  <c r="W65" i="1" s="1"/>
  <c r="AA75" i="1"/>
  <c r="AA67" i="1" s="1"/>
  <c r="AA66" i="1" s="1"/>
  <c r="AA65" i="1" s="1"/>
  <c r="F29" i="2"/>
  <c r="I30" i="2"/>
  <c r="K10" i="2"/>
  <c r="I9" i="2"/>
  <c r="AB31" i="1"/>
  <c r="T12" i="2"/>
  <c r="P12" i="2"/>
  <c r="O16" i="2"/>
  <c r="K13" i="2"/>
  <c r="H33" i="2"/>
  <c r="T34" i="2"/>
  <c r="AC43" i="1"/>
  <c r="L7" i="2" s="1"/>
  <c r="AB35" i="1"/>
  <c r="F19" i="2"/>
  <c r="W43" i="2" s="1"/>
  <c r="Y43" i="2" s="1"/>
  <c r="AD7" i="1"/>
  <c r="M6" i="2" s="1"/>
  <c r="AA7" i="1"/>
  <c r="O37" i="2"/>
  <c r="W37" i="2" s="1"/>
  <c r="W36" i="2" s="1"/>
  <c r="P14" i="2"/>
  <c r="X15" i="2"/>
  <c r="P35" i="2"/>
  <c r="X35" i="2" s="1"/>
  <c r="T14" i="2"/>
  <c r="AE35" i="1"/>
  <c r="AE31" i="1"/>
  <c r="AE91" i="1"/>
  <c r="AE89" i="1" s="1"/>
  <c r="AB68" i="1"/>
  <c r="AD68" i="1"/>
  <c r="AC89" i="1"/>
  <c r="L12" i="2" s="1"/>
  <c r="AC150" i="1"/>
  <c r="AC7" i="1"/>
  <c r="L6" i="2" s="1"/>
  <c r="AD98" i="1"/>
  <c r="S6" i="1"/>
  <c r="AB44" i="1"/>
  <c r="AB43" i="1" s="1"/>
  <c r="AD44" i="1"/>
  <c r="AD43" i="1" s="1"/>
  <c r="M7" i="2" s="1"/>
  <c r="AB98" i="1"/>
  <c r="AB97" i="1" s="1"/>
  <c r="AC98" i="1"/>
  <c r="AC97" i="1" s="1"/>
  <c r="L13" i="2" s="1"/>
  <c r="AE8" i="1"/>
  <c r="AE141" i="1"/>
  <c r="AD51" i="1"/>
  <c r="AD50" i="1" s="1"/>
  <c r="M8" i="2" s="1"/>
  <c r="AA139" i="1"/>
  <c r="AB139" i="1" s="1"/>
  <c r="AE140" i="1"/>
  <c r="AD139" i="1"/>
  <c r="AC51" i="1"/>
  <c r="AC50" i="1" s="1"/>
  <c r="L8" i="2" s="1"/>
  <c r="AB51" i="1"/>
  <c r="AB50" i="1" s="1"/>
  <c r="Z6" i="1"/>
  <c r="N18" i="2" l="1"/>
  <c r="P38" i="2"/>
  <c r="X38" i="2" s="1"/>
  <c r="AC134" i="1"/>
  <c r="AC133" i="1" s="1"/>
  <c r="L15" i="2" s="1"/>
  <c r="L35" i="2" s="1"/>
  <c r="L34" i="2" s="1"/>
  <c r="O18" i="2"/>
  <c r="Q18" i="2" s="1"/>
  <c r="S18" i="2"/>
  <c r="U18" i="2" s="1"/>
  <c r="AB7" i="1"/>
  <c r="AB6" i="1" s="1"/>
  <c r="AD75" i="1"/>
  <c r="AD67" i="1" s="1"/>
  <c r="AD66" i="1" s="1"/>
  <c r="K9" i="2"/>
  <c r="K19" i="2" s="1"/>
  <c r="J20" i="2" s="1"/>
  <c r="F20" i="2"/>
  <c r="H20" i="2" s="1"/>
  <c r="AB75" i="1"/>
  <c r="AB67" i="1" s="1"/>
  <c r="AB66" i="1" s="1"/>
  <c r="AB65" i="1" s="1"/>
  <c r="L33" i="2"/>
  <c r="O33" i="2" s="1"/>
  <c r="S13" i="2"/>
  <c r="T7" i="2"/>
  <c r="M27" i="2"/>
  <c r="T6" i="2"/>
  <c r="M26" i="2"/>
  <c r="O13" i="2"/>
  <c r="L26" i="2"/>
  <c r="S26" i="2" s="1"/>
  <c r="N6" i="2"/>
  <c r="S6" i="2"/>
  <c r="O6" i="2"/>
  <c r="T8" i="2"/>
  <c r="M28" i="2"/>
  <c r="T28" i="2" s="1"/>
  <c r="H29" i="2"/>
  <c r="H39" i="2" s="1"/>
  <c r="G40" i="2" s="1"/>
  <c r="L28" i="2"/>
  <c r="S28" i="2" s="1"/>
  <c r="S8" i="2"/>
  <c r="O8" i="2"/>
  <c r="L32" i="2"/>
  <c r="N32" i="2" s="1"/>
  <c r="S12" i="2"/>
  <c r="U12" i="2" s="1"/>
  <c r="O12" i="2"/>
  <c r="L27" i="2"/>
  <c r="S7" i="2"/>
  <c r="O7" i="2"/>
  <c r="X12" i="2"/>
  <c r="AC75" i="1"/>
  <c r="AC67" i="1" s="1"/>
  <c r="AC66" i="1" s="1"/>
  <c r="AC65" i="1" s="1"/>
  <c r="W145" i="1"/>
  <c r="K30" i="2"/>
  <c r="K29" i="2" s="1"/>
  <c r="K39" i="2" s="1"/>
  <c r="J40" i="2" s="1"/>
  <c r="I29" i="2"/>
  <c r="I39" i="2" s="1"/>
  <c r="T32" i="2"/>
  <c r="P32" i="2"/>
  <c r="N12" i="2"/>
  <c r="S38" i="2"/>
  <c r="U38" i="2" s="1"/>
  <c r="X34" i="2"/>
  <c r="I19" i="2"/>
  <c r="P6" i="2"/>
  <c r="AE7" i="1"/>
  <c r="P8" i="2"/>
  <c r="P34" i="2"/>
  <c r="X14" i="2"/>
  <c r="O36" i="2"/>
  <c r="AE139" i="1"/>
  <c r="M17" i="2"/>
  <c r="M5" i="2"/>
  <c r="N8" i="2"/>
  <c r="P7" i="2"/>
  <c r="L5" i="2"/>
  <c r="N7" i="2"/>
  <c r="O38" i="2"/>
  <c r="F39" i="2"/>
  <c r="AE68" i="1"/>
  <c r="AE150" i="1"/>
  <c r="AD97" i="1"/>
  <c r="S145" i="1"/>
  <c r="AA6" i="1"/>
  <c r="AE98" i="1"/>
  <c r="AD6" i="1"/>
  <c r="AE44" i="1"/>
  <c r="AE43" i="1" s="1"/>
  <c r="Z145" i="1"/>
  <c r="AC6" i="1"/>
  <c r="AE51" i="1"/>
  <c r="AE50" i="1" s="1"/>
  <c r="S15" i="2" l="1"/>
  <c r="S14" i="2" s="1"/>
  <c r="N35" i="2"/>
  <c r="N34" i="2" s="1"/>
  <c r="S35" i="2"/>
  <c r="U35" i="2" s="1"/>
  <c r="U34" i="2" s="1"/>
  <c r="X6" i="2"/>
  <c r="L14" i="2"/>
  <c r="O15" i="2"/>
  <c r="Q15" i="2" s="1"/>
  <c r="Q14" i="2" s="1"/>
  <c r="N15" i="2"/>
  <c r="N14" i="2" s="1"/>
  <c r="W18" i="2"/>
  <c r="Y18" i="2" s="1"/>
  <c r="AA18" i="2" s="1"/>
  <c r="N27" i="2"/>
  <c r="W6" i="2"/>
  <c r="U7" i="2"/>
  <c r="W8" i="2"/>
  <c r="AE75" i="1"/>
  <c r="AE67" i="1" s="1"/>
  <c r="AE66" i="1" s="1"/>
  <c r="AD65" i="1"/>
  <c r="AD145" i="1" s="1"/>
  <c r="AD151" i="1" s="1"/>
  <c r="W12" i="2"/>
  <c r="Y12" i="2" s="1"/>
  <c r="M25" i="2"/>
  <c r="F40" i="2"/>
  <c r="H40" i="2" s="1"/>
  <c r="W38" i="2"/>
  <c r="Y38" i="2" s="1"/>
  <c r="T17" i="2"/>
  <c r="M37" i="2"/>
  <c r="S27" i="2"/>
  <c r="S25" i="2" s="1"/>
  <c r="L25" i="2"/>
  <c r="N26" i="2"/>
  <c r="W7" i="2"/>
  <c r="N28" i="2"/>
  <c r="W13" i="2"/>
  <c r="L11" i="2"/>
  <c r="L31" i="2" s="1"/>
  <c r="S31" i="2" s="1"/>
  <c r="I20" i="2"/>
  <c r="K20" i="2" s="1"/>
  <c r="M11" i="2"/>
  <c r="P11" i="2" s="1"/>
  <c r="O27" i="2"/>
  <c r="U28" i="2"/>
  <c r="X32" i="2"/>
  <c r="S32" i="2"/>
  <c r="U32" i="2" s="1"/>
  <c r="O32" i="2"/>
  <c r="Q12" i="2"/>
  <c r="T27" i="2"/>
  <c r="S33" i="2"/>
  <c r="W33" i="2" s="1"/>
  <c r="P26" i="2"/>
  <c r="T26" i="2"/>
  <c r="I40" i="2"/>
  <c r="K40" i="2" s="1"/>
  <c r="U8" i="2"/>
  <c r="X8" i="2"/>
  <c r="Q6" i="2"/>
  <c r="O5" i="2"/>
  <c r="O26" i="2"/>
  <c r="W26" i="2" s="1"/>
  <c r="Q8" i="2"/>
  <c r="M13" i="2"/>
  <c r="M33" i="2" s="1"/>
  <c r="N33" i="2" s="1"/>
  <c r="U6" i="2"/>
  <c r="S5" i="2"/>
  <c r="X7" i="2"/>
  <c r="Q7" i="2"/>
  <c r="O35" i="2"/>
  <c r="T5" i="2"/>
  <c r="P28" i="2"/>
  <c r="X28" i="2" s="1"/>
  <c r="P5" i="2"/>
  <c r="N5" i="2"/>
  <c r="P27" i="2"/>
  <c r="O28" i="2"/>
  <c r="W28" i="2" s="1"/>
  <c r="M16" i="2"/>
  <c r="N17" i="2"/>
  <c r="N16" i="2" s="1"/>
  <c r="P17" i="2"/>
  <c r="Q38" i="2"/>
  <c r="AE97" i="1"/>
  <c r="AA145" i="1"/>
  <c r="AC145" i="1"/>
  <c r="AE6" i="1"/>
  <c r="AB145" i="1"/>
  <c r="AG135" i="8"/>
  <c r="AF135" i="8"/>
  <c r="AH128" i="8"/>
  <c r="AH127" i="8" s="1"/>
  <c r="X132" i="8"/>
  <c r="Y132" i="8" s="1"/>
  <c r="AB132" i="8" s="1"/>
  <c r="X131" i="8"/>
  <c r="Y131" i="8" s="1"/>
  <c r="AB131" i="8" s="1"/>
  <c r="X130" i="8"/>
  <c r="Y130" i="8" s="1"/>
  <c r="X129" i="8"/>
  <c r="Z129" i="8" s="1"/>
  <c r="AC129" i="8" s="1"/>
  <c r="AG132" i="8"/>
  <c r="AF132" i="8"/>
  <c r="AG131" i="8"/>
  <c r="AF131" i="8"/>
  <c r="AG130" i="8"/>
  <c r="AF130" i="8"/>
  <c r="AG129" i="8"/>
  <c r="AF129" i="8"/>
  <c r="AF110" i="8"/>
  <c r="AG110" i="8"/>
  <c r="AF111" i="8"/>
  <c r="AG111" i="8"/>
  <c r="AF112" i="8"/>
  <c r="AG112" i="8"/>
  <c r="AF113" i="8"/>
  <c r="AG113" i="8"/>
  <c r="AF114" i="8"/>
  <c r="AG114" i="8"/>
  <c r="AF115" i="8"/>
  <c r="AG115" i="8"/>
  <c r="AF116" i="8"/>
  <c r="AG116" i="8"/>
  <c r="AF117" i="8"/>
  <c r="AG117" i="8"/>
  <c r="AF118" i="8"/>
  <c r="AG118" i="8"/>
  <c r="AF119" i="8"/>
  <c r="AG119" i="8"/>
  <c r="AF120" i="8"/>
  <c r="AG120" i="8"/>
  <c r="AF121" i="8"/>
  <c r="AG121" i="8"/>
  <c r="AF122" i="8"/>
  <c r="AG122" i="8"/>
  <c r="AF123" i="8"/>
  <c r="AG123" i="8"/>
  <c r="AF124" i="8"/>
  <c r="AG124" i="8"/>
  <c r="AF125" i="8"/>
  <c r="AG125" i="8"/>
  <c r="AF126" i="8"/>
  <c r="AG126" i="8"/>
  <c r="AG109" i="8"/>
  <c r="AF109" i="8"/>
  <c r="X126" i="8"/>
  <c r="Y126" i="8" s="1"/>
  <c r="X125" i="8"/>
  <c r="Z125" i="8" s="1"/>
  <c r="AC125" i="8" s="1"/>
  <c r="X124" i="8"/>
  <c r="Z124" i="8" s="1"/>
  <c r="AC124" i="8" s="1"/>
  <c r="X123" i="8"/>
  <c r="Z123" i="8" s="1"/>
  <c r="AC123" i="8" s="1"/>
  <c r="X122" i="8"/>
  <c r="Y122" i="8" s="1"/>
  <c r="X121" i="8"/>
  <c r="Z121" i="8" s="1"/>
  <c r="AC121" i="8" s="1"/>
  <c r="X120" i="8"/>
  <c r="Z120" i="8" s="1"/>
  <c r="AC120" i="8" s="1"/>
  <c r="X119" i="8"/>
  <c r="Y119" i="8" s="1"/>
  <c r="AB119" i="8" s="1"/>
  <c r="X118" i="8"/>
  <c r="Y118" i="8" s="1"/>
  <c r="X117" i="8"/>
  <c r="Z117" i="8" s="1"/>
  <c r="AC117" i="8" s="1"/>
  <c r="X116" i="8"/>
  <c r="Z116" i="8" s="1"/>
  <c r="X115" i="8"/>
  <c r="Z115" i="8" s="1"/>
  <c r="AC115" i="8" s="1"/>
  <c r="X114" i="8"/>
  <c r="Y114" i="8" s="1"/>
  <c r="X113" i="8"/>
  <c r="Z113" i="8" s="1"/>
  <c r="AC113" i="8" s="1"/>
  <c r="X112" i="8"/>
  <c r="Z112" i="8" s="1"/>
  <c r="AC112" i="8" s="1"/>
  <c r="X111" i="8"/>
  <c r="Y111" i="8" s="1"/>
  <c r="AB111" i="8" s="1"/>
  <c r="X110" i="8"/>
  <c r="Y110" i="8" s="1"/>
  <c r="X109" i="8"/>
  <c r="Z109" i="8" s="1"/>
  <c r="AC109" i="8" s="1"/>
  <c r="AF78" i="8"/>
  <c r="AG78" i="8"/>
  <c r="AF79" i="8"/>
  <c r="AG79" i="8"/>
  <c r="AF80" i="8"/>
  <c r="AG80" i="8"/>
  <c r="AF81" i="8"/>
  <c r="AG81" i="8"/>
  <c r="AF82" i="8"/>
  <c r="AG82" i="8"/>
  <c r="AF83" i="8"/>
  <c r="AG83" i="8"/>
  <c r="AF84" i="8"/>
  <c r="AG84" i="8"/>
  <c r="AF85" i="8"/>
  <c r="AG85" i="8"/>
  <c r="AF86" i="8"/>
  <c r="AG86" i="8"/>
  <c r="AF87" i="8"/>
  <c r="AG87" i="8"/>
  <c r="AF88" i="8"/>
  <c r="AG88" i="8"/>
  <c r="AF89" i="8"/>
  <c r="AG89" i="8"/>
  <c r="AF90" i="8"/>
  <c r="AG90" i="8"/>
  <c r="AF91" i="8"/>
  <c r="AG91" i="8"/>
  <c r="AF92" i="8"/>
  <c r="AG92" i="8"/>
  <c r="AG77" i="8"/>
  <c r="AF77" i="8"/>
  <c r="X78" i="8"/>
  <c r="Y78" i="8" s="1"/>
  <c r="X79" i="8"/>
  <c r="Z79" i="8" s="1"/>
  <c r="AC79" i="8" s="1"/>
  <c r="X80" i="8"/>
  <c r="Y80" i="8" s="1"/>
  <c r="X81" i="8"/>
  <c r="Z81" i="8" s="1"/>
  <c r="AC81" i="8" s="1"/>
  <c r="X82" i="8"/>
  <c r="Y82" i="8" s="1"/>
  <c r="X83" i="8"/>
  <c r="Z83" i="8" s="1"/>
  <c r="AC83" i="8" s="1"/>
  <c r="X84" i="8"/>
  <c r="Y84" i="8" s="1"/>
  <c r="X85" i="8"/>
  <c r="Z85" i="8" s="1"/>
  <c r="AC85" i="8" s="1"/>
  <c r="X86" i="8"/>
  <c r="Y86" i="8" s="1"/>
  <c r="X87" i="8"/>
  <c r="Z87" i="8" s="1"/>
  <c r="AC87" i="8" s="1"/>
  <c r="X88" i="8"/>
  <c r="Y88" i="8" s="1"/>
  <c r="X89" i="8"/>
  <c r="Z89" i="8" s="1"/>
  <c r="AC89" i="8" s="1"/>
  <c r="X90" i="8"/>
  <c r="Y90" i="8" s="1"/>
  <c r="X91" i="8"/>
  <c r="Z91" i="8" s="1"/>
  <c r="AC91" i="8" s="1"/>
  <c r="X92" i="8"/>
  <c r="Y92" i="8" s="1"/>
  <c r="X77" i="8"/>
  <c r="Z77" i="8" s="1"/>
  <c r="AC77" i="8" s="1"/>
  <c r="U15" i="2" l="1"/>
  <c r="U14" i="2" s="1"/>
  <c r="S34" i="2"/>
  <c r="W35" i="2"/>
  <c r="W34" i="2" s="1"/>
  <c r="O14" i="2"/>
  <c r="W15" i="2"/>
  <c r="W14" i="2" s="1"/>
  <c r="Z130" i="8"/>
  <c r="AC130" i="8" s="1"/>
  <c r="Z131" i="8"/>
  <c r="AC131" i="8" s="1"/>
  <c r="AD131" i="8" s="1"/>
  <c r="Z132" i="8"/>
  <c r="AC132" i="8" s="1"/>
  <c r="AD132" i="8" s="1"/>
  <c r="AC151" i="1"/>
  <c r="AC152" i="1"/>
  <c r="W27" i="2"/>
  <c r="W25" i="2" s="1"/>
  <c r="U27" i="2"/>
  <c r="S30" i="2"/>
  <c r="S29" i="2" s="1"/>
  <c r="AE65" i="1"/>
  <c r="AE145" i="1" s="1"/>
  <c r="M36" i="2"/>
  <c r="N37" i="2"/>
  <c r="N36" i="2" s="1"/>
  <c r="N25" i="2"/>
  <c r="T37" i="2"/>
  <c r="U37" i="2" s="1"/>
  <c r="U36" i="2" s="1"/>
  <c r="L10" i="2"/>
  <c r="O10" i="2" s="1"/>
  <c r="O11" i="2"/>
  <c r="Q11" i="2" s="1"/>
  <c r="S11" i="2"/>
  <c r="S10" i="2" s="1"/>
  <c r="S9" i="2" s="1"/>
  <c r="S19" i="2" s="1"/>
  <c r="W44" i="2" s="1"/>
  <c r="T11" i="2"/>
  <c r="T10" i="2" s="1"/>
  <c r="M10" i="2"/>
  <c r="M9" i="2" s="1"/>
  <c r="M19" i="2" s="1"/>
  <c r="M31" i="2"/>
  <c r="T31" i="2" s="1"/>
  <c r="T30" i="2" s="1"/>
  <c r="N11" i="2"/>
  <c r="N10" i="2" s="1"/>
  <c r="L30" i="2"/>
  <c r="O31" i="2"/>
  <c r="T25" i="2"/>
  <c r="Y7" i="2"/>
  <c r="Q32" i="2"/>
  <c r="W32" i="2"/>
  <c r="Y32" i="2" s="1"/>
  <c r="Y28" i="2"/>
  <c r="T13" i="2"/>
  <c r="X26" i="2"/>
  <c r="Y26" i="2" s="1"/>
  <c r="U26" i="2"/>
  <c r="X27" i="2"/>
  <c r="U5" i="2"/>
  <c r="P25" i="2"/>
  <c r="Y8" i="2"/>
  <c r="Q27" i="2"/>
  <c r="Q28" i="2"/>
  <c r="W5" i="2"/>
  <c r="Y6" i="2"/>
  <c r="T16" i="2"/>
  <c r="U17" i="2"/>
  <c r="U16" i="2" s="1"/>
  <c r="O25" i="2"/>
  <c r="Q26" i="2"/>
  <c r="P13" i="2"/>
  <c r="N13" i="2"/>
  <c r="Q5" i="2"/>
  <c r="X17" i="2"/>
  <c r="P16" i="2"/>
  <c r="Q17" i="2"/>
  <c r="Q16" i="2" s="1"/>
  <c r="P37" i="2"/>
  <c r="Q35" i="2"/>
  <c r="Q34" i="2" s="1"/>
  <c r="O34" i="2"/>
  <c r="X5" i="2"/>
  <c r="AD152" i="1"/>
  <c r="AF128" i="8"/>
  <c r="AF127" i="8" s="1"/>
  <c r="AG128" i="8"/>
  <c r="AG127" i="8" s="1"/>
  <c r="Z86" i="8"/>
  <c r="AC86" i="8" s="1"/>
  <c r="Z80" i="8"/>
  <c r="AC80" i="8" s="1"/>
  <c r="Z78" i="8"/>
  <c r="AC78" i="8" s="1"/>
  <c r="X128" i="8"/>
  <c r="AF67" i="8"/>
  <c r="Z82" i="8"/>
  <c r="AC82" i="8" s="1"/>
  <c r="Z88" i="8"/>
  <c r="AC88" i="8" s="1"/>
  <c r="AG67" i="8"/>
  <c r="Y83" i="8"/>
  <c r="AB83" i="8" s="1"/>
  <c r="AD83" i="8" s="1"/>
  <c r="Z90" i="8"/>
  <c r="AC90" i="8" s="1"/>
  <c r="Y79" i="8"/>
  <c r="AB79" i="8" s="1"/>
  <c r="AD79" i="8" s="1"/>
  <c r="Z84" i="8"/>
  <c r="AC84" i="8" s="1"/>
  <c r="Z92" i="8"/>
  <c r="AC92" i="8" s="1"/>
  <c r="Y129" i="8"/>
  <c r="AA129" i="8" s="1"/>
  <c r="AB130" i="8"/>
  <c r="Y112" i="8"/>
  <c r="AB112" i="8" s="1"/>
  <c r="AD112" i="8" s="1"/>
  <c r="Y120" i="8"/>
  <c r="AB120" i="8" s="1"/>
  <c r="AD120" i="8" s="1"/>
  <c r="AG93" i="8"/>
  <c r="Z114" i="8"/>
  <c r="AC114" i="8" s="1"/>
  <c r="Z122" i="8"/>
  <c r="AC122" i="8" s="1"/>
  <c r="Y116" i="8"/>
  <c r="AB116" i="8" s="1"/>
  <c r="Y124" i="8"/>
  <c r="AB124" i="8" s="1"/>
  <c r="AD124" i="8" s="1"/>
  <c r="AF93" i="8"/>
  <c r="Z110" i="8"/>
  <c r="AC110" i="8" s="1"/>
  <c r="Z118" i="8"/>
  <c r="AC118" i="8" s="1"/>
  <c r="Z126" i="8"/>
  <c r="AC126" i="8" s="1"/>
  <c r="AB114" i="8"/>
  <c r="AB118" i="8"/>
  <c r="AB126" i="8"/>
  <c r="AC116" i="8"/>
  <c r="AB110" i="8"/>
  <c r="AB122" i="8"/>
  <c r="Y109" i="8"/>
  <c r="AB109" i="8" s="1"/>
  <c r="AD109" i="8" s="1"/>
  <c r="Z111" i="8"/>
  <c r="AC111" i="8" s="1"/>
  <c r="AD111" i="8" s="1"/>
  <c r="Y117" i="8"/>
  <c r="AB117" i="8" s="1"/>
  <c r="AD117" i="8" s="1"/>
  <c r="Z119" i="8"/>
  <c r="AC119" i="8" s="1"/>
  <c r="AD119" i="8" s="1"/>
  <c r="Y125" i="8"/>
  <c r="AB125" i="8" s="1"/>
  <c r="AD125" i="8" s="1"/>
  <c r="Y115" i="8"/>
  <c r="AB115" i="8" s="1"/>
  <c r="AD115" i="8" s="1"/>
  <c r="Y123" i="8"/>
  <c r="AB123" i="8" s="1"/>
  <c r="AD123" i="8" s="1"/>
  <c r="Y113" i="8"/>
  <c r="AB113" i="8" s="1"/>
  <c r="AD113" i="8" s="1"/>
  <c r="Y121" i="8"/>
  <c r="AB121" i="8" s="1"/>
  <c r="AD121" i="8" s="1"/>
  <c r="AB90" i="8"/>
  <c r="AB86" i="8"/>
  <c r="AB82" i="8"/>
  <c r="AB78" i="8"/>
  <c r="AB92" i="8"/>
  <c r="AB88" i="8"/>
  <c r="AB84" i="8"/>
  <c r="AB80" i="8"/>
  <c r="Y77" i="8"/>
  <c r="AB77" i="8" s="1"/>
  <c r="AD77" i="8" s="1"/>
  <c r="Y81" i="8"/>
  <c r="AB81" i="8" s="1"/>
  <c r="AD81" i="8" s="1"/>
  <c r="Y85" i="8"/>
  <c r="AB85" i="8" s="1"/>
  <c r="AD85" i="8" s="1"/>
  <c r="Y87" i="8"/>
  <c r="AB87" i="8" s="1"/>
  <c r="AD87" i="8" s="1"/>
  <c r="Y89" i="8"/>
  <c r="AB89" i="8" s="1"/>
  <c r="AD89" i="8" s="1"/>
  <c r="Y91" i="8"/>
  <c r="AB91" i="8" s="1"/>
  <c r="AD91" i="8" s="1"/>
  <c r="X57" i="8"/>
  <c r="Y57" i="8" s="1"/>
  <c r="AB57" i="8" s="1"/>
  <c r="X58" i="8"/>
  <c r="Z58" i="8" s="1"/>
  <c r="AC58" i="8" s="1"/>
  <c r="X59" i="8"/>
  <c r="Z59" i="8" s="1"/>
  <c r="X60" i="8"/>
  <c r="Y60" i="8" s="1"/>
  <c r="X61" i="8"/>
  <c r="Y61" i="8" s="1"/>
  <c r="AB61" i="8" s="1"/>
  <c r="X62" i="8"/>
  <c r="Y62" i="8" s="1"/>
  <c r="X63" i="8"/>
  <c r="Z63" i="8" s="1"/>
  <c r="AC63" i="8" s="1"/>
  <c r="X64" i="8"/>
  <c r="Z64" i="8" s="1"/>
  <c r="X65" i="8"/>
  <c r="Y65" i="8" s="1"/>
  <c r="AB65" i="8" s="1"/>
  <c r="X56" i="8"/>
  <c r="Y56" i="8" s="1"/>
  <c r="AF57" i="8"/>
  <c r="AG57" i="8"/>
  <c r="AF58" i="8"/>
  <c r="AG58" i="8"/>
  <c r="AF59" i="8"/>
  <c r="AG59" i="8"/>
  <c r="AF60" i="8"/>
  <c r="AG60" i="8"/>
  <c r="AF61" i="8"/>
  <c r="AG61" i="8"/>
  <c r="AF62" i="8"/>
  <c r="AG62" i="8"/>
  <c r="AF63" i="8"/>
  <c r="AG63" i="8"/>
  <c r="AF64" i="8"/>
  <c r="AG64" i="8"/>
  <c r="AF65" i="8"/>
  <c r="AG65" i="8"/>
  <c r="AG56" i="8"/>
  <c r="AF56" i="8"/>
  <c r="Z50" i="8"/>
  <c r="AC50" i="8" s="1"/>
  <c r="X49" i="8"/>
  <c r="Y49" i="8" s="1"/>
  <c r="X48" i="8"/>
  <c r="Y48" i="8" s="1"/>
  <c r="X47" i="8"/>
  <c r="Z47" i="8" s="1"/>
  <c r="AC47" i="8" s="1"/>
  <c r="AF48" i="8"/>
  <c r="AG48" i="8"/>
  <c r="AF49" i="8"/>
  <c r="AG49" i="8"/>
  <c r="AF50" i="8"/>
  <c r="AG50" i="8"/>
  <c r="AG47" i="8"/>
  <c r="AF47" i="8"/>
  <c r="X34" i="8"/>
  <c r="Y34" i="8" s="1"/>
  <c r="AB34" i="8" s="1"/>
  <c r="X35" i="8"/>
  <c r="Z35" i="8" s="1"/>
  <c r="AC35" i="8" s="1"/>
  <c r="X36" i="8"/>
  <c r="Y36" i="8" s="1"/>
  <c r="X37" i="8"/>
  <c r="Y37" i="8" s="1"/>
  <c r="X38" i="8"/>
  <c r="Y38" i="8" s="1"/>
  <c r="X39" i="8"/>
  <c r="Z39" i="8" s="1"/>
  <c r="AC39" i="8" s="1"/>
  <c r="X40" i="8"/>
  <c r="Y40" i="8" s="1"/>
  <c r="X41" i="8"/>
  <c r="Z41" i="8" s="1"/>
  <c r="AC41" i="8" s="1"/>
  <c r="X42" i="8"/>
  <c r="Y42" i="8" s="1"/>
  <c r="AB42" i="8" s="1"/>
  <c r="X43" i="8"/>
  <c r="Z43" i="8" s="1"/>
  <c r="AC43" i="8" s="1"/>
  <c r="X33" i="8"/>
  <c r="Z33" i="8" s="1"/>
  <c r="AC33" i="8" s="1"/>
  <c r="V6" i="8"/>
  <c r="U6" i="8"/>
  <c r="T6" i="8"/>
  <c r="S6" i="8"/>
  <c r="P6" i="8"/>
  <c r="O6" i="8"/>
  <c r="N6" i="8"/>
  <c r="M6" i="8"/>
  <c r="I6" i="8"/>
  <c r="G6" i="8"/>
  <c r="F6" i="8"/>
  <c r="AG43" i="8"/>
  <c r="AF43" i="8"/>
  <c r="AG42" i="8"/>
  <c r="AF42" i="8"/>
  <c r="AG41" i="8"/>
  <c r="AF41" i="8"/>
  <c r="AG40" i="8"/>
  <c r="AF40" i="8"/>
  <c r="AG39" i="8"/>
  <c r="AF39" i="8"/>
  <c r="AG38" i="8"/>
  <c r="AF38" i="8"/>
  <c r="AG37" i="8"/>
  <c r="AF37" i="8"/>
  <c r="AG36" i="8"/>
  <c r="AF36" i="8"/>
  <c r="AG35" i="8"/>
  <c r="AF35" i="8"/>
  <c r="AG34" i="8"/>
  <c r="AF34" i="8"/>
  <c r="AG33" i="8"/>
  <c r="AF33" i="8"/>
  <c r="Y35" i="2" l="1"/>
  <c r="Y34" i="2" s="1"/>
  <c r="Y15" i="2"/>
  <c r="Y14" i="2" s="1"/>
  <c r="AD130" i="8"/>
  <c r="S39" i="2"/>
  <c r="AA79" i="8"/>
  <c r="AA131" i="8"/>
  <c r="AD92" i="8"/>
  <c r="AC128" i="8"/>
  <c r="AC127" i="8" s="1"/>
  <c r="Z128" i="8"/>
  <c r="Z127" i="8" s="1"/>
  <c r="AA130" i="8"/>
  <c r="AD88" i="8"/>
  <c r="AA132" i="8"/>
  <c r="AA110" i="8"/>
  <c r="X37" i="2"/>
  <c r="Y37" i="2" s="1"/>
  <c r="Y36" i="2" s="1"/>
  <c r="AE151" i="1"/>
  <c r="Y27" i="2"/>
  <c r="Y25" i="2" s="1"/>
  <c r="U25" i="2"/>
  <c r="T36" i="2"/>
  <c r="T9" i="2"/>
  <c r="T19" i="2" s="1"/>
  <c r="X44" i="2" s="1"/>
  <c r="Y44" i="2" s="1"/>
  <c r="L9" i="2"/>
  <c r="L19" i="2" s="1"/>
  <c r="N9" i="2"/>
  <c r="N19" i="2" s="1"/>
  <c r="M20" i="2" s="1"/>
  <c r="X11" i="2"/>
  <c r="W11" i="2"/>
  <c r="M30" i="2"/>
  <c r="M29" i="2" s="1"/>
  <c r="M39" i="2" s="1"/>
  <c r="N31" i="2"/>
  <c r="N30" i="2" s="1"/>
  <c r="N29" i="2" s="1"/>
  <c r="N39" i="2" s="1"/>
  <c r="P10" i="2"/>
  <c r="P9" i="2" s="1"/>
  <c r="U31" i="2"/>
  <c r="U30" i="2" s="1"/>
  <c r="U11" i="2"/>
  <c r="U10" i="2" s="1"/>
  <c r="P31" i="2"/>
  <c r="X31" i="2" s="1"/>
  <c r="W31" i="2"/>
  <c r="W10" i="2"/>
  <c r="W9" i="2" s="1"/>
  <c r="O9" i="2"/>
  <c r="O19" i="2" s="1"/>
  <c r="L29" i="2"/>
  <c r="L39" i="2" s="1"/>
  <c r="L43" i="2" s="1"/>
  <c r="O30" i="2"/>
  <c r="AA89" i="8"/>
  <c r="AA84" i="8"/>
  <c r="AA80" i="8"/>
  <c r="AD153" i="1"/>
  <c r="AC153" i="1"/>
  <c r="Q13" i="2"/>
  <c r="X13" i="2"/>
  <c r="Y13" i="2" s="1"/>
  <c r="T33" i="2"/>
  <c r="U33" i="2" s="1"/>
  <c r="P33" i="2"/>
  <c r="X25" i="2"/>
  <c r="Y5" i="2"/>
  <c r="Q25" i="2"/>
  <c r="Y17" i="2"/>
  <c r="Y16" i="2" s="1"/>
  <c r="X16" i="2"/>
  <c r="P36" i="2"/>
  <c r="Q37" i="2"/>
  <c r="Q36" i="2" s="1"/>
  <c r="U13" i="2"/>
  <c r="AA124" i="8"/>
  <c r="AE152" i="1"/>
  <c r="AA86" i="8"/>
  <c r="AA88" i="8"/>
  <c r="AD78" i="8"/>
  <c r="AA78" i="8"/>
  <c r="AA120" i="8"/>
  <c r="AA116" i="8"/>
  <c r="AD80" i="8"/>
  <c r="AD84" i="8"/>
  <c r="AD86" i="8"/>
  <c r="AA118" i="8"/>
  <c r="AG6" i="8"/>
  <c r="AA77" i="8"/>
  <c r="AA126" i="8"/>
  <c r="AD116" i="8"/>
  <c r="AD118" i="8"/>
  <c r="AF6" i="8"/>
  <c r="AG44" i="8"/>
  <c r="AA117" i="8"/>
  <c r="AA112" i="8"/>
  <c r="AA122" i="8"/>
  <c r="AB129" i="8"/>
  <c r="Y128" i="8"/>
  <c r="Y127" i="8" s="1"/>
  <c r="AF51" i="8"/>
  <c r="AA85" i="8"/>
  <c r="AD82" i="8"/>
  <c r="AD90" i="8"/>
  <c r="AD110" i="8"/>
  <c r="AD126" i="8"/>
  <c r="AA81" i="8"/>
  <c r="AA82" i="8"/>
  <c r="AA90" i="8"/>
  <c r="AD122" i="8"/>
  <c r="AF44" i="8"/>
  <c r="AA92" i="8"/>
  <c r="AA83" i="8"/>
  <c r="AA91" i="8"/>
  <c r="AD114" i="8"/>
  <c r="AA114" i="8"/>
  <c r="AA125" i="8"/>
  <c r="AA121" i="8"/>
  <c r="AA113" i="8"/>
  <c r="AA111" i="8"/>
  <c r="AA115" i="8"/>
  <c r="AA109" i="8"/>
  <c r="AA123" i="8"/>
  <c r="AA119" i="8"/>
  <c r="AA87" i="8"/>
  <c r="AG51" i="8"/>
  <c r="Z40" i="8"/>
  <c r="AC40" i="8" s="1"/>
  <c r="Y63" i="8"/>
  <c r="AA63" i="8" s="1"/>
  <c r="Z65" i="8"/>
  <c r="AC65" i="8" s="1"/>
  <c r="AD65" i="8" s="1"/>
  <c r="AB62" i="8"/>
  <c r="AB60" i="8"/>
  <c r="Y64" i="8"/>
  <c r="AB64" i="8" s="1"/>
  <c r="Z61" i="8"/>
  <c r="AA61" i="8" s="1"/>
  <c r="Z60" i="8"/>
  <c r="AC60" i="8" s="1"/>
  <c r="Z62" i="8"/>
  <c r="AC62" i="8" s="1"/>
  <c r="Y59" i="8"/>
  <c r="AB59" i="8" s="1"/>
  <c r="AB56" i="8"/>
  <c r="Y58" i="8"/>
  <c r="Z57" i="8"/>
  <c r="AA57" i="8" s="1"/>
  <c r="Z56" i="8"/>
  <c r="AC64" i="8"/>
  <c r="AC59" i="8"/>
  <c r="Y35" i="8"/>
  <c r="AB35" i="8" s="1"/>
  <c r="AD35" i="8" s="1"/>
  <c r="Y41" i="8"/>
  <c r="AB41" i="8" s="1"/>
  <c r="AD41" i="8" s="1"/>
  <c r="Y39" i="8"/>
  <c r="AB39" i="8" s="1"/>
  <c r="AD39" i="8" s="1"/>
  <c r="Y43" i="8"/>
  <c r="AA43" i="8" s="1"/>
  <c r="Z37" i="8"/>
  <c r="AC37" i="8" s="1"/>
  <c r="AB49" i="8"/>
  <c r="Z49" i="8"/>
  <c r="AC49" i="8" s="1"/>
  <c r="Y50" i="8"/>
  <c r="AB48" i="8"/>
  <c r="Z48" i="8"/>
  <c r="AC48" i="8" s="1"/>
  <c r="Y47" i="8"/>
  <c r="AB38" i="8"/>
  <c r="Z42" i="8"/>
  <c r="AC42" i="8" s="1"/>
  <c r="AD42" i="8" s="1"/>
  <c r="Z34" i="8"/>
  <c r="AC34" i="8" s="1"/>
  <c r="AD34" i="8" s="1"/>
  <c r="Z38" i="8"/>
  <c r="AC38" i="8" s="1"/>
  <c r="Y33" i="8"/>
  <c r="AA33" i="8" s="1"/>
  <c r="AB36" i="8"/>
  <c r="AB40" i="8"/>
  <c r="Z36" i="8"/>
  <c r="AC36" i="8" s="1"/>
  <c r="AB37" i="8"/>
  <c r="AA128" i="8" l="1"/>
  <c r="AA127" i="8" s="1"/>
  <c r="X36" i="2"/>
  <c r="Y11" i="2"/>
  <c r="U29" i="2"/>
  <c r="U39" i="2" s="1"/>
  <c r="T29" i="2"/>
  <c r="T39" i="2" s="1"/>
  <c r="U9" i="2"/>
  <c r="U19" i="2" s="1"/>
  <c r="T20" i="2" s="1"/>
  <c r="P30" i="2"/>
  <c r="Q30" i="2" s="1"/>
  <c r="L20" i="2"/>
  <c r="N20" i="2" s="1"/>
  <c r="Q10" i="2"/>
  <c r="Q9" i="2" s="1"/>
  <c r="Q19" i="2" s="1"/>
  <c r="O20" i="2" s="1"/>
  <c r="X10" i="2"/>
  <c r="X9" i="2" s="1"/>
  <c r="Y31" i="2"/>
  <c r="Q31" i="2"/>
  <c r="W30" i="2"/>
  <c r="O29" i="2"/>
  <c r="O39" i="2" s="1"/>
  <c r="AE153" i="1"/>
  <c r="X33" i="2"/>
  <c r="Y33" i="2" s="1"/>
  <c r="Q33" i="2"/>
  <c r="M40" i="2"/>
  <c r="L40" i="2"/>
  <c r="W19" i="2"/>
  <c r="P19" i="2"/>
  <c r="AB128" i="8"/>
  <c r="AB127" i="8" s="1"/>
  <c r="AD129" i="8"/>
  <c r="AD128" i="8" s="1"/>
  <c r="AD127" i="8" s="1"/>
  <c r="AA35" i="8"/>
  <c r="AA41" i="8"/>
  <c r="AB63" i="8"/>
  <c r="AD63" i="8" s="1"/>
  <c r="AD40" i="8"/>
  <c r="AA39" i="8"/>
  <c r="AA40" i="8"/>
  <c r="AD37" i="8"/>
  <c r="Y44" i="8"/>
  <c r="AC56" i="8"/>
  <c r="AD56" i="8" s="1"/>
  <c r="AD62" i="8"/>
  <c r="AD64" i="8"/>
  <c r="AC61" i="8"/>
  <c r="AD61" i="8" s="1"/>
  <c r="AA65" i="8"/>
  <c r="AD60" i="8"/>
  <c r="AD59" i="8"/>
  <c r="AA60" i="8"/>
  <c r="AA59" i="8"/>
  <c r="AA64" i="8"/>
  <c r="AA62" i="8"/>
  <c r="AC57" i="8"/>
  <c r="AD57" i="8" s="1"/>
  <c r="AA58" i="8"/>
  <c r="AB58" i="8"/>
  <c r="AD58" i="8" s="1"/>
  <c r="AA56" i="8"/>
  <c r="AA37" i="8"/>
  <c r="AB33" i="8"/>
  <c r="AD33" i="8" s="1"/>
  <c r="AA38" i="8"/>
  <c r="AB43" i="8"/>
  <c r="AD43" i="8" s="1"/>
  <c r="AD49" i="8"/>
  <c r="AD36" i="8"/>
  <c r="AA34" i="8"/>
  <c r="AB50" i="8"/>
  <c r="AD50" i="8" s="1"/>
  <c r="AA50" i="8"/>
  <c r="AA49" i="8"/>
  <c r="AA48" i="8"/>
  <c r="AD48" i="8"/>
  <c r="AA47" i="8"/>
  <c r="AB47" i="8"/>
  <c r="AD47" i="8" s="1"/>
  <c r="AA42" i="8"/>
  <c r="AD38" i="8"/>
  <c r="AA36" i="8"/>
  <c r="Q29" i="2" l="1"/>
  <c r="Q39" i="2" s="1"/>
  <c r="O40" i="2" s="1"/>
  <c r="S20" i="2"/>
  <c r="U20" i="2" s="1"/>
  <c r="Y10" i="2"/>
  <c r="Y9" i="2" s="1"/>
  <c r="Y19" i="2" s="1"/>
  <c r="AA21" i="2" s="1"/>
  <c r="AC21" i="2" s="1"/>
  <c r="AC23" i="2" s="1"/>
  <c r="P29" i="2"/>
  <c r="P39" i="2" s="1"/>
  <c r="X30" i="2"/>
  <c r="X29" i="2" s="1"/>
  <c r="X39" i="2" s="1"/>
  <c r="P20" i="2"/>
  <c r="Q20" i="2" s="1"/>
  <c r="W29" i="2"/>
  <c r="W39" i="2" s="1"/>
  <c r="N40" i="2"/>
  <c r="T40" i="2"/>
  <c r="S40" i="2"/>
  <c r="X19" i="2"/>
  <c r="X127" i="8"/>
  <c r="H107" i="8"/>
  <c r="J107" i="8" s="1"/>
  <c r="H108" i="8"/>
  <c r="J108" i="8" s="1"/>
  <c r="H70" i="8"/>
  <c r="J70" i="8" s="1"/>
  <c r="H71" i="8"/>
  <c r="J71" i="8" s="1"/>
  <c r="H23" i="8"/>
  <c r="J23" i="8" s="1"/>
  <c r="Q107" i="8"/>
  <c r="W107" i="8"/>
  <c r="X107" i="8" s="1"/>
  <c r="Y30" i="2" l="1"/>
  <c r="Y29" i="2" s="1"/>
  <c r="Y39" i="2" s="1"/>
  <c r="X20" i="2"/>
  <c r="W20" i="2"/>
  <c r="P40" i="2"/>
  <c r="Q40" i="2" s="1"/>
  <c r="U40" i="2"/>
  <c r="Y107" i="8"/>
  <c r="Q135" i="8"/>
  <c r="Q134" i="8" s="1"/>
  <c r="Q133" i="8" s="1"/>
  <c r="V51" i="8"/>
  <c r="U51" i="8"/>
  <c r="T51" i="8"/>
  <c r="P51" i="8"/>
  <c r="O51" i="8"/>
  <c r="N51" i="8"/>
  <c r="M51" i="8"/>
  <c r="Q46" i="8"/>
  <c r="Q45" i="8"/>
  <c r="P44" i="8"/>
  <c r="O44" i="8"/>
  <c r="N44" i="8"/>
  <c r="M44" i="8"/>
  <c r="V134" i="8"/>
  <c r="V133" i="8" s="1"/>
  <c r="U134" i="8"/>
  <c r="U133" i="8" s="1"/>
  <c r="T134" i="8"/>
  <c r="T133" i="8" s="1"/>
  <c r="S134" i="8"/>
  <c r="S133" i="8" s="1"/>
  <c r="V127" i="8"/>
  <c r="U127" i="8"/>
  <c r="T127" i="8"/>
  <c r="S127" i="8"/>
  <c r="V93" i="8"/>
  <c r="U93" i="8"/>
  <c r="T93" i="8"/>
  <c r="V67" i="8"/>
  <c r="U67" i="8"/>
  <c r="T67" i="8"/>
  <c r="V44" i="8"/>
  <c r="U44" i="8"/>
  <c r="T44" i="8"/>
  <c r="M134" i="8"/>
  <c r="N134" i="8"/>
  <c r="N133" i="8" s="1"/>
  <c r="O134" i="8"/>
  <c r="O133" i="8" s="1"/>
  <c r="P134" i="8"/>
  <c r="P133" i="8" s="1"/>
  <c r="N127" i="8"/>
  <c r="O127" i="8"/>
  <c r="P127" i="8"/>
  <c r="Q127" i="8"/>
  <c r="M127" i="8"/>
  <c r="P93" i="8"/>
  <c r="O93" i="8"/>
  <c r="N93" i="8"/>
  <c r="M93" i="8"/>
  <c r="P67" i="8"/>
  <c r="O67" i="8"/>
  <c r="N67" i="8"/>
  <c r="Q101" i="8"/>
  <c r="Q102" i="8"/>
  <c r="Q103" i="8"/>
  <c r="Q104" i="8"/>
  <c r="Q105" i="8"/>
  <c r="Q106" i="8"/>
  <c r="Q108" i="8"/>
  <c r="Q98" i="8"/>
  <c r="Q99" i="8"/>
  <c r="Q100" i="8"/>
  <c r="Q97" i="8"/>
  <c r="Q96" i="8"/>
  <c r="Q95" i="8"/>
  <c r="Q94" i="8"/>
  <c r="Q74" i="8"/>
  <c r="Q75" i="8"/>
  <c r="Q76" i="8"/>
  <c r="Q72" i="8"/>
  <c r="Q73" i="8"/>
  <c r="Q71" i="8"/>
  <c r="Q70" i="8"/>
  <c r="Q69" i="8"/>
  <c r="Q68" i="8"/>
  <c r="Q55" i="8"/>
  <c r="Q54" i="8"/>
  <c r="Q53" i="8"/>
  <c r="Q52" i="8"/>
  <c r="Q29" i="8"/>
  <c r="Q30" i="8"/>
  <c r="Q31" i="8"/>
  <c r="Q32" i="8"/>
  <c r="Q24" i="8"/>
  <c r="Q25" i="8"/>
  <c r="Q26" i="8"/>
  <c r="Q27" i="8"/>
  <c r="Q28" i="8"/>
  <c r="Q19" i="8"/>
  <c r="Q20" i="8"/>
  <c r="Q21" i="8"/>
  <c r="Q22" i="8"/>
  <c r="Q23" i="8"/>
  <c r="Q18" i="8"/>
  <c r="Q17" i="8"/>
  <c r="Q16" i="8"/>
  <c r="Q15" i="8"/>
  <c r="Q14" i="8"/>
  <c r="Q13" i="8"/>
  <c r="Q12" i="8"/>
  <c r="Q11" i="8"/>
  <c r="Q10" i="8"/>
  <c r="Q9" i="8"/>
  <c r="Q8" i="8"/>
  <c r="Q7" i="8"/>
  <c r="P66" i="8" l="1"/>
  <c r="W40" i="2"/>
  <c r="Y45" i="2"/>
  <c r="X40" i="2"/>
  <c r="Y20" i="2"/>
  <c r="O5" i="8"/>
  <c r="O66" i="8"/>
  <c r="Q44" i="8"/>
  <c r="Q6" i="8"/>
  <c r="V66" i="8"/>
  <c r="U66" i="8"/>
  <c r="U5" i="8"/>
  <c r="Z107" i="8"/>
  <c r="AC107" i="8" s="1"/>
  <c r="T66" i="8"/>
  <c r="AB107" i="8"/>
  <c r="Q93" i="8"/>
  <c r="Q51" i="8"/>
  <c r="N66" i="8"/>
  <c r="Q67" i="8"/>
  <c r="V5" i="8"/>
  <c r="T5" i="8"/>
  <c r="P5" i="8"/>
  <c r="N5" i="8"/>
  <c r="S96" i="8"/>
  <c r="W96" i="8" s="1"/>
  <c r="X96" i="8" s="1"/>
  <c r="S95" i="8"/>
  <c r="S46" i="8"/>
  <c r="S45" i="8"/>
  <c r="S69" i="8"/>
  <c r="W69" i="8" s="1"/>
  <c r="X69" i="8" s="1"/>
  <c r="S68" i="8"/>
  <c r="W68" i="8" s="1"/>
  <c r="X68" i="8" s="1"/>
  <c r="W135" i="8"/>
  <c r="W108" i="8"/>
  <c r="X108" i="8" s="1"/>
  <c r="W106" i="8"/>
  <c r="X106" i="8" s="1"/>
  <c r="W105" i="8"/>
  <c r="X105" i="8" s="1"/>
  <c r="W104" i="8"/>
  <c r="X104" i="8" s="1"/>
  <c r="W103" i="8"/>
  <c r="X103" i="8" s="1"/>
  <c r="W102" i="8"/>
  <c r="X102" i="8" s="1"/>
  <c r="W101" i="8"/>
  <c r="X101" i="8" s="1"/>
  <c r="W100" i="8"/>
  <c r="X100" i="8" s="1"/>
  <c r="W99" i="8"/>
  <c r="X99" i="8" s="1"/>
  <c r="W98" i="8"/>
  <c r="X98" i="8" s="1"/>
  <c r="W97" i="8"/>
  <c r="X97" i="8" s="1"/>
  <c r="W94" i="8"/>
  <c r="X94" i="8" s="1"/>
  <c r="W76" i="8"/>
  <c r="X76" i="8" s="1"/>
  <c r="W75" i="8"/>
  <c r="X75" i="8" s="1"/>
  <c r="W74" i="8"/>
  <c r="X74" i="8" s="1"/>
  <c r="W73" i="8"/>
  <c r="X73" i="8" s="1"/>
  <c r="W72" i="8"/>
  <c r="X72" i="8" s="1"/>
  <c r="W71" i="8"/>
  <c r="X71" i="8" s="1"/>
  <c r="W70" i="8"/>
  <c r="X70" i="8" s="1"/>
  <c r="W55" i="8"/>
  <c r="X55" i="8" s="1"/>
  <c r="W54" i="8"/>
  <c r="X54" i="8" s="1"/>
  <c r="W53" i="8"/>
  <c r="X53" i="8" s="1"/>
  <c r="W32" i="8"/>
  <c r="X32" i="8" s="1"/>
  <c r="W31" i="8"/>
  <c r="X31" i="8" s="1"/>
  <c r="W30" i="8"/>
  <c r="X30" i="8" s="1"/>
  <c r="W29" i="8"/>
  <c r="X29" i="8" s="1"/>
  <c r="W28" i="8"/>
  <c r="X28" i="8" s="1"/>
  <c r="W27" i="8"/>
  <c r="X27" i="8" s="1"/>
  <c r="W26" i="8"/>
  <c r="X26" i="8" s="1"/>
  <c r="W25" i="8"/>
  <c r="X25" i="8" s="1"/>
  <c r="W24" i="8"/>
  <c r="X24" i="8" s="1"/>
  <c r="W23" i="8"/>
  <c r="X23" i="8" s="1"/>
  <c r="W22" i="8"/>
  <c r="X22" i="8" s="1"/>
  <c r="W21" i="8"/>
  <c r="X21" i="8" s="1"/>
  <c r="W20" i="8"/>
  <c r="X20" i="8" s="1"/>
  <c r="W19" i="8"/>
  <c r="X19" i="8" s="1"/>
  <c r="W18" i="8"/>
  <c r="X18" i="8" s="1"/>
  <c r="W17" i="8"/>
  <c r="X17" i="8" s="1"/>
  <c r="W16" i="8"/>
  <c r="X16" i="8" s="1"/>
  <c r="W15" i="8"/>
  <c r="X15" i="8" s="1"/>
  <c r="W14" i="8"/>
  <c r="X14" i="8" s="1"/>
  <c r="W13" i="8"/>
  <c r="X13" i="8" s="1"/>
  <c r="W12" i="8"/>
  <c r="X12" i="8" s="1"/>
  <c r="W11" i="8"/>
  <c r="X11" i="8" s="1"/>
  <c r="W10" i="8"/>
  <c r="X10" i="8" s="1"/>
  <c r="W9" i="8"/>
  <c r="X9" i="8" s="1"/>
  <c r="W8" i="8"/>
  <c r="X8" i="8" s="1"/>
  <c r="W7" i="8"/>
  <c r="S52" i="8"/>
  <c r="P139" i="8" l="1"/>
  <c r="Y40" i="2"/>
  <c r="O139" i="8"/>
  <c r="V139" i="8"/>
  <c r="X67" i="8"/>
  <c r="U139" i="8"/>
  <c r="W6" i="8"/>
  <c r="W134" i="8"/>
  <c r="W133" i="8" s="1"/>
  <c r="X135" i="8"/>
  <c r="X134" i="8" s="1"/>
  <c r="X133" i="8" s="1"/>
  <c r="Q5" i="8"/>
  <c r="AD107" i="8"/>
  <c r="AA107" i="8"/>
  <c r="S67" i="8"/>
  <c r="T139" i="8"/>
  <c r="N139" i="8"/>
  <c r="W52" i="8"/>
  <c r="X52" i="8" s="1"/>
  <c r="X51" i="8" s="1"/>
  <c r="S51" i="8"/>
  <c r="S44" i="8"/>
  <c r="W95" i="8"/>
  <c r="S93" i="8"/>
  <c r="Q66" i="8"/>
  <c r="W67" i="8"/>
  <c r="P141" i="8" l="1"/>
  <c r="P143" i="8" s="1"/>
  <c r="V141" i="8"/>
  <c r="V143" i="8" s="1"/>
  <c r="S66" i="8"/>
  <c r="S5" i="8"/>
  <c r="W51" i="8"/>
  <c r="Q139" i="8"/>
  <c r="Q143" i="8" s="1"/>
  <c r="W93" i="8"/>
  <c r="W66" i="8" s="1"/>
  <c r="X95" i="8"/>
  <c r="X93" i="8" s="1"/>
  <c r="S139" i="8" l="1"/>
  <c r="T141" i="8" s="1"/>
  <c r="T143" i="8" s="1"/>
  <c r="X66" i="8"/>
  <c r="R5" i="8" l="1"/>
  <c r="AG134" i="8"/>
  <c r="AH134" i="8" s="1"/>
  <c r="M133" i="8"/>
  <c r="G134" i="8"/>
  <c r="G133" i="8" s="1"/>
  <c r="F134" i="8"/>
  <c r="F133" i="8" s="1"/>
  <c r="G93" i="8"/>
  <c r="F93" i="8"/>
  <c r="M67" i="8"/>
  <c r="G67" i="8"/>
  <c r="G51" i="8"/>
  <c r="F51" i="8"/>
  <c r="G44" i="8"/>
  <c r="F44" i="8"/>
  <c r="I5" i="8"/>
  <c r="I139" i="8" s="1"/>
  <c r="W128" i="8"/>
  <c r="W127" i="8" s="1"/>
  <c r="Z108" i="8"/>
  <c r="AC108" i="8" s="1"/>
  <c r="Y70" i="8"/>
  <c r="Y71" i="8"/>
  <c r="W46" i="8"/>
  <c r="X46" i="8" s="1"/>
  <c r="W45" i="8"/>
  <c r="X45" i="8" s="1"/>
  <c r="Y23" i="8"/>
  <c r="AH23" i="8"/>
  <c r="X44" i="8" l="1"/>
  <c r="W44" i="8"/>
  <c r="W5" i="8" s="1"/>
  <c r="W139" i="8" s="1"/>
  <c r="W143" i="8" s="1"/>
  <c r="AF5" i="8"/>
  <c r="M5" i="8"/>
  <c r="AG133" i="8"/>
  <c r="AH133" i="8" s="1"/>
  <c r="AG66" i="8"/>
  <c r="F5" i="8"/>
  <c r="M66" i="8"/>
  <c r="AF66" i="8"/>
  <c r="AG5" i="8"/>
  <c r="G66" i="8"/>
  <c r="G5" i="8"/>
  <c r="Y108" i="8"/>
  <c r="AB71" i="8"/>
  <c r="AB70" i="8"/>
  <c r="Z71" i="8"/>
  <c r="AC71" i="8" s="1"/>
  <c r="Z70" i="8"/>
  <c r="AC70" i="8" s="1"/>
  <c r="AB23" i="8"/>
  <c r="Z23" i="8"/>
  <c r="AC23" i="8" s="1"/>
  <c r="AH73" i="8"/>
  <c r="AH74" i="8"/>
  <c r="AH75" i="8"/>
  <c r="AH76" i="8"/>
  <c r="AH72" i="8"/>
  <c r="AH7" i="8"/>
  <c r="AH10" i="8"/>
  <c r="AH52" i="8"/>
  <c r="AH68" i="8"/>
  <c r="AH46" i="8"/>
  <c r="AH45" i="8"/>
  <c r="AH8" i="8"/>
  <c r="AH9" i="8"/>
  <c r="AH11" i="8"/>
  <c r="AH12" i="8"/>
  <c r="AH31" i="8"/>
  <c r="AH32" i="8"/>
  <c r="AH69" i="8"/>
  <c r="AH13" i="8"/>
  <c r="AH27" i="8"/>
  <c r="AH30" i="8"/>
  <c r="AH108" i="8"/>
  <c r="AH14" i="8"/>
  <c r="AH54" i="8"/>
  <c r="AH106" i="8"/>
  <c r="AH55" i="8"/>
  <c r="AH17" i="8"/>
  <c r="AH18" i="8"/>
  <c r="AH19" i="8"/>
  <c r="AH20" i="8"/>
  <c r="AH105" i="8"/>
  <c r="AH104" i="8"/>
  <c r="AH15" i="8"/>
  <c r="AH16" i="8"/>
  <c r="AH24" i="8"/>
  <c r="AH25" i="8"/>
  <c r="AH26" i="8"/>
  <c r="AH103" i="8"/>
  <c r="AH102" i="8"/>
  <c r="AH101" i="8"/>
  <c r="AH100" i="8"/>
  <c r="AH99" i="8"/>
  <c r="AH28" i="8"/>
  <c r="AH29" i="8"/>
  <c r="AH98" i="8"/>
  <c r="AH53" i="8"/>
  <c r="AH97" i="8"/>
  <c r="AH96" i="8"/>
  <c r="AH95" i="8"/>
  <c r="AH21" i="8"/>
  <c r="AH44" i="8" l="1"/>
  <c r="AH93" i="8"/>
  <c r="AH67" i="8"/>
  <c r="AH51" i="8"/>
  <c r="M139" i="8"/>
  <c r="N141" i="8" s="1"/>
  <c r="N143" i="8" s="1"/>
  <c r="AF139" i="8"/>
  <c r="AG139" i="8"/>
  <c r="G139" i="8"/>
  <c r="AA108" i="8"/>
  <c r="AB108" i="8"/>
  <c r="AD108" i="8" s="1"/>
  <c r="AD70" i="8"/>
  <c r="AA70" i="8"/>
  <c r="AD71" i="8"/>
  <c r="AA71" i="8"/>
  <c r="AD23" i="8"/>
  <c r="AA23" i="8"/>
  <c r="AH22" i="8"/>
  <c r="AH6" i="8" s="1"/>
  <c r="Y76" i="8"/>
  <c r="AH66" i="8" l="1"/>
  <c r="AH5" i="8"/>
  <c r="AA72" i="8"/>
  <c r="AA76" i="8"/>
  <c r="AH139" i="8" l="1"/>
  <c r="I45" i="8"/>
  <c r="I46" i="8"/>
  <c r="H29" i="8" l="1"/>
  <c r="J29" i="8" s="1"/>
  <c r="H28" i="8"/>
  <c r="J28" i="8" s="1"/>
  <c r="H101" i="8"/>
  <c r="J101" i="8" s="1"/>
  <c r="H100" i="8"/>
  <c r="J100" i="8" s="1"/>
  <c r="H102" i="8"/>
  <c r="J102" i="8" s="1"/>
  <c r="H103" i="8"/>
  <c r="J103" i="8" s="1"/>
  <c r="H106" i="8"/>
  <c r="J106" i="8" s="1"/>
  <c r="H104" i="8"/>
  <c r="J104" i="8" s="1"/>
  <c r="AC22" i="8"/>
  <c r="H22" i="8"/>
  <c r="AC21" i="8"/>
  <c r="H21" i="8"/>
  <c r="J21" i="8" s="1"/>
  <c r="Y21" i="8" l="1"/>
  <c r="Z101" i="8"/>
  <c r="AC101" i="8" s="1"/>
  <c r="Y103" i="8"/>
  <c r="Y28" i="8"/>
  <c r="Y100" i="8"/>
  <c r="Z100" i="8"/>
  <c r="AC100" i="8" s="1"/>
  <c r="Z29" i="8"/>
  <c r="AC29" i="8" s="1"/>
  <c r="Y29" i="8"/>
  <c r="Z102" i="8"/>
  <c r="AC102" i="8" s="1"/>
  <c r="Y102" i="8"/>
  <c r="Y104" i="8"/>
  <c r="Z104" i="8"/>
  <c r="AC104" i="8" s="1"/>
  <c r="J22" i="8"/>
  <c r="Z106" i="8"/>
  <c r="Y106" i="8"/>
  <c r="K25" i="12"/>
  <c r="J27" i="12"/>
  <c r="I27" i="12"/>
  <c r="F72" i="8"/>
  <c r="F67" i="8" s="1"/>
  <c r="F66" i="8" s="1"/>
  <c r="F139" i="8" s="1"/>
  <c r="K27" i="12" l="1"/>
  <c r="Z103" i="8"/>
  <c r="AC103" i="8" s="1"/>
  <c r="AA21" i="8"/>
  <c r="AB21" i="8"/>
  <c r="AD21" i="8" s="1"/>
  <c r="Y101" i="8"/>
  <c r="AA101" i="8" s="1"/>
  <c r="Y22" i="8"/>
  <c r="Z28" i="8"/>
  <c r="AC28" i="8" s="1"/>
  <c r="AB103" i="8"/>
  <c r="AA106" i="8"/>
  <c r="AA104" i="8"/>
  <c r="AA100" i="8"/>
  <c r="AA102" i="8"/>
  <c r="AA29" i="8"/>
  <c r="AB28" i="8"/>
  <c r="AB29" i="8"/>
  <c r="AD29" i="8" s="1"/>
  <c r="AB100" i="8"/>
  <c r="AD100" i="8" s="1"/>
  <c r="AB102" i="8"/>
  <c r="AD102" i="8" s="1"/>
  <c r="AB104" i="8"/>
  <c r="AD104" i="8" s="1"/>
  <c r="AB106" i="8"/>
  <c r="AC106" i="8"/>
  <c r="F24" i="12"/>
  <c r="I16" i="12"/>
  <c r="J16" i="12" s="1"/>
  <c r="I17" i="12"/>
  <c r="J17" i="12" s="1"/>
  <c r="I18" i="12"/>
  <c r="J18" i="12" s="1"/>
  <c r="I19" i="12"/>
  <c r="J19" i="12" s="1"/>
  <c r="I20" i="12"/>
  <c r="J20" i="12" s="1"/>
  <c r="I21" i="12"/>
  <c r="J21" i="12" s="1"/>
  <c r="I22" i="12"/>
  <c r="J22" i="12" s="1"/>
  <c r="I23" i="12"/>
  <c r="J23" i="12" s="1"/>
  <c r="I15" i="12"/>
  <c r="I24" i="12" l="1"/>
  <c r="J15" i="12"/>
  <c r="J24" i="12" s="1"/>
  <c r="AA103" i="8"/>
  <c r="AD103" i="8"/>
  <c r="AB101" i="8"/>
  <c r="AD101" i="8" s="1"/>
  <c r="AA22" i="8"/>
  <c r="AB22" i="8"/>
  <c r="AD22" i="8" s="1"/>
  <c r="AD28" i="8"/>
  <c r="AA28" i="8"/>
  <c r="AD106" i="8"/>
  <c r="AB76" i="8"/>
  <c r="AC76" i="8"/>
  <c r="AB45" i="8"/>
  <c r="AB46" i="8"/>
  <c r="H3" i="12"/>
  <c r="G3" i="12"/>
  <c r="E3" i="12"/>
  <c r="K24" i="12" l="1"/>
  <c r="L27" i="12" s="1"/>
  <c r="AB44" i="8"/>
  <c r="AD76" i="8"/>
  <c r="B7" i="12" l="1"/>
  <c r="C6" i="12"/>
  <c r="C7" i="12" s="1"/>
  <c r="E10" i="12" s="1"/>
  <c r="D5" i="12"/>
  <c r="E5" i="12" s="1"/>
  <c r="D4" i="12"/>
  <c r="E4" i="12" s="1"/>
  <c r="D6" i="12" l="1"/>
  <c r="E6" i="12" s="1"/>
  <c r="D7" i="12"/>
  <c r="E7" i="12" s="1"/>
  <c r="B11" i="12" s="1"/>
  <c r="H46" i="8" l="1"/>
  <c r="J46" i="8" s="1"/>
  <c r="H45" i="8"/>
  <c r="H52" i="8"/>
  <c r="H68" i="8"/>
  <c r="H8" i="8"/>
  <c r="J8" i="8" s="1"/>
  <c r="Z46" i="8" l="1"/>
  <c r="J45" i="8"/>
  <c r="H44" i="8"/>
  <c r="J68" i="8"/>
  <c r="J52" i="8"/>
  <c r="Y8" i="8"/>
  <c r="Z8" i="8"/>
  <c r="AC8" i="8" s="1"/>
  <c r="H99" i="8"/>
  <c r="J99" i="8" s="1"/>
  <c r="H26" i="8"/>
  <c r="J26" i="8" s="1"/>
  <c r="H16" i="8"/>
  <c r="J16" i="8" s="1"/>
  <c r="H25" i="8"/>
  <c r="J25" i="8" s="1"/>
  <c r="H53" i="8"/>
  <c r="J53" i="8" s="1"/>
  <c r="H24" i="8"/>
  <c r="J24" i="8" s="1"/>
  <c r="H20" i="8"/>
  <c r="J20" i="8" s="1"/>
  <c r="H19" i="8"/>
  <c r="J19" i="8" s="1"/>
  <c r="H15" i="8"/>
  <c r="J15" i="8" s="1"/>
  <c r="H18" i="8"/>
  <c r="H55" i="8"/>
  <c r="J55" i="8" s="1"/>
  <c r="H30" i="8"/>
  <c r="J30" i="8" s="1"/>
  <c r="H54" i="8"/>
  <c r="J54" i="8" s="1"/>
  <c r="H27" i="8"/>
  <c r="J27" i="8" s="1"/>
  <c r="H105" i="8"/>
  <c r="J105" i="8" s="1"/>
  <c r="H94" i="8"/>
  <c r="H14" i="8"/>
  <c r="J14" i="8" s="1"/>
  <c r="H32" i="8"/>
  <c r="J32" i="8" s="1"/>
  <c r="H31" i="8"/>
  <c r="J31" i="8" s="1"/>
  <c r="H12" i="8"/>
  <c r="J12" i="8" s="1"/>
  <c r="H11" i="8"/>
  <c r="J11" i="8" s="1"/>
  <c r="H9" i="8"/>
  <c r="J9" i="8" s="1"/>
  <c r="H13" i="8"/>
  <c r="J13" i="8" s="1"/>
  <c r="H17" i="8"/>
  <c r="J17" i="8" s="1"/>
  <c r="H69" i="8"/>
  <c r="J69" i="8" s="1"/>
  <c r="H95" i="8"/>
  <c r="H96" i="8"/>
  <c r="J96" i="8" s="1"/>
  <c r="H97" i="8"/>
  <c r="J97" i="8" s="1"/>
  <c r="H98" i="8"/>
  <c r="H73" i="8"/>
  <c r="H74" i="8"/>
  <c r="H75" i="8"/>
  <c r="H76" i="8"/>
  <c r="H7" i="8"/>
  <c r="H10" i="8"/>
  <c r="J10" i="8" s="1"/>
  <c r="H135" i="8"/>
  <c r="H72" i="8"/>
  <c r="J72" i="8" s="1"/>
  <c r="H6" i="8" l="1"/>
  <c r="AA46" i="8"/>
  <c r="AC46" i="8"/>
  <c r="AD46" i="8" s="1"/>
  <c r="J135" i="8"/>
  <c r="H134" i="8"/>
  <c r="H133" i="8" s="1"/>
  <c r="H67" i="8"/>
  <c r="J51" i="8"/>
  <c r="Z45" i="8"/>
  <c r="Z44" i="8" s="1"/>
  <c r="J44" i="8"/>
  <c r="J94" i="8"/>
  <c r="H93" i="8"/>
  <c r="H51" i="8"/>
  <c r="J7" i="8"/>
  <c r="X7" i="8" s="1"/>
  <c r="AA8" i="8"/>
  <c r="J73" i="8"/>
  <c r="J75" i="8"/>
  <c r="J74" i="8"/>
  <c r="J76" i="8"/>
  <c r="J98" i="8"/>
  <c r="J18" i="8"/>
  <c r="J95" i="8"/>
  <c r="AB8" i="8"/>
  <c r="AD8" i="8" s="1"/>
  <c r="Z9" i="8"/>
  <c r="AC9" i="8" s="1"/>
  <c r="Y9" i="8"/>
  <c r="Z26" i="8"/>
  <c r="AC26" i="8" s="1"/>
  <c r="Y26" i="8"/>
  <c r="Z69" i="8"/>
  <c r="AC69" i="8" s="1"/>
  <c r="Y69" i="8"/>
  <c r="Y11" i="8"/>
  <c r="Z11" i="8"/>
  <c r="AC11" i="8" s="1"/>
  <c r="Y14" i="8"/>
  <c r="Z14" i="8"/>
  <c r="AC14" i="8" s="1"/>
  <c r="Y54" i="8"/>
  <c r="Z54" i="8"/>
  <c r="AC54" i="8" s="1"/>
  <c r="Y15" i="8"/>
  <c r="Z15" i="8"/>
  <c r="AC15" i="8" s="1"/>
  <c r="Y53" i="8"/>
  <c r="Z53" i="8"/>
  <c r="AC53" i="8" s="1"/>
  <c r="Y99" i="8"/>
  <c r="Z99" i="8"/>
  <c r="AC99" i="8" s="1"/>
  <c r="Z27" i="8"/>
  <c r="AC27" i="8" s="1"/>
  <c r="Y27" i="8"/>
  <c r="Y17" i="8"/>
  <c r="Z17" i="8"/>
  <c r="AC17" i="8" s="1"/>
  <c r="Z30" i="8"/>
  <c r="AC30" i="8" s="1"/>
  <c r="Y30" i="8"/>
  <c r="Z19" i="8"/>
  <c r="AC19" i="8" s="1"/>
  <c r="Y19" i="8"/>
  <c r="Z25" i="8"/>
  <c r="AC25" i="8" s="1"/>
  <c r="Y25" i="8"/>
  <c r="Z32" i="8"/>
  <c r="AC32" i="8" s="1"/>
  <c r="Y32" i="8"/>
  <c r="Z24" i="8"/>
  <c r="AC24" i="8" s="1"/>
  <c r="Y24" i="8"/>
  <c r="Y97" i="8"/>
  <c r="Z97" i="8"/>
  <c r="AC97" i="8" s="1"/>
  <c r="Z12" i="8"/>
  <c r="AC12" i="8" s="1"/>
  <c r="Y12" i="8"/>
  <c r="Z10" i="8"/>
  <c r="AC10" i="8" s="1"/>
  <c r="Y10" i="8"/>
  <c r="Z96" i="8"/>
  <c r="AC96" i="8" s="1"/>
  <c r="Y96" i="8"/>
  <c r="Z13" i="8"/>
  <c r="AC13" i="8" s="1"/>
  <c r="Y13" i="8"/>
  <c r="Y31" i="8"/>
  <c r="Z31" i="8"/>
  <c r="AC31" i="8" s="1"/>
  <c r="Y105" i="8"/>
  <c r="Z105" i="8"/>
  <c r="AC105" i="8" s="1"/>
  <c r="Y55" i="8"/>
  <c r="Z55" i="8"/>
  <c r="AC55" i="8" s="1"/>
  <c r="Y20" i="8"/>
  <c r="Z20" i="8"/>
  <c r="AC20" i="8" s="1"/>
  <c r="Y16" i="8"/>
  <c r="Z16" i="8"/>
  <c r="AC16" i="8" s="1"/>
  <c r="X6" i="8" l="1"/>
  <c r="X5" i="8" s="1"/>
  <c r="X139" i="8" s="1"/>
  <c r="J6" i="8"/>
  <c r="J5" i="8" s="1"/>
  <c r="H66" i="8"/>
  <c r="J134" i="8"/>
  <c r="J133" i="8" s="1"/>
  <c r="H5" i="8"/>
  <c r="J93" i="8"/>
  <c r="Z68" i="8"/>
  <c r="Y68" i="8"/>
  <c r="J67" i="8"/>
  <c r="AA45" i="8"/>
  <c r="AA44" i="8" s="1"/>
  <c r="AC45" i="8"/>
  <c r="AC44" i="8" s="1"/>
  <c r="Z52" i="8"/>
  <c r="Z51" i="8" s="1"/>
  <c r="Y52" i="8"/>
  <c r="Y51" i="8" s="1"/>
  <c r="AA99" i="8"/>
  <c r="AA15" i="8"/>
  <c r="AA14" i="8"/>
  <c r="AA55" i="8"/>
  <c r="AA17" i="8"/>
  <c r="AA53" i="8"/>
  <c r="AA54" i="8"/>
  <c r="AA11" i="8"/>
  <c r="AA16" i="8"/>
  <c r="AA31" i="8"/>
  <c r="AA13" i="8"/>
  <c r="AA10" i="8"/>
  <c r="AA32" i="8"/>
  <c r="AA19" i="8"/>
  <c r="AA20" i="8"/>
  <c r="AA105" i="8"/>
  <c r="AA97" i="8"/>
  <c r="AA96" i="8"/>
  <c r="AA12" i="8"/>
  <c r="AA24" i="8"/>
  <c r="AA25" i="8"/>
  <c r="AA30" i="8"/>
  <c r="AA27" i="8"/>
  <c r="AA26" i="8"/>
  <c r="AA69" i="8"/>
  <c r="AA9" i="8"/>
  <c r="Z74" i="8"/>
  <c r="AC74" i="8" s="1"/>
  <c r="Y74" i="8"/>
  <c r="AB74" i="8" s="1"/>
  <c r="Y75" i="8"/>
  <c r="AB75" i="8" s="1"/>
  <c r="Z75" i="8"/>
  <c r="AC75" i="8" s="1"/>
  <c r="Z73" i="8"/>
  <c r="AC73" i="8" s="1"/>
  <c r="Y73" i="8"/>
  <c r="AB73" i="8" s="1"/>
  <c r="Z18" i="8"/>
  <c r="AC18" i="8" s="1"/>
  <c r="Y18" i="8"/>
  <c r="Y95" i="8"/>
  <c r="Z95" i="8"/>
  <c r="AC95" i="8" s="1"/>
  <c r="AB97" i="8"/>
  <c r="AD97" i="8" s="1"/>
  <c r="AB53" i="8"/>
  <c r="AD53" i="8" s="1"/>
  <c r="AB54" i="8"/>
  <c r="AD54" i="8" s="1"/>
  <c r="AB11" i="8"/>
  <c r="AD11" i="8" s="1"/>
  <c r="AB16" i="8"/>
  <c r="AD16" i="8" s="1"/>
  <c r="AB12" i="8"/>
  <c r="AD12" i="8" s="1"/>
  <c r="AB25" i="8"/>
  <c r="AD25" i="8" s="1"/>
  <c r="AB30" i="8"/>
  <c r="AD30" i="8" s="1"/>
  <c r="AB27" i="8"/>
  <c r="AD27" i="8" s="1"/>
  <c r="AB69" i="8"/>
  <c r="AD69" i="8" s="1"/>
  <c r="AB31" i="8"/>
  <c r="AD31" i="8" s="1"/>
  <c r="AB13" i="8"/>
  <c r="AD13" i="8" s="1"/>
  <c r="AB20" i="8"/>
  <c r="AD20" i="8" s="1"/>
  <c r="AB99" i="8"/>
  <c r="AD99" i="8" s="1"/>
  <c r="AB15" i="8"/>
  <c r="AD15" i="8" s="1"/>
  <c r="AB14" i="8"/>
  <c r="AD14" i="8" s="1"/>
  <c r="AB26" i="8"/>
  <c r="AB9" i="8"/>
  <c r="AD9" i="8" s="1"/>
  <c r="AB55" i="8"/>
  <c r="AD55" i="8" s="1"/>
  <c r="AB32" i="8"/>
  <c r="AD32" i="8" s="1"/>
  <c r="AB105" i="8"/>
  <c r="AD105" i="8" s="1"/>
  <c r="AB17" i="8"/>
  <c r="AD17" i="8" s="1"/>
  <c r="AB96" i="8"/>
  <c r="AD96" i="8" s="1"/>
  <c r="AB10" i="8"/>
  <c r="AD10" i="8" s="1"/>
  <c r="AB24" i="8"/>
  <c r="AD24" i="8" s="1"/>
  <c r="AB19" i="8"/>
  <c r="AD19" i="8" s="1"/>
  <c r="AD26" i="8" l="1"/>
  <c r="C43" i="8"/>
  <c r="Y67" i="8"/>
  <c r="Z67" i="8"/>
  <c r="Y7" i="8"/>
  <c r="Y6" i="8" s="1"/>
  <c r="H139" i="8"/>
  <c r="Z135" i="8"/>
  <c r="Y135" i="8"/>
  <c r="J66" i="8"/>
  <c r="J139" i="8" s="1"/>
  <c r="AD45" i="8"/>
  <c r="AD44" i="8" s="1"/>
  <c r="AA68" i="8"/>
  <c r="AB68" i="8"/>
  <c r="AB67" i="8" s="1"/>
  <c r="AC68" i="8"/>
  <c r="AC67" i="8" s="1"/>
  <c r="AC52" i="8"/>
  <c r="AC51" i="8" s="1"/>
  <c r="Z94" i="8"/>
  <c r="Y94" i="8"/>
  <c r="AA52" i="8"/>
  <c r="AA51" i="8" s="1"/>
  <c r="AB52" i="8"/>
  <c r="AB51" i="8" s="1"/>
  <c r="Z7" i="8"/>
  <c r="AC7" i="8" s="1"/>
  <c r="AD73" i="8"/>
  <c r="AD74" i="8"/>
  <c r="AA73" i="8"/>
  <c r="AB95" i="8"/>
  <c r="AD95" i="8" s="1"/>
  <c r="AA95" i="8"/>
  <c r="AB18" i="8"/>
  <c r="AD18" i="8" s="1"/>
  <c r="AA18" i="8"/>
  <c r="AA75" i="8"/>
  <c r="AA74" i="8"/>
  <c r="AD75" i="8"/>
  <c r="Z98" i="8"/>
  <c r="Y98" i="8"/>
  <c r="Y93" i="8" l="1"/>
  <c r="Y66" i="8" s="1"/>
  <c r="Z93" i="8"/>
  <c r="Z66" i="8" s="1"/>
  <c r="AA67" i="8"/>
  <c r="AC6" i="8"/>
  <c r="AC5" i="8" s="1"/>
  <c r="Z6" i="8"/>
  <c r="Z5" i="8" s="1"/>
  <c r="Y5" i="8"/>
  <c r="AB135" i="8"/>
  <c r="AA135" i="8"/>
  <c r="Z134" i="8"/>
  <c r="AC135" i="8"/>
  <c r="AC134" i="8" s="1"/>
  <c r="AB94" i="8"/>
  <c r="AA94" i="8"/>
  <c r="AD68" i="8"/>
  <c r="AD52" i="8"/>
  <c r="AD51" i="8" s="1"/>
  <c r="AC94" i="8"/>
  <c r="AB7" i="8"/>
  <c r="AB6" i="8" s="1"/>
  <c r="AA7" i="8"/>
  <c r="AA98" i="8"/>
  <c r="AC98" i="8"/>
  <c r="AB98" i="8"/>
  <c r="Y139" i="8" l="1"/>
  <c r="AB93" i="8"/>
  <c r="AB66" i="8" s="1"/>
  <c r="AC93" i="8"/>
  <c r="AC66" i="8" s="1"/>
  <c r="AA93" i="8"/>
  <c r="AA66" i="8" s="1"/>
  <c r="AA6" i="8"/>
  <c r="AA5" i="8" s="1"/>
  <c r="AA134" i="8"/>
  <c r="Z133" i="8"/>
  <c r="AA133" i="8" s="1"/>
  <c r="AD135" i="8"/>
  <c r="AD134" i="8"/>
  <c r="AC133" i="8"/>
  <c r="AD133" i="8" s="1"/>
  <c r="AD94" i="8"/>
  <c r="AB5" i="8"/>
  <c r="AD7" i="8"/>
  <c r="B10" i="12"/>
  <c r="B12" i="12" s="1"/>
  <c r="AD98" i="8"/>
  <c r="AD72" i="8"/>
  <c r="AD67" i="8" s="1"/>
  <c r="AC139" i="8" l="1"/>
  <c r="AA139" i="8"/>
  <c r="Z142" i="8" s="1"/>
  <c r="Z139" i="8"/>
  <c r="AB139" i="8"/>
  <c r="AD93" i="8"/>
  <c r="AD66" i="8" s="1"/>
  <c r="AD6" i="8"/>
  <c r="AD5" i="8" s="1"/>
  <c r="AH72" i="1"/>
  <c r="AG72" i="1"/>
  <c r="AI145" i="1"/>
  <c r="AG71" i="1"/>
  <c r="AH71" i="1"/>
  <c r="AD139" i="8" l="1"/>
  <c r="AH67" i="1"/>
  <c r="AH66" i="1" s="1"/>
  <c r="AH65" i="1" s="1"/>
  <c r="AH145" i="1" s="1"/>
  <c r="AG67" i="1"/>
  <c r="AG66" i="1" s="1"/>
  <c r="AG65" i="1" s="1"/>
  <c r="AG145" i="1" s="1"/>
  <c r="J66" i="21" l="1"/>
  <c r="I125" i="21" l="1"/>
  <c r="J90" i="21" l="1"/>
  <c r="J26" i="21" l="1"/>
  <c r="J238" i="21" l="1"/>
  <c r="G245" i="21" s="1"/>
</calcChain>
</file>

<file path=xl/sharedStrings.xml><?xml version="1.0" encoding="utf-8"?>
<sst xmlns="http://schemas.openxmlformats.org/spreadsheetml/2006/main" count="3806" uniqueCount="1513">
  <si>
    <t>Total</t>
  </si>
  <si>
    <t>BRB2831</t>
  </si>
  <si>
    <t>BR 11393</t>
  </si>
  <si>
    <t>BRA6427</t>
  </si>
  <si>
    <t>BRB2452</t>
  </si>
  <si>
    <t>BR11225</t>
  </si>
  <si>
    <t>BRB2572</t>
  </si>
  <si>
    <t>% APORTE LOCAL</t>
  </si>
  <si>
    <t>% BID</t>
  </si>
  <si>
    <t>Valor Total do Contrato (R$)</t>
  </si>
  <si>
    <t>Valor do Aditivo (R$)</t>
  </si>
  <si>
    <t>Valor Original do Contrato (R$)</t>
  </si>
  <si>
    <t>PRISM</t>
  </si>
  <si>
    <t>Data do Contrato</t>
  </si>
  <si>
    <t>Número do Contrato</t>
  </si>
  <si>
    <t>Nome da Empresa/Consórcio/Consultor…</t>
  </si>
  <si>
    <t>FEH</t>
  </si>
  <si>
    <t>2676/OC-BR</t>
  </si>
  <si>
    <t>001/2013- UGPI
(Passagens)</t>
  </si>
  <si>
    <t>CT- 00012/2016- UGPE</t>
  </si>
  <si>
    <t>CT- 00010/2016- UGPE</t>
  </si>
  <si>
    <t>CT- 00004/2012- UGPI</t>
  </si>
  <si>
    <t>CT- 00010/2014- UGPI</t>
  </si>
  <si>
    <t>CT- 00002/2013- UGPI</t>
  </si>
  <si>
    <t>NE- 00039/2015- UGPE</t>
  </si>
  <si>
    <t>NE- 00168/2016- UGPE</t>
  </si>
  <si>
    <t>CT- 00009/2015- UGPE</t>
  </si>
  <si>
    <t>NE- 00056/2016- UGPE</t>
  </si>
  <si>
    <t>CT- 00003/2016- UGPE</t>
  </si>
  <si>
    <t>NE- 00052/2016- UGPE</t>
  </si>
  <si>
    <t>CT- 00013/2014- UGPI</t>
  </si>
  <si>
    <t>CT- 00012/2014- UGPI</t>
  </si>
  <si>
    <t>CT- 00006/2015- UGPE</t>
  </si>
  <si>
    <t>CT- 00011/2014- UGPI</t>
  </si>
  <si>
    <t>CT- 00009/2014- UGPI</t>
  </si>
  <si>
    <t>NE- 00320/2014- UGPI</t>
  </si>
  <si>
    <t>CT- 00008/2014- UGPI</t>
  </si>
  <si>
    <t>NE- 00236/2014- UGPI</t>
  </si>
  <si>
    <t>NE- 00237/2014- UGPI</t>
  </si>
  <si>
    <t>CT- 00001/2014- UGPI</t>
  </si>
  <si>
    <t>CT- 00005/2014- UGPI</t>
  </si>
  <si>
    <t>NE - 317</t>
  </si>
  <si>
    <t>NE - 312</t>
  </si>
  <si>
    <t>3339014(clas
s. no AFI)</t>
  </si>
  <si>
    <t>025102 - UGPI</t>
  </si>
  <si>
    <t>006/2007 - UGPI</t>
  </si>
  <si>
    <t>SUHAB (AUXÍLIO MORADIA)</t>
  </si>
  <si>
    <t>UGPI - Unidade de Gerenciamento do Prosamim</t>
  </si>
  <si>
    <t>SUHAB (INDENIZAÇÕES)</t>
  </si>
  <si>
    <t>SUHAB (CHEQUE MORADIA)</t>
  </si>
  <si>
    <t>SUHAB (BÔNUS MORADIA)</t>
  </si>
  <si>
    <t>SUHAB (BOLSA MORADIA TRANSITÓRIA)</t>
  </si>
  <si>
    <r>
      <rPr>
        <sz val="11"/>
        <rFont val="Calibri"/>
        <family val="2"/>
        <scheme val="minor"/>
      </rPr>
      <t>CT- 00006/2014- UGPI</t>
    </r>
  </si>
  <si>
    <t>02/06/2014
a 02/09/2014</t>
  </si>
  <si>
    <t>28/02/2007
a 09/03/2008</t>
  </si>
  <si>
    <t>CBR- 747/2016</t>
  </si>
  <si>
    <t>CBR- 746/2016</t>
  </si>
  <si>
    <t>CBR-4237</t>
  </si>
  <si>
    <t>CBR- 31/2015</t>
  </si>
  <si>
    <t>BRB2679</t>
  </si>
  <si>
    <t>CBR- 516/2015</t>
  </si>
  <si>
    <t>BRB2678</t>
  </si>
  <si>
    <t>BRB2677</t>
  </si>
  <si>
    <t>CBR- 3672/2014</t>
  </si>
  <si>
    <t>CBR- 3671/2014</t>
  </si>
  <si>
    <t>BR10673</t>
  </si>
  <si>
    <t>BR10523</t>
  </si>
  <si>
    <t>BR-10441</t>
  </si>
  <si>
    <t>CBR-2044</t>
  </si>
  <si>
    <t>001/2010 - UGPI</t>
  </si>
  <si>
    <t>-</t>
  </si>
  <si>
    <t>028/2009 - UGPI</t>
  </si>
  <si>
    <t>01/02/2010
 a
30/06/2017</t>
  </si>
  <si>
    <t>29/10/2009
 a
26/06/2016</t>
  </si>
  <si>
    <t>Valor Total do contrato + Reajuste</t>
  </si>
  <si>
    <t>025102FOLHA - UGPI</t>
  </si>
  <si>
    <t>21/09/2011
 a
20/03/2012</t>
  </si>
  <si>
    <t>31/08/2009
 a
30/06/2016</t>
  </si>
  <si>
    <t>026/2009 - UGPI</t>
  </si>
  <si>
    <t>13/10/2009
 a
11/07/2013</t>
  </si>
  <si>
    <t>A9137</t>
  </si>
  <si>
    <t>A6231</t>
  </si>
  <si>
    <t>TABELA DE COMPROMETIMENTO</t>
  </si>
  <si>
    <t>R$</t>
  </si>
  <si>
    <t>Previsão de Reajuste/Reassentamento</t>
  </si>
  <si>
    <t>Reassentamento</t>
  </si>
  <si>
    <t>BID</t>
  </si>
  <si>
    <t>CPL</t>
  </si>
  <si>
    <t>Engevix</t>
  </si>
  <si>
    <t>Quanta</t>
  </si>
  <si>
    <t>Andrade</t>
  </si>
  <si>
    <t>Saldo</t>
  </si>
  <si>
    <t>TOTAL</t>
  </si>
  <si>
    <t>Saldo de Comprometimento</t>
  </si>
  <si>
    <t>Comprometimento CPL</t>
  </si>
  <si>
    <t>03/03/2016
a
03/05/2018</t>
  </si>
  <si>
    <t>02/12/2014
a
02/12/2015</t>
  </si>
  <si>
    <t>01/10/2015
a
30/11/2015</t>
  </si>
  <si>
    <t>15/12/2014
a
15/12/2015</t>
  </si>
  <si>
    <t>18/11/2014
a
18/11/2015</t>
  </si>
  <si>
    <t>01/04/2016
a
01/06/2019</t>
  </si>
  <si>
    <t>01/08/2014
a
01/08/2017</t>
  </si>
  <si>
    <t>18/05/2015
a
17/06/2017</t>
  </si>
  <si>
    <t>29/06/2012
a
28/04/2017</t>
  </si>
  <si>
    <t>04/11/2014
a
04/11/2016</t>
  </si>
  <si>
    <t>03/06/2013
a
01/08/2016</t>
  </si>
  <si>
    <t>04/05/2015
a
03/05/2016</t>
  </si>
  <si>
    <t>01/04/2016
a
01/05/2016</t>
  </si>
  <si>
    <t>19/11/2015
a 
19/04/2016</t>
  </si>
  <si>
    <t>16/02/2016
a
01/04/2016</t>
  </si>
  <si>
    <t>01/02/2016
a
17/03/2016</t>
  </si>
  <si>
    <t>09/12/2014
a
09/06/2015</t>
  </si>
  <si>
    <t>16/10/2012
a
31/12/2012</t>
  </si>
  <si>
    <t>13/12/2012
a
14/12/2012</t>
  </si>
  <si>
    <t>07/05/2011
a
16/03/2012</t>
  </si>
  <si>
    <t>15/09/2014
a
13/02/2015</t>
  </si>
  <si>
    <t>19/09/2014
a
19/12/2014</t>
  </si>
  <si>
    <t>03/02/2014
a
01/12/2014</t>
  </si>
  <si>
    <t>Reassent. - Auxílio Moradia</t>
  </si>
  <si>
    <t>Reassent. - Indenizações</t>
  </si>
  <si>
    <t>Cheque</t>
  </si>
  <si>
    <t>Bônus</t>
  </si>
  <si>
    <t>Ind Metas</t>
  </si>
  <si>
    <t>Bônus Meta</t>
  </si>
  <si>
    <t>Auxi- Meta</t>
  </si>
  <si>
    <t>Reman P1</t>
  </si>
  <si>
    <t>Reman P2</t>
  </si>
  <si>
    <t>Dan</t>
  </si>
  <si>
    <t>PGO</t>
  </si>
  <si>
    <t>BRB3270</t>
  </si>
  <si>
    <t>RATEIO
R$</t>
  </si>
  <si>
    <t>RATEIO
US$</t>
  </si>
  <si>
    <t>CT- 00014/2016-UGPE</t>
  </si>
  <si>
    <t>05/05/2016
 a
05/05/2018</t>
  </si>
  <si>
    <t>BRB3277</t>
  </si>
  <si>
    <t>BRB3271</t>
  </si>
  <si>
    <t>CT- 00002/2015- UGPE</t>
  </si>
  <si>
    <t>CT - 024/2009 - UGPI</t>
  </si>
  <si>
    <t>30/09/2014
a
01/12/2016</t>
  </si>
  <si>
    <t>BR10689</t>
  </si>
  <si>
    <t>CT- 00015/2016-UGPE</t>
  </si>
  <si>
    <t>01/06/2016
 a
31/10/2016</t>
  </si>
  <si>
    <t>BRB3312</t>
  </si>
  <si>
    <t>05/05/2016
a
16/07/2016</t>
  </si>
  <si>
    <t>BRB1936</t>
  </si>
  <si>
    <t>02/06/2016
a
31/08/2016</t>
  </si>
  <si>
    <t>CT - 004/2011 - UGPI</t>
  </si>
  <si>
    <t>NE-00233/2016-UGPE</t>
  </si>
  <si>
    <t>NE- 00254/2016-UGPE</t>
  </si>
  <si>
    <t>NE- 00235/2016-UGPE</t>
  </si>
  <si>
    <t>10/05/2016
 a
24/07/2016</t>
  </si>
  <si>
    <t>NE-00232/2016-UGPE</t>
  </si>
  <si>
    <t>NE-00213/2016-UGPE</t>
  </si>
  <si>
    <t>05/05/2016
 a
16/07/2016</t>
  </si>
  <si>
    <t>NE- 00214/2016-
UGPE</t>
  </si>
  <si>
    <t>NE- 00238/2016-UGPE</t>
  </si>
  <si>
    <t>01/06/2016
a
01/07/2016</t>
  </si>
  <si>
    <t>NE- 00240/2016-UGPE</t>
  </si>
  <si>
    <t>01/03/2016
a 
01/03/2016</t>
  </si>
  <si>
    <t>BRB3313</t>
  </si>
  <si>
    <t>BRB3278</t>
  </si>
  <si>
    <t>A Pagar</t>
  </si>
  <si>
    <t>Itens do PA
US$</t>
  </si>
  <si>
    <t>Posição até 23.09.16</t>
  </si>
  <si>
    <t>001/2013-UGPI (Passagens)-OCA - VIAG. TUR. DA AMAZONIA LTDA</t>
  </si>
  <si>
    <t>004/2011-PROCESSAMENTO DE DADOS AMAZONAS S.A. - PRODAM</t>
  </si>
  <si>
    <t>006/2007 - UGPI-OCA - VIAG. TUR. DA AMAZONIA LTDA</t>
  </si>
  <si>
    <t>025102FOLHA - UGPI-UGPI - Unidade
de Gerenciamento do Prosamim</t>
  </si>
  <si>
    <t>3339014(class. no AFI)-UGPI - Unidade de Gerenciamento do</t>
  </si>
  <si>
    <t>CT-00002/2013-UGPI- PROCESSAMENTO DE DADOS</t>
  </si>
  <si>
    <t>CT-00005/2014-UGPI-ANTÔNIO CARLOS TATIT HOLTZ</t>
  </si>
  <si>
    <t>CT-00006/2015-UGPE-MARIA EUGENIA BELCZAK COSTA</t>
  </si>
  <si>
    <t>CT-00009/2015-UGPE-R. MAIA RODRIGUES</t>
  </si>
  <si>
    <t>CT-00010/2014-UGPI-RECHE GALDEANO &amp; CIA LTDA-EPP</t>
  </si>
  <si>
    <t>CT-00011/2014-UGPI-TECNOLACH INDUSTRIAL LTDA</t>
  </si>
  <si>
    <t>CT-00012/2014-UGPI-HOMEOFFICE MÓVEIS LTDA - ME</t>
  </si>
  <si>
    <t>CT-00013/2014-UGPI-SEDUTE COMÉRCIO DE MÓVEIS LTDA - EPP</t>
  </si>
  <si>
    <t>CT-00014/2016-UGPE-ICOM TELECOM SERVIÇOS DE</t>
  </si>
  <si>
    <t>CT-00015/2016-UGPE-ICOM TELECOM SERVIÇOS DE</t>
  </si>
  <si>
    <t>CT-00024/2016-UGPE-RODRIGO BATISTA DE CASTRO &amp; CIA LTDA - ME</t>
  </si>
  <si>
    <t>NE-00052/2016-UGPE-A DOS S ANDRADE-EPP</t>
  </si>
  <si>
    <t>NE-00056/2016-UGPE-INFO STORE COMPUTADORES DA AMAZÔNIA LTDA</t>
  </si>
  <si>
    <t>NE-00168/2016-UGPE-QUALYNORTE CONSULTORIA E TREINAMENTO</t>
  </si>
  <si>
    <t>NE-00236/2014-UGPI-VJ INFORMÁTICA LTDA - EPP</t>
  </si>
  <si>
    <t>NE-00238/2016-UGPE-NEW ROADS ENGENHARIA E CONSULTORIA LTDA</t>
  </si>
  <si>
    <t>NE-00240/2016-UGPE-OPEN TREINAMENTOS EMPRESARIAIS LTDA</t>
  </si>
  <si>
    <t>NE-00320/2014-UGPI-GL ELETRO ELETRÔNICOS LTDA.</t>
  </si>
  <si>
    <t>NE - 312-GBR COMPONENTES DA AMAZONIA LTDA</t>
  </si>
  <si>
    <t>NE - 317-GBR COMPONENTES DA AMAZONIA LTDA</t>
  </si>
  <si>
    <t>I Engenharia e administração</t>
  </si>
  <si>
    <t>1.1 Unidade executora</t>
  </si>
  <si>
    <t>001/2010 - UGPI-ENGEVIX ENGENHARIA S/A.</t>
  </si>
  <si>
    <t>028/2009 - UGPI-QUANTA CONSULTORIA LTDA.</t>
  </si>
  <si>
    <t>1.2 Apoio à gestão, supervisão</t>
  </si>
  <si>
    <t>026/2009 - UGPI-CONCREMAT ENGENHARIA E TECNOLOGIA S.A</t>
  </si>
  <si>
    <t>CT-00003/2016-UGPE-PAULO ROBERTO IOPPI</t>
  </si>
  <si>
    <t>CT-00008/2014-UGPI-STEFAN FRIEDRICH KEPPLER</t>
  </si>
  <si>
    <t>CT-00009/2014-UGPI-JOÃO TITO BORGES</t>
  </si>
  <si>
    <t>1.3 Estudos complementares</t>
  </si>
  <si>
    <t>024/2009 - UGPI-CONSTRUTORA ANDRADE GUTIERREZ S/A</t>
  </si>
  <si>
    <t>CT-00004/2012-UGPI-CONSTRUTORA ANDRADE GUTIERREZ</t>
  </si>
  <si>
    <t>CT-00020/2016-UGPE-BRUNO ADAN SAGRATZKI CAVERO</t>
  </si>
  <si>
    <t>CT-00021/2016-UGPE-POHOLL ADAN SAGRATZKI CAVERO</t>
  </si>
  <si>
    <t>II Custos diretos</t>
  </si>
  <si>
    <t>2.1 Melhorias ambientais, urbanas e habit.</t>
  </si>
  <si>
    <t>CT-00001/2014-UGPI-INSTITUTO BRASILEIRO DE ADMINISTRAÇÃO</t>
  </si>
  <si>
    <t>CT-00002/2015-UGPE-FM INDÚSTRIA GRÁFICA E LOCAÇÃO DE</t>
  </si>
  <si>
    <t>CT-00006/2014-UGPI-M APOLO M DE ARAÚJO</t>
  </si>
  <si>
    <t>CT-00010/2016-UGPE-CONSÓRCIO VANGUARDA/PRAIA FILMES</t>
  </si>
  <si>
    <t>CT-00012/2016-UGPE-MG COMÉRCIO MATERIAIS PARA USO</t>
  </si>
  <si>
    <t>NE-00039/2015-UGPE-ZENITE INFORMAÇÃO E CONSULTORIA S/A</t>
  </si>
  <si>
    <t>NE-00213/2016-UGPE-FM INDÚSTRIA GRÁFICA E LOCAÇÃO DE</t>
  </si>
  <si>
    <t>NE-00214/2016-UGPE-NASSER INDÚSTRIA E COMÉRCIO DE</t>
  </si>
  <si>
    <t>NE-00232/2016-UGPE-JJ COMÉRCIO DE BORRACHA LTDA</t>
  </si>
  <si>
    <t>NE-00233/2016-UGPE-JJ COMÉRCIO DE BORRACHA LTDA</t>
  </si>
  <si>
    <t>NE-00235/2016-UGPE-RM NAVECA - EPP</t>
  </si>
  <si>
    <t>NE-00237/2014-UGPI-HEXIUM IMPORTADORA E EXPORTADORA</t>
  </si>
  <si>
    <t>NE-00254/2016-UGPE-RM NAVECA - EPP</t>
  </si>
  <si>
    <t>NE-00280/2016-UGPE-ST IRAJÁ AGRÍCOLA LTDA.</t>
  </si>
  <si>
    <t>2.2 Desenvolvimento institucional</t>
  </si>
  <si>
    <t>III Custos concorrentes</t>
  </si>
  <si>
    <t>3.1 Auditoria, Avaliação e Monitoramento</t>
  </si>
  <si>
    <t>IV Custos financeiros</t>
  </si>
  <si>
    <t>4.1 Custos financeiros</t>
  </si>
  <si>
    <t>2676/OC-BR-BANCO INTERAMERICANO DE</t>
  </si>
  <si>
    <t>REAJ 
BID</t>
  </si>
  <si>
    <t>REAJ 
CPL</t>
  </si>
  <si>
    <t>GASTO Acumulado (dani)
(R$)</t>
  </si>
  <si>
    <t>GASTO Acumulado (dani)
(US$)</t>
  </si>
  <si>
    <t>NE-00272/2016-UGPE-ST IRAJÁ AGRÍCOLA LTDA.</t>
  </si>
  <si>
    <t>Item PA/PGO</t>
  </si>
  <si>
    <t>99.27</t>
  </si>
  <si>
    <t>99.31</t>
  </si>
  <si>
    <t>verificar</t>
  </si>
  <si>
    <t>99.28</t>
  </si>
  <si>
    <t>99.6</t>
  </si>
  <si>
    <t>4.20</t>
  </si>
  <si>
    <t>5.10</t>
  </si>
  <si>
    <t>5.32</t>
  </si>
  <si>
    <t>4.33</t>
  </si>
  <si>
    <t>2.6</t>
  </si>
  <si>
    <t>2.4</t>
  </si>
  <si>
    <t>2.9</t>
  </si>
  <si>
    <t>CT-00024/2016</t>
  </si>
  <si>
    <t>3.29</t>
  </si>
  <si>
    <t>3.28</t>
  </si>
  <si>
    <t>3.31</t>
  </si>
  <si>
    <t>2.17</t>
  </si>
  <si>
    <t>2.16</t>
  </si>
  <si>
    <t>6.1</t>
  </si>
  <si>
    <t>2.10</t>
  </si>
  <si>
    <t>6.23</t>
  </si>
  <si>
    <t>2.11</t>
  </si>
  <si>
    <t>2.1</t>
  </si>
  <si>
    <t>2.15</t>
  </si>
  <si>
    <t>2.18</t>
  </si>
  <si>
    <t>3.26</t>
  </si>
  <si>
    <t>3.27</t>
  </si>
  <si>
    <t>4.40</t>
  </si>
  <si>
    <t>5.34</t>
  </si>
  <si>
    <t>5.35</t>
  </si>
  <si>
    <t>99.1</t>
  </si>
  <si>
    <t>99.2</t>
  </si>
  <si>
    <t>99.72</t>
  </si>
  <si>
    <t>Aquisição de Mobiliários para UGPE (mesas, armários, sofás e poltronas)</t>
  </si>
  <si>
    <t>Aquisição de Software para apoio a UGPE</t>
  </si>
  <si>
    <t>Reestruturação do servidor de armazenamento da UGPE</t>
  </si>
  <si>
    <t>Sistema Reassentar</t>
  </si>
  <si>
    <t>Consultoria em Fluxos e Processo e Manual de Procedimentos</t>
  </si>
  <si>
    <t>Consultoria em Planejamento para UGPE</t>
  </si>
  <si>
    <t>Consultoria em Dimensão Humana</t>
  </si>
  <si>
    <t>UGPE: Cursos de Capacitação e Treinamento para Técnicos do Programa - Saldo</t>
  </si>
  <si>
    <t>Prestação de Serviços de Agenciamento de Viagens com Fornecimento de Bilhetes de Passagens Aéreas, no âmbito Nacional e Internacional.</t>
  </si>
  <si>
    <t>4.1</t>
  </si>
  <si>
    <t>4.2</t>
  </si>
  <si>
    <t>4.34</t>
  </si>
  <si>
    <t>4.35</t>
  </si>
  <si>
    <t>4.36</t>
  </si>
  <si>
    <t>99.70</t>
  </si>
  <si>
    <t>Prestação de Serviços de Consultoria Técnica Especializada para  a prestação de serviços de apoio a UGPE no gerenciamento dos Projetos Especiais financiados pelo BID</t>
  </si>
  <si>
    <t>Prestação de Serviços de Consultoria para a Supervisão das Obras, complementares e restantes do PROSAMIM I, Igarapés Manaus, Bittencourt e Mestre Chico as Obras do PROSAMIM II: Igarapé do Educandos-Quarenta, no trecho da Ponte Maués / Avenida Rodrigo Otávio; Igarapé do Cajual e Parque São Raimundo e  PROSAMIM III:  Orla das Margens esquerda e direita do Igarapé São Raimundo, no trecho  compreendido entre a Ponte Senador Fábio Lucena e o Parque Kako Caminha, em Manaus - Amazonas.</t>
  </si>
  <si>
    <t>UGPE: Supervisão das Obras de reforma, recuperação e melhorias tecnológicas da Estação de Pré-Condicionamento dos Educandos - EPC</t>
  </si>
  <si>
    <t>99.9</t>
  </si>
  <si>
    <t>5.33</t>
  </si>
  <si>
    <t>5.21</t>
  </si>
  <si>
    <t>5.24</t>
  </si>
  <si>
    <t>4.25</t>
  </si>
  <si>
    <t>4.30</t>
  </si>
  <si>
    <t>4.37</t>
  </si>
  <si>
    <t>4.38</t>
  </si>
  <si>
    <t>5.28</t>
  </si>
  <si>
    <t>5.29</t>
  </si>
  <si>
    <t>5.30</t>
  </si>
  <si>
    <t>5.36</t>
  </si>
  <si>
    <t>99.10</t>
  </si>
  <si>
    <t>99.30</t>
  </si>
  <si>
    <t xml:space="preserve">Elaboração do Projeto Executivo de Reforma, Recuperação e melhorias tecnológicas da Estação de pré condicionamento dos Educandos EPC </t>
  </si>
  <si>
    <t>Elaboração dos estudos e projetos básicos avançados para a margem esquerda e foz do Igarapé do Quarenta, na bacia dos Educandos</t>
  </si>
  <si>
    <t>Elaboração e/ou adequação de Projetos Executivos do PROSAMIM</t>
  </si>
  <si>
    <t>Serviços arqueológicos no âmbito do PROSAMIM</t>
  </si>
  <si>
    <t>Reavaliação Econômica do PROGRAMA III</t>
  </si>
  <si>
    <t>Consultoria para Avaliação ex-post do Programa - PROSAMIM SUPLEMENTAR (Cláusula 4.10)</t>
  </si>
  <si>
    <t>Consultoria para Avaliação ex-post do Programa - PROSAMIM II (Cláusula 4.06)</t>
  </si>
  <si>
    <t>Consultoria para Projeto de Tratamento do solo (Reflorestamento)</t>
  </si>
  <si>
    <t>Consultoria para Avaliação ex-post do Programa</t>
  </si>
  <si>
    <t>Estudos e Projetos ComplementaresSaldo do Contrato 026/2009 - Concremat com Origem no Contrato de Empréstimo 2006/OC-BR. - Reconhecimento-ZERADO JUNTO 99.9</t>
  </si>
  <si>
    <t>1.4</t>
  </si>
  <si>
    <t>5.38</t>
  </si>
  <si>
    <t>5.40</t>
  </si>
  <si>
    <t>99.14</t>
  </si>
  <si>
    <t>99.33</t>
  </si>
  <si>
    <t>99.12</t>
  </si>
  <si>
    <t>99.13</t>
  </si>
  <si>
    <t>99.15</t>
  </si>
  <si>
    <t>99.82 a 99.92</t>
  </si>
  <si>
    <t>1.3</t>
  </si>
  <si>
    <t>1.5</t>
  </si>
  <si>
    <t>1.6</t>
  </si>
  <si>
    <t>1.7</t>
  </si>
  <si>
    <t>1.8</t>
  </si>
  <si>
    <t>1.9</t>
  </si>
  <si>
    <t>1.10</t>
  </si>
  <si>
    <t>2.31</t>
  </si>
  <si>
    <t>2.32</t>
  </si>
  <si>
    <t>5.37</t>
  </si>
  <si>
    <t>5.39</t>
  </si>
  <si>
    <t>6.2</t>
  </si>
  <si>
    <t>99.94</t>
  </si>
  <si>
    <t>99.95</t>
  </si>
  <si>
    <t>99.97</t>
  </si>
  <si>
    <t>99.98</t>
  </si>
  <si>
    <t>UGPE: Execução de obras de recuperação, reforma e melhorias tecnológicas da Estação de Pré Condicionamento dos Educandos</t>
  </si>
  <si>
    <t>Reflorestamento das áreas do Programa incluindo  tratamento e correção do solo imprestável para plantio e manutenção</t>
  </si>
  <si>
    <t>Obras complementares do PROSAMIM III correspondentes a tratamento de áreas remanescentes destinadas a praças, complementação do estacionamento do Parque Rio Negro e implantação de novos parques</t>
  </si>
  <si>
    <t xml:space="preserve">Obras de  recuperação dos  passivos identificados na infraestrutura das Quadras Bairro do PROSAMIM I e PROSAMIM II </t>
  </si>
  <si>
    <t>Obras de recuperação da área de cabeceira do Igarapé Manaus e galeria e no trecho entre Leonardo Malcher e Rua Parintins</t>
  </si>
  <si>
    <t>Obras remanescentes do PROSAMIM II trecho entre Silves e Maués</t>
  </si>
  <si>
    <t>Obras no Igarapé do Quarenta entre Silves -Seduc (Estacas 155-179)</t>
  </si>
  <si>
    <t>Aquisição de lâmpadas eficientes (LED) e redistribuição do quadro de energia elétrica</t>
  </si>
  <si>
    <t>Material para serviços de pequenos reparos para correção dos passivos nas Unidades Habitacionais</t>
  </si>
  <si>
    <t>Consultoria em Macrodrenagem</t>
  </si>
  <si>
    <t>Consultoria em Direito Ambiental</t>
  </si>
  <si>
    <t>Capacitação da comunidade das quadras bairro para execução de serviços de pequenos reparos</t>
  </si>
  <si>
    <t xml:space="preserve">Reassentamento Remanescentes  - PROSAMIM I </t>
  </si>
  <si>
    <t xml:space="preserve">Passivo PROSAMIM I - (Parques Residenciais e Urbanos) </t>
  </si>
  <si>
    <t xml:space="preserve">Reassentamento Remanescentes  - PROSAMIM II </t>
  </si>
  <si>
    <t xml:space="preserve">Passivo PROSAMIM II - (Parques Residenciais e Urbanos) </t>
  </si>
  <si>
    <t>4.19</t>
  </si>
  <si>
    <t>7.28</t>
  </si>
  <si>
    <t>3.7</t>
  </si>
  <si>
    <t>3.8</t>
  </si>
  <si>
    <t>3.25</t>
  </si>
  <si>
    <t>7.21</t>
  </si>
  <si>
    <t>3.16</t>
  </si>
  <si>
    <t>7.8</t>
  </si>
  <si>
    <t>2.21</t>
  </si>
  <si>
    <t>3.30</t>
  </si>
  <si>
    <t>2.20</t>
  </si>
  <si>
    <t>2.30</t>
  </si>
  <si>
    <t>2.28</t>
  </si>
  <si>
    <t>2.29</t>
  </si>
  <si>
    <t>2.19</t>
  </si>
  <si>
    <t>2.23</t>
  </si>
  <si>
    <t>2.24</t>
  </si>
  <si>
    <t>2.22</t>
  </si>
  <si>
    <t>2.25</t>
  </si>
  <si>
    <t>2.26</t>
  </si>
  <si>
    <t>2.27</t>
  </si>
  <si>
    <t>3.24</t>
  </si>
  <si>
    <t>4.15</t>
  </si>
  <si>
    <t>6.4</t>
  </si>
  <si>
    <t>7.7</t>
  </si>
  <si>
    <t>7.12</t>
  </si>
  <si>
    <t>7.13</t>
  </si>
  <si>
    <t>7.14</t>
  </si>
  <si>
    <t>7.22</t>
  </si>
  <si>
    <t>7.23</t>
  </si>
  <si>
    <t>7.26</t>
  </si>
  <si>
    <t>7.27</t>
  </si>
  <si>
    <t>99.16</t>
  </si>
  <si>
    <t>Aquisição de mosquiteiro impregnado de inseticida de longa duração</t>
  </si>
  <si>
    <t>Aquisição de equipamentos de aplicação de inseticidas a UBV veicular</t>
  </si>
  <si>
    <t>Aquisição de inseticidas para controle vetorial - adulticida malthion</t>
  </si>
  <si>
    <t>Aquisição de kits para armadilhas de oviposição</t>
  </si>
  <si>
    <t>Locação de veículos para transporte de equipes de controle vetorial (durante 6 meses)</t>
  </si>
  <si>
    <t>UGPE/PCS: Contratação de Empresa para realização de Clippagem e Cobertura Fotográfica</t>
  </si>
  <si>
    <t>UGPE: Desenho e estruturação do Fundo de Saneamento</t>
  </si>
  <si>
    <t>PGE: Capacitação</t>
  </si>
  <si>
    <t xml:space="preserve">PGE: Veículo tipo caminhonete </t>
  </si>
  <si>
    <t>PGE: Seguro total contra acidentes de terceiros (Caminhonetes)</t>
  </si>
  <si>
    <t>PGE: Equipamentos de Informática  e Software para adequação e Melhoria do Parque Tecnológico</t>
  </si>
  <si>
    <t xml:space="preserve">PGE: Aquisição de Mobiliários </t>
  </si>
  <si>
    <t>SEMULSP: Atualização do Plano Diretor de Resíduos Sólidos do Município de Manaus e Plano de Coleta Seletiva da Cidade de Manaus</t>
  </si>
  <si>
    <t xml:space="preserve">CPRM: Revisão/Complementação do Plano de Contingência do Igarapé do Quarenta/Educandos </t>
  </si>
  <si>
    <t>SEMULSP: Melhoria do Sistema de Tecnologia da Informação</t>
  </si>
  <si>
    <t>SEMMAS: Ampliação da Infraestrutura do centro de triagem de animais silvestres Sauim Castanheiras</t>
  </si>
  <si>
    <t>SEMINF: Aquisições de Máquinas e Equipamentos para o fortalecimento da Secretaria Municipal de Infraestrutura</t>
  </si>
  <si>
    <t>Convênios (SENAI, SENAC, IFAM)</t>
  </si>
  <si>
    <t>4.4</t>
  </si>
  <si>
    <t>4.41</t>
  </si>
  <si>
    <t>99.43</t>
  </si>
  <si>
    <t>99.74</t>
  </si>
  <si>
    <t>UGPE: Avaliação e Monitoramento</t>
  </si>
  <si>
    <t>Auditoria Independente Externa</t>
  </si>
  <si>
    <t>Auditoria Independente Externa para o Programa - Capacitação TCE (Convênio oneroso)</t>
  </si>
  <si>
    <t>Saldo - Custos concorrentes</t>
  </si>
  <si>
    <t>99.24</t>
  </si>
  <si>
    <t>V - Contingências</t>
  </si>
  <si>
    <t>Contingências</t>
  </si>
  <si>
    <t>Saldo do PROGRAMA</t>
  </si>
  <si>
    <t>99.25</t>
  </si>
  <si>
    <t>99.99</t>
  </si>
  <si>
    <t>CT-00021/2016-UGPE</t>
  </si>
  <si>
    <t>CT-00020/2016-UGPE</t>
  </si>
  <si>
    <t>NE-00272/2016-UGPE</t>
  </si>
  <si>
    <t>NE-00280/2016-UGPE</t>
  </si>
  <si>
    <t>CT-008/2016</t>
  </si>
  <si>
    <t>01/08/2016
 a
01/10/2017</t>
  </si>
  <si>
    <t>01/07/2016
 a
30/07/2016</t>
  </si>
  <si>
    <t>01/07/2016
 a
29/09/2016</t>
  </si>
  <si>
    <t>22/06/2016
 a
20/09/2016</t>
  </si>
  <si>
    <t>23/05/2016
 a
23/07/2018</t>
  </si>
  <si>
    <t>Itens do PA/PGO
US$</t>
  </si>
  <si>
    <t>NE-00403/2016-
UGPE -</t>
  </si>
  <si>
    <t>NE-00404/2016-
UGPE -</t>
  </si>
  <si>
    <t>Auditoria Independente Externa -  verificar se vai ser cancelado ou não</t>
  </si>
  <si>
    <t>6.3</t>
  </si>
  <si>
    <t xml:space="preserve">12/09/2016
 a
11/11/2016 </t>
  </si>
  <si>
    <t>15/07/2016
a
14/08/2016</t>
  </si>
  <si>
    <t>NE- 0013/2016-UGPE</t>
  </si>
  <si>
    <t>NE-00381/2016-UGPE</t>
  </si>
  <si>
    <t>NE-00254/2016-UGPE</t>
  </si>
  <si>
    <t>02/06/2016
 a
31/08/2016</t>
  </si>
  <si>
    <r>
      <t>Aquisição de repelente para distribuição à mulher, principalmente gestante de baixa renda, inserida na atenção ao pré-natal.</t>
    </r>
    <r>
      <rPr>
        <b/>
        <sz val="11"/>
        <color rgb="FF0033CC"/>
        <rFont val="Calibri"/>
        <family val="2"/>
        <scheme val="minor"/>
      </rPr>
      <t xml:space="preserve">
NE-00235/2016-UGPE-RM NAVECA - EPP</t>
    </r>
  </si>
  <si>
    <r>
      <t xml:space="preserve">Aquisição de escadas para acesso a locais de difícil acesso
</t>
    </r>
    <r>
      <rPr>
        <b/>
        <sz val="11"/>
        <color rgb="FF0033CC"/>
        <rFont val="Calibri"/>
        <family val="2"/>
        <scheme val="minor"/>
      </rPr>
      <t>NE-00232/2016-UGPE-JJ COMÉRCIO DE BORRACHA LTDA</t>
    </r>
  </si>
  <si>
    <r>
      <t xml:space="preserve">Aquisição de capas para cobertura de reservatórios de armazenamento de água (cobertura de caixas D’água; tambores etc)
</t>
    </r>
    <r>
      <rPr>
        <b/>
        <sz val="11"/>
        <color rgb="FF0033CC"/>
        <rFont val="Calibri"/>
        <family val="2"/>
        <scheme val="minor"/>
      </rPr>
      <t>NE-00233/2016-UGPE-JJ COMÉRCIO DE BORRACHA LTDA</t>
    </r>
  </si>
  <si>
    <r>
      <t xml:space="preserve">UGPE/PSSA: Apoio na organização e realização de oficinas, reuniões e eventos com os comunitários, durante os processos de remanejamento e pós-remanejamento do Programa
</t>
    </r>
    <r>
      <rPr>
        <b/>
        <sz val="11"/>
        <color rgb="FF0033CC"/>
        <rFont val="Calibri"/>
        <family val="2"/>
        <scheme val="minor"/>
      </rPr>
      <t>CT-00006/2014-UGPI-M APOLO M DE ARAÚJO</t>
    </r>
  </si>
  <si>
    <r>
      <t xml:space="preserve">PGE: Assinatura de periódicos e revistas jurídicas
</t>
    </r>
    <r>
      <rPr>
        <b/>
        <sz val="11"/>
        <color rgb="FF0033CC"/>
        <rFont val="Calibri"/>
        <family val="2"/>
        <scheme val="minor"/>
      </rPr>
      <t>NE-00039/2015-UGPE-ZENITE INFORMAÇÃO E CONSULTORIA S/A</t>
    </r>
  </si>
  <si>
    <t>027/2016</t>
  </si>
  <si>
    <t>16/08/2016
a
16/08/2017</t>
  </si>
  <si>
    <t>030/2016</t>
  </si>
  <si>
    <t>01/09/2016
a
16/10/2016</t>
  </si>
  <si>
    <t>CT- 0003/2016-UGPE</t>
  </si>
  <si>
    <t>01/09/2016
a
01/10/2016</t>
  </si>
  <si>
    <t>18/05/2016
a
19/11/2016</t>
  </si>
  <si>
    <t>02/06/2016
a
02/11/2016</t>
  </si>
  <si>
    <t>01/09/2016 
a 
17/10/2016</t>
  </si>
  <si>
    <t>CT-00019/2016-UGPE</t>
  </si>
  <si>
    <t xml:space="preserve">CT-00025/2016-UGPE </t>
  </si>
  <si>
    <t>01/08/2016 
a 
17/08/2017</t>
  </si>
  <si>
    <t>REAL</t>
  </si>
  <si>
    <t>DOLAR</t>
  </si>
  <si>
    <r>
      <t xml:space="preserve">Consultoria em Planejamento para UGPE
</t>
    </r>
    <r>
      <rPr>
        <b/>
        <sz val="11"/>
        <color rgb="FF0033CC"/>
        <rFont val="Calibri"/>
        <family val="2"/>
        <scheme val="minor"/>
      </rPr>
      <t>CT-00027/2016-UGPE- JANDIRA VIRGINIA FERNADEZ E SILVA</t>
    </r>
  </si>
  <si>
    <t>Valor do Contrato P0
(R$)</t>
  </si>
  <si>
    <t>Contrato+ Reajuste
R($)</t>
  </si>
  <si>
    <t>a executar segundo PGO</t>
  </si>
  <si>
    <r>
      <t xml:space="preserve">Saldo Unidade Executora </t>
    </r>
    <r>
      <rPr>
        <b/>
        <sz val="11"/>
        <color rgb="FFFF0000"/>
        <rFont val="Calibri"/>
        <family val="2"/>
        <scheme val="minor"/>
      </rPr>
      <t>Jandira zerou</t>
    </r>
  </si>
  <si>
    <r>
      <t xml:space="preserve">Saldo - Custos concorrentes </t>
    </r>
    <r>
      <rPr>
        <sz val="11"/>
        <color rgb="FFFF0000"/>
        <rFont val="Calibri"/>
        <family val="2"/>
        <scheme val="minor"/>
      </rPr>
      <t>Jandira zerou</t>
    </r>
  </si>
  <si>
    <t>Posição até 30.09.16</t>
  </si>
  <si>
    <t>Saldo Capacitação</t>
  </si>
  <si>
    <r>
      <t xml:space="preserve">Saldo Geral  Remanejar - Gerenciamento e Supervisão - </t>
    </r>
    <r>
      <rPr>
        <sz val="11"/>
        <color rgb="FFFF0000"/>
        <rFont val="Calibri"/>
        <family val="2"/>
        <scheme val="minor"/>
      </rPr>
      <t>Jandira zerou</t>
    </r>
  </si>
  <si>
    <t>UGPE: Cursos de Capacitação e Treinamento para Técnicos do Programa - Saldo+ saldo 6.3 -190.920,56</t>
  </si>
  <si>
    <t>mais saldo do item 6.3 190920,56</t>
  </si>
  <si>
    <t>PLANILHA COMPARATIVA (R$)</t>
  </si>
  <si>
    <t>ANEXO III - COMPARATIVO PROSAMIM II  - AJUDA MEMÓRIA 25 A 27.11.15 X PROJETO DETALHADO E ORÇAMENTO ATUALIZADO</t>
  </si>
  <si>
    <t xml:space="preserve">(A) </t>
  </si>
  <si>
    <t>(B)</t>
  </si>
  <si>
    <t xml:space="preserve">(C) </t>
  </si>
  <si>
    <t>(D)</t>
  </si>
  <si>
    <t xml:space="preserve">(E) </t>
  </si>
  <si>
    <t>(F)</t>
  </si>
  <si>
    <t xml:space="preserve">(G) </t>
  </si>
  <si>
    <t>(H)</t>
  </si>
  <si>
    <t>(I) = (G)/(E)</t>
  </si>
  <si>
    <t>(J) = (H)/(F)</t>
  </si>
  <si>
    <t>(K) = (J)/(I)</t>
  </si>
  <si>
    <t>PRODUTOS
A.M. - NOV/15</t>
  </si>
  <si>
    <t>PRODUTOS
PMR - FEV/16
(*)</t>
  </si>
  <si>
    <t>DESCRIÇÃO DO PRODUTO
A.M. - NOV/15</t>
  </si>
  <si>
    <t>DESCRIÇÃO DO PRODUTO
PMR - FEV/16</t>
  </si>
  <si>
    <t xml:space="preserve">UND 
</t>
  </si>
  <si>
    <t>QUANT.
A.M. - NOV/15</t>
  </si>
  <si>
    <t>QUANT.
PROJETO
set/16</t>
  </si>
  <si>
    <t>ORÇAMENTO
AJ. M.
NOV/15</t>
  </si>
  <si>
    <t>ORÇAMENTO
PROJETO
 SET/16</t>
  </si>
  <si>
    <t>CUSTO UNITÁRIO
A.M. - NOV/15</t>
  </si>
  <si>
    <t>CUSTO UNITÁRIO
PROJETO SET/16</t>
  </si>
  <si>
    <t>VARIAÇÃO %</t>
  </si>
  <si>
    <t>OBSERVAÇÃO</t>
  </si>
  <si>
    <t>P1</t>
  </si>
  <si>
    <t>P15</t>
  </si>
  <si>
    <t xml:space="preserve">Macro drenagem </t>
  </si>
  <si>
    <t>Obras de Macrodrenagem executadas (Canais de Água reabilitados e Galerias de Macrodrenagem construídas)</t>
  </si>
  <si>
    <t>m</t>
  </si>
  <si>
    <t>P4</t>
  </si>
  <si>
    <t>P16</t>
  </si>
  <si>
    <t>Ruas de Serviço</t>
  </si>
  <si>
    <t>Vias Urbanas Implantadas</t>
  </si>
  <si>
    <t>Na solução técnica do PROJETO não serão implantadas vias urbanas, mas um parque com pistas de caminhada</t>
  </si>
  <si>
    <t>P6</t>
  </si>
  <si>
    <t>P17</t>
  </si>
  <si>
    <t>Urbanização</t>
  </si>
  <si>
    <t>Parques urbanos implantados</t>
  </si>
  <si>
    <t>há</t>
  </si>
  <si>
    <t>P8</t>
  </si>
  <si>
    <t>P18</t>
  </si>
  <si>
    <t>Rede Coletora e Interceptor de Esgoto (Milestone: 139 conexões à interligar) (**)</t>
  </si>
  <si>
    <t>Rede Coletora de Esgoto</t>
  </si>
  <si>
    <t>O Projeto contempla  parte do esgotamento sanitário, que será implantada neste trecho ligandao ao sistema existente</t>
  </si>
  <si>
    <t>ha</t>
  </si>
  <si>
    <t>O Projeto do  Parque Urbano ÁREA DE CABECEIRA foi alterado em funaçãodas exigêcias do IPAAM, por ser área de APP</t>
  </si>
  <si>
    <t>(*) PRODUTOS correspondentes à revisão do PMR revisto em feverero/2016</t>
  </si>
  <si>
    <t>(**) Rede de esgoto  da área de intervenção não foi objeto de projeto e não está incluída neste orçamento</t>
  </si>
  <si>
    <t>PLANILHA COMPARATIVA (US$)</t>
  </si>
  <si>
    <t>ANEXO III - COMPARATIVO PROSAMIM II  - AJUDA MEMÓRIA 25 A 27.11.15 X PROJETO DETALHADO E ORÇAMENTO ATUALIZADO (US$)</t>
  </si>
  <si>
    <t>US$ 1,00 =</t>
  </si>
  <si>
    <t>PRODUTOS
PMR - FEV/16</t>
  </si>
  <si>
    <t>QUANT.
PMR - FEV/16</t>
  </si>
  <si>
    <t>ORÇAMENTO
A.M. - NOV/15</t>
  </si>
  <si>
    <t>ORÇAMENTO
PROJETO SET/16</t>
  </si>
  <si>
    <r>
      <t xml:space="preserve">Rede Coletora e Interceptor de Esgoto </t>
    </r>
    <r>
      <rPr>
        <sz val="8"/>
        <rFont val="Arial"/>
        <family val="2"/>
      </rPr>
      <t>(Milestone: 139 conexões à interligar)</t>
    </r>
  </si>
  <si>
    <t>CUSTO DA  FRENTE DE OBRA</t>
  </si>
  <si>
    <t>ÁREA DA CABECEIRA DO IGARAPÉ MANAUS - PARQUE DAS ÁGUAS</t>
  </si>
  <si>
    <t>PROSAMIM I</t>
  </si>
  <si>
    <t>OBRA</t>
  </si>
  <si>
    <t>UND</t>
  </si>
  <si>
    <t>QTD</t>
  </si>
  <si>
    <t>SUHAB/CPL</t>
  </si>
  <si>
    <t>IGARAPÉ MESTRE CHICO - TRECHO ENTRE LEONARDO MALCHER A RUA PARINTINS</t>
  </si>
  <si>
    <t xml:space="preserve">Soluções </t>
  </si>
  <si>
    <t>CUSTO TOTAL PARA REALIZAÇÃO DAS FRENTES DE OBRA</t>
  </si>
  <si>
    <t xml:space="preserve">PLANILHA COMPARATIVA - FUNCIONALIDADE (R$)
ANEXO V - COMPARATIVO PROSAMIM II  - AJUDA MEMÓRIA 25 A 27.11.15 X PROJETO DETALHADO E ORÇAMENTO SET/2016 </t>
  </si>
  <si>
    <t>DESCRIÇÃO DO PRODUTO</t>
  </si>
  <si>
    <t>QUANT.
PROJETO
SET/16</t>
  </si>
  <si>
    <t>ORÇAMENTO
PROJETO 
SET/16</t>
  </si>
  <si>
    <t>CUSTO UNITÁRIO
AJ. M. 
NOV/15</t>
  </si>
  <si>
    <t xml:space="preserve">IGARAPÉ DO QUARENTA 2ª ETAPA - TRECHO DA AV. SILVES A  MAUÉS </t>
  </si>
  <si>
    <t>Produto 22</t>
  </si>
  <si>
    <t>MACRODRENAGEM</t>
  </si>
  <si>
    <t>P2</t>
  </si>
  <si>
    <t>Produto 23</t>
  </si>
  <si>
    <t>MICRO-DRENAGEM</t>
  </si>
  <si>
    <t>Com a alteração do Projeto as obras de micro drenagem foram redimensionadas e orçadas</t>
  </si>
  <si>
    <t>Produto 24</t>
  </si>
  <si>
    <t>VIÁRIO</t>
  </si>
  <si>
    <t>O orçamento das vias urbanas foram revistos e orçadados com a inclusãoda reforma da ponte</t>
  </si>
  <si>
    <t>Produto 29</t>
  </si>
  <si>
    <t>INTERCEPTOR</t>
  </si>
  <si>
    <t>Corresponde a parte de esgotamento sanitário que será implantada neste trecho</t>
  </si>
  <si>
    <t>ESTAÇÃO ELEVATÓRIA DE ESGOTO (**)</t>
  </si>
  <si>
    <t xml:space="preserve">un </t>
  </si>
  <si>
    <t>Não está comtemplada no projeto detalhado</t>
  </si>
  <si>
    <t>REDE COLETORA DE ESGOTO ( A EXECUTAR DO PROGRAMA) (**)</t>
  </si>
  <si>
    <t>A rede de esgoto previstano projeto e orçamento referem-seàs obras necessárias no tracho para integração com o sistema existente</t>
  </si>
  <si>
    <t>TERRAPLENAGEM (ÁREAS REMANESCENTES)</t>
  </si>
  <si>
    <t>m³</t>
  </si>
  <si>
    <t>Não se trata de  terraplenagem de obras remanescentes, mas corresponde à terraplenagem das áreas adjacentes às vias, conforme croqui do projeto na pastas PROJETO PII-ORÇ SET.16</t>
  </si>
  <si>
    <t>REFORMA DE PONTE DA SILVES</t>
  </si>
  <si>
    <t>Está contemplada  no  P24</t>
  </si>
  <si>
    <t xml:space="preserve">TOTAL </t>
  </si>
  <si>
    <t xml:space="preserve">PLANILHA COMPARATIVA - FUNCIONALIDADE (US$)
ANEXO V - COMPARATIVO PROSAMIM II  - AJUDA MEMÓRIA 25 A 27.11.15 X PROJETO DETALHADO E ORÇAMENTO SET/2016 </t>
  </si>
  <si>
    <t>US$ 1,00 = R$ 3,7</t>
  </si>
  <si>
    <t>ESTAÇÃO ELEVATÓRIA DE ESGOTO (*)</t>
  </si>
  <si>
    <t>REASSENTAMENTO</t>
  </si>
  <si>
    <t xml:space="preserve">CT- 00023/2016-
UGPE  </t>
  </si>
  <si>
    <t>2017 a 2019</t>
  </si>
  <si>
    <t>Valor do Reajuste Pago
(R$)</t>
  </si>
  <si>
    <t>A PAGAR
P(0)</t>
  </si>
  <si>
    <t>US$</t>
  </si>
  <si>
    <t>CATEGORIAS/COMPONENTE</t>
  </si>
  <si>
    <t>SALDO FINAL</t>
  </si>
  <si>
    <r>
      <t xml:space="preserve">CUSTO
</t>
    </r>
    <r>
      <rPr>
        <b/>
        <sz val="10"/>
        <color rgb="FF000000"/>
        <rFont val="Cambria"/>
        <family val="1"/>
      </rPr>
      <t>Execução + Compr.+Passivo</t>
    </r>
  </si>
  <si>
    <t>SALDO FINAL + CUSTO</t>
  </si>
  <si>
    <t>2.1 Melhorias ambientais urbanas e habitacionais.</t>
  </si>
  <si>
    <t>4.1 Custos Financeiros</t>
  </si>
  <si>
    <t>V Contigências</t>
  </si>
  <si>
    <t>%</t>
  </si>
  <si>
    <t>faizao</t>
  </si>
  <si>
    <t>EXECUTADO ATÉ 30/09/16
(B)</t>
  </si>
  <si>
    <t>COMPROMETIDO A EXECUTAR
(C)</t>
  </si>
  <si>
    <t>SALDO EM  30/09/15</t>
  </si>
  <si>
    <t>03/06/2013
a
01/10/2016</t>
  </si>
  <si>
    <r>
      <t xml:space="preserve">Saldo Geral  Remanejar - Gerenciamento e Supervisão
</t>
    </r>
    <r>
      <rPr>
        <b/>
        <sz val="10"/>
        <color rgb="FFFF0000"/>
        <rFont val="Calibri"/>
        <family val="2"/>
        <scheme val="minor"/>
      </rPr>
      <t>Jandira zerou</t>
    </r>
  </si>
  <si>
    <r>
      <t xml:space="preserve">Consultoria para Apoio à Estruturação e Desenvolvimento de Modelos Alternativos de aliança Público Privada (Sociais), para a promoção de Parceria Público Privada e/ou Compartilhada de Parques e Praças (áreas urbanizadas dos Igarapés)
</t>
    </r>
    <r>
      <rPr>
        <b/>
        <sz val="10"/>
        <color rgb="FF0033CC"/>
        <rFont val="Calibri"/>
        <family val="2"/>
        <scheme val="minor"/>
      </rPr>
      <t>CT-00001/2014-UGPI-INSTITUTO BRASILEIRO DE ADMINISTRAÇÃO</t>
    </r>
  </si>
  <si>
    <r>
      <t xml:space="preserve">UGPE/PSSA: Produção de material gráfico para o projeto de Sustentabilidade Social e Plano de Comunicação do Programa: folders; cartilhas; cartazes; panfletos; faixas; revistas; manuais; certificados; pastas; sacolas; e outros 
</t>
    </r>
    <r>
      <rPr>
        <b/>
        <sz val="10"/>
        <color rgb="FF0033CC"/>
        <rFont val="Calibri"/>
        <family val="2"/>
        <scheme val="minor"/>
      </rPr>
      <t>CT-00002/2015-UGPE-FM INDÚSTRIA GRÁFICA E LOCAÇÃO DE MÁQUINAS E EQUIPAMENTOS LTDA</t>
    </r>
  </si>
  <si>
    <r>
      <t xml:space="preserve">Contratação de Agência/Empresa de Publicidade para:
- UGPE/PCS: Produção de material gráfico e Plano de Comunicação do Programa. 
- UGPE/PCS: Criação de material gráfico, virtual e mídia eletrônica para o Programa.
- UGPE/PCS: Criação, Produção e Veiculação de material de áudio para rádio.
- UGPE/PCS: Criação, produção e veiculação de Outdoors para o Programa.
</t>
    </r>
    <r>
      <rPr>
        <b/>
        <sz val="10"/>
        <color rgb="FF0033CC"/>
        <rFont val="Calibri"/>
        <family val="2"/>
        <scheme val="minor"/>
      </rPr>
      <t>CT-00010/2016-UGPE-CONSÓRCIO VANGUARDA/PRAIA FILMES</t>
    </r>
  </si>
  <si>
    <r>
      <t xml:space="preserve">Serviços técnicos com o fornecimento de bens para apoio a implementação e execução do Projeto das Doenças Tropicais Negligenciadas em Manaus-NTD
</t>
    </r>
    <r>
      <rPr>
        <b/>
        <sz val="10"/>
        <color rgb="FF0033CC"/>
        <rFont val="Calibri"/>
        <family val="2"/>
        <scheme val="minor"/>
      </rPr>
      <t>CT-00012/2016-UGPE-MG COMÉRCIO MATERIAIS PARA USO</t>
    </r>
  </si>
  <si>
    <r>
      <t xml:space="preserve">Aquisição de fardamento e kits de equipamentos de proteção individual para ações de controle vetorial
</t>
    </r>
    <r>
      <rPr>
        <b/>
        <sz val="10"/>
        <color rgb="FF0033CC"/>
        <rFont val="Calibri"/>
        <family val="2"/>
        <scheme val="minor"/>
      </rPr>
      <t>NE-00214/2016-UGPE-NASSER INDÚSTRIA E COMÉRCIO DE
CONFECÇÕES LTDA</t>
    </r>
  </si>
  <si>
    <t>SIMULAÇÃO - MATRIZ VIGENTE</t>
  </si>
  <si>
    <t>SIMULAÇÃO - MATRIZ A READEQUAR</t>
  </si>
  <si>
    <t xml:space="preserve">      Obra</t>
  </si>
  <si>
    <t xml:space="preserve">      Reassentamento</t>
  </si>
  <si>
    <t>acordo BID reserva</t>
  </si>
  <si>
    <t>Saldo (6.2,2.32 e 1.7)</t>
  </si>
  <si>
    <r>
      <t xml:space="preserve">Prestação de Serviços de Agenciamento de Viagens com Fornecimento de Bilhetes de Passagens Aéreas, no âmbito Nacional e Internacional.
</t>
    </r>
    <r>
      <rPr>
        <b/>
        <sz val="10"/>
        <color rgb="FF0033CC"/>
        <rFont val="Calibri"/>
        <family val="2"/>
        <scheme val="minor"/>
      </rPr>
      <t>001/2013-UGPI (Passagens)-OCA - VIAG. TUR. DA AMAZONIA LTDA</t>
    </r>
  </si>
  <si>
    <r>
      <t xml:space="preserve">Despesas da folha de pagamento UGPE
</t>
    </r>
    <r>
      <rPr>
        <b/>
        <sz val="10"/>
        <color rgb="FF0033CC"/>
        <rFont val="Calibri"/>
        <family val="2"/>
        <scheme val="minor"/>
      </rPr>
      <t>025102FOLHA - UGPI-UGPI - Unidade de Gerenciamento do Prosamim</t>
    </r>
  </si>
  <si>
    <r>
      <t xml:space="preserve">UGPE Sistema Integrado de Gestão do PROSAMIM (SIGPRO)/Customização.
</t>
    </r>
    <r>
      <rPr>
        <b/>
        <sz val="10"/>
        <color rgb="FF0033CC"/>
        <rFont val="Calibri"/>
        <family val="2"/>
        <scheme val="minor"/>
      </rPr>
      <t>CT-00002/2013-UGPI- PROCESSAMENTO DE DADOS</t>
    </r>
  </si>
  <si>
    <r>
      <t xml:space="preserve">UGPE: Locação de 03 Veículos de Passeio
</t>
    </r>
    <r>
      <rPr>
        <b/>
        <sz val="10"/>
        <color rgb="FF0033CC"/>
        <rFont val="Calibri"/>
        <family val="2"/>
        <scheme val="minor"/>
      </rPr>
      <t>CT-00010/2014-UGPI-RECHE GALDEANO &amp; CIA LTDA-EPP</t>
    </r>
  </si>
  <si>
    <r>
      <t xml:space="preserve">Contratação de serviço de link dedicado de internet
</t>
    </r>
    <r>
      <rPr>
        <b/>
        <sz val="10"/>
        <color rgb="FF0033CC"/>
        <rFont val="Calibri"/>
        <family val="2"/>
        <scheme val="minor"/>
      </rPr>
      <t>CT-00014/2016-UGPE-ICOM TELECOM SERVIÇOS DE COMUNICAÇÃO LTDA - ME</t>
    </r>
  </si>
  <si>
    <r>
      <t xml:space="preserve">Reestruturação da infraestrutura de redes da UGPE
</t>
    </r>
    <r>
      <rPr>
        <b/>
        <sz val="10"/>
        <color rgb="FF0033CC"/>
        <rFont val="Calibri"/>
        <family val="2"/>
        <scheme val="minor"/>
      </rPr>
      <t>CT-00015/2016-UGPE-ICOM TELECOM SERVIÇOS DE COMUNICAÇÃO LTDA - ME</t>
    </r>
  </si>
  <si>
    <r>
      <t xml:space="preserve">Serviços de manutenção preventiva e corretiva de aparelhos de ar condicionado 
</t>
    </r>
    <r>
      <rPr>
        <b/>
        <sz val="10"/>
        <color rgb="FF0033CC"/>
        <rFont val="Calibri"/>
        <family val="2"/>
        <scheme val="minor"/>
      </rPr>
      <t>CT-00024/2016-UGPE-RODRIGO BATISTA DE CASTRO &amp; CIA LTDA - ME</t>
    </r>
  </si>
  <si>
    <r>
      <t xml:space="preserve">Reestruturação do servidor de armazenamento da UGPE
</t>
    </r>
    <r>
      <rPr>
        <b/>
        <sz val="10"/>
        <color rgb="FF0033CC"/>
        <rFont val="Calibri"/>
        <family val="2"/>
        <scheme val="minor"/>
      </rPr>
      <t>CT-00019/2016-UGPE- IT2B TECNOLOGIA E SERVIÇOS LTDA</t>
    </r>
  </si>
  <si>
    <r>
      <t xml:space="preserve">UGPE: Desenvolvimento do Módulo de Planejamento do Sistema Integrado de Gestão do PROSAMIM (SIGPRO) - CT-004/2011 -  Reconhecimento
</t>
    </r>
    <r>
      <rPr>
        <b/>
        <sz val="10"/>
        <color rgb="FF0033CC"/>
        <rFont val="Calibri"/>
        <family val="2"/>
        <scheme val="minor"/>
      </rPr>
      <t>004/2011-PROCESSAMENTO DE DADOS AMAZONAS S.A. - PRODAM</t>
    </r>
  </si>
  <si>
    <r>
      <t xml:space="preserve">Prestação de Serviços de Agenciamento de Viagens com Fornecimento de Bilhetes de Passagens Aéreas, no âmbito Nacional e Internacional.
</t>
    </r>
    <r>
      <rPr>
        <b/>
        <sz val="10"/>
        <color rgb="FF0033CC"/>
        <rFont val="Calibri"/>
        <family val="2"/>
        <scheme val="minor"/>
      </rPr>
      <t>006/2007-UGPI -OCA - VIAG. TUR. DA AMAZONIA LTDA</t>
    </r>
  </si>
  <si>
    <r>
      <t xml:space="preserve">Prestação de Serviços de Agenciamento de Viagens com Fornecimento de Bilhetes de Passagens Aéreas, no âmbito Nacional e Internacional.
</t>
    </r>
    <r>
      <rPr>
        <b/>
        <sz val="10"/>
        <color rgb="FF0033CC"/>
        <rFont val="Calibri"/>
        <family val="2"/>
        <scheme val="minor"/>
      </rPr>
      <t>025102UGPI - Unidade de Gerenciamento do Prosamim</t>
    </r>
  </si>
  <si>
    <r>
      <t xml:space="preserve">Prestação de Serviços de Agenciamento de Viagens com Fornecimento de Bilhetes de Passagens Aéreas, no âmbito Nacional e Internacional.
</t>
    </r>
    <r>
      <rPr>
        <b/>
        <sz val="10"/>
        <color rgb="FF0033CC"/>
        <rFont val="Calibri"/>
        <family val="2"/>
        <scheme val="minor"/>
      </rPr>
      <t>3339014(class. no AFI)-UGPI - Unidade de Gerenciamento do Prosamim</t>
    </r>
  </si>
  <si>
    <r>
      <t xml:space="preserve">UGPE: Assessoramento Técnico para realização da Avaliação de Meio Termo do Programa
</t>
    </r>
    <r>
      <rPr>
        <b/>
        <sz val="10"/>
        <color rgb="FF0033CC"/>
        <rFont val="Calibri"/>
        <family val="2"/>
        <scheme val="minor"/>
      </rPr>
      <t>CT-00005/2014-UGPI-ANTÔNIO CARLOS TATIT HOLTZ</t>
    </r>
  </si>
  <si>
    <r>
      <t xml:space="preserve">Apoio ao Seminário de Nivelamento UGPE
</t>
    </r>
    <r>
      <rPr>
        <b/>
        <sz val="10"/>
        <color rgb="FF0033CC"/>
        <rFont val="Calibri"/>
        <family val="2"/>
        <scheme val="minor"/>
      </rPr>
      <t>CT-00006/2015-UGPE-MARIA EUGENIA BELCZAK COSTA</t>
    </r>
  </si>
  <si>
    <r>
      <t xml:space="preserve">Contratação para elaboração do Manual de Manutenção definindo a modalidade da manutenção para as diversas tipologia de obras e de bens adquiridos pelo PROGRAMA, incluindo orçamento anual necessário a estas manutenções.
</t>
    </r>
    <r>
      <rPr>
        <b/>
        <sz val="10"/>
        <color rgb="FF0033CC"/>
        <rFont val="Calibri"/>
        <family val="2"/>
        <scheme val="minor"/>
      </rPr>
      <t>CT-00009/2015-UGPE-R. MAIA RODRIGUES</t>
    </r>
  </si>
  <si>
    <r>
      <t xml:space="preserve">Aquisição de Arquivos Deslizantes para UGPE
</t>
    </r>
    <r>
      <rPr>
        <b/>
        <sz val="10"/>
        <color rgb="FF0033CC"/>
        <rFont val="Calibri"/>
        <family val="2"/>
        <scheme val="minor"/>
      </rPr>
      <t>CT-00011/2014-UGPI-TECNOLACH INDUSTRIAL LTDA</t>
    </r>
  </si>
  <si>
    <r>
      <t xml:space="preserve">Aquisição de Mobiliários para UGPE (mesas, armários, sofás e poltronas)
</t>
    </r>
    <r>
      <rPr>
        <b/>
        <sz val="10"/>
        <color rgb="FF0033CC"/>
        <rFont val="Calibri"/>
        <family val="2"/>
        <scheme val="minor"/>
      </rPr>
      <t>CT-00012/2014-UGPI-HOMEOFFICE MÓVEIS LTDA - ME</t>
    </r>
  </si>
  <si>
    <r>
      <t xml:space="preserve">Aquisição de Mobiliários para UGPE (mesas, armários, sofás e poltronas)
</t>
    </r>
    <r>
      <rPr>
        <b/>
        <sz val="10"/>
        <color rgb="FF0033CC"/>
        <rFont val="Calibri"/>
        <family val="2"/>
        <scheme val="minor"/>
      </rPr>
      <t>CT-00013/2014-UGPI-SEDUTE COMÉRCIO DE MÓVEIS LTDA - EPP</t>
    </r>
  </si>
  <si>
    <r>
      <t xml:space="preserve">UGPE: Aquisição de Aparelhos de Ar Condicionado
</t>
    </r>
    <r>
      <rPr>
        <b/>
        <sz val="10"/>
        <color rgb="FF0033CC"/>
        <rFont val="Calibri"/>
        <family val="2"/>
        <scheme val="minor"/>
      </rPr>
      <t>NE-00052/2016-UGPE-A DOS S ANDRADE-EPP</t>
    </r>
  </si>
  <si>
    <r>
      <t xml:space="preserve">UGPE: Aquisição de Equipamentos de Informática
</t>
    </r>
    <r>
      <rPr>
        <b/>
        <sz val="10"/>
        <color rgb="FF0033CC"/>
        <rFont val="Calibri"/>
        <family val="2"/>
        <scheme val="minor"/>
      </rPr>
      <t>NE-00056/2016-UGPE-INFO STORE COMPUTADORES DA AMAZÔNIA LTDA</t>
    </r>
  </si>
  <si>
    <r>
      <t xml:space="preserve">UGPE: Cursos de Capacitação e Treinamento para Técnicos do Programa
</t>
    </r>
    <r>
      <rPr>
        <b/>
        <sz val="10"/>
        <color rgb="FF0033CC"/>
        <rFont val="Calibri"/>
        <family val="2"/>
        <scheme val="minor"/>
      </rPr>
      <t>NE-00168/2016-UGPE-QUALYNORTE CONSULTORIA E TREINAMENTO</t>
    </r>
  </si>
  <si>
    <r>
      <t xml:space="preserve">Aquisição de Equipamentos de Informática
</t>
    </r>
    <r>
      <rPr>
        <b/>
        <sz val="10"/>
        <color rgb="FF0033CC"/>
        <rFont val="Calibri"/>
        <family val="2"/>
        <scheme val="minor"/>
      </rPr>
      <t>NE-00236/2014-UGPI-VJ INFORMÁTICA LTDA - EPP</t>
    </r>
  </si>
  <si>
    <r>
      <t xml:space="preserve">UGPE: Cursos de Capacitação e Treinamento para Técnicos do Programa
</t>
    </r>
    <r>
      <rPr>
        <b/>
        <sz val="10"/>
        <color rgb="FF0033CC"/>
        <rFont val="Calibri"/>
        <family val="2"/>
        <scheme val="minor"/>
      </rPr>
      <t>NE-00238/2016-UGPE-NEW ROADS ENGENHARIA E CONSULTORIA LTDA</t>
    </r>
  </si>
  <si>
    <r>
      <t xml:space="preserve">UGPE: Cursos de Capacitação e Treinamento para Técnicos do Programa
</t>
    </r>
    <r>
      <rPr>
        <b/>
        <sz val="10"/>
        <color rgb="FF0033CC"/>
        <rFont val="Calibri"/>
        <family val="2"/>
        <scheme val="minor"/>
      </rPr>
      <t>NE-00240/2016-UGPE-OPEN TREINAMENTOS EMPRESARIAIS LTDA</t>
    </r>
  </si>
  <si>
    <r>
      <t xml:space="preserve">Equipamentos energéticos no break para suporte do servidor
</t>
    </r>
    <r>
      <rPr>
        <b/>
        <sz val="10"/>
        <color rgb="FF0033CC"/>
        <rFont val="Calibri"/>
        <family val="2"/>
        <scheme val="minor"/>
      </rPr>
      <t>NE-00320/2014-UGPI-GL ELETRO ELETRÔNICOS LTDA.</t>
    </r>
  </si>
  <si>
    <r>
      <t xml:space="preserve">UGPE: Bens (Maquinas, Aparelhos, Equipamentos, Mobiliários e Softwares) para UGPE.
UGPE: Microcomputadores para sede e Escritórios locais (Elos)
</t>
    </r>
    <r>
      <rPr>
        <b/>
        <sz val="10"/>
        <color rgb="FF0033CC"/>
        <rFont val="Calibri"/>
        <family val="2"/>
        <scheme val="minor"/>
      </rPr>
      <t>NE - 312-GBR COMPONENTES DA AMAZONIA LTDA</t>
    </r>
  </si>
  <si>
    <r>
      <t xml:space="preserve">UGPE: Bens (Maquinas, Aparelhos, Equipamentos, Mobiliários e Softwares) para UGPE.
UGPE: Microcomputadores para sede e Escritórios locais (Elos)
</t>
    </r>
    <r>
      <rPr>
        <b/>
        <sz val="10"/>
        <color rgb="FF0033CC"/>
        <rFont val="Calibri"/>
        <family val="2"/>
        <scheme val="minor"/>
      </rPr>
      <t>NE - 317-GBR COMPONENTES DA AMAZONIA LTDA</t>
    </r>
  </si>
  <si>
    <r>
      <t xml:space="preserve">Gerenciamento PROSAMIM Contrato  001/2010 adjudicado no âmbito do 2006/OC-BR 
</t>
    </r>
    <r>
      <rPr>
        <b/>
        <sz val="10"/>
        <color rgb="FF0033CC"/>
        <rFont val="Calibri"/>
        <family val="2"/>
        <scheme val="minor"/>
      </rPr>
      <t>001/2010 - UGPI-ENGEVIX ENGENHARIA S/A.</t>
    </r>
  </si>
  <si>
    <r>
      <t xml:space="preserve">UGPE: Supervisão das Obras da Sub-bacia do Igarapé do São Raimundo
</t>
    </r>
    <r>
      <rPr>
        <b/>
        <sz val="10"/>
        <color rgb="FF0033CC"/>
        <rFont val="Calibri"/>
        <family val="2"/>
        <scheme val="minor"/>
      </rPr>
      <t>028/2009 - UGPI-QUANTA CONSULTORIA LTDA.</t>
    </r>
  </si>
  <si>
    <r>
      <t xml:space="preserve">Estudos e Projetos Complementares Saldo do Contrato 026/2009 - Concremat com Origem no Contrato de Empréstimo 2006/OC-BR. - Normal e Reconhecimento
</t>
    </r>
    <r>
      <rPr>
        <b/>
        <sz val="10"/>
        <color rgb="FF0033CC"/>
        <rFont val="Calibri"/>
        <family val="2"/>
        <scheme val="minor"/>
      </rPr>
      <t>026/2009 - UGPI-CONCREMAT ENGENHARIA E TECNOLOGIA S.A</t>
    </r>
  </si>
  <si>
    <r>
      <t xml:space="preserve">Patologia Estrutural
</t>
    </r>
    <r>
      <rPr>
        <b/>
        <sz val="10"/>
        <color rgb="FF0033CC"/>
        <rFont val="Calibri"/>
        <family val="2"/>
        <scheme val="minor"/>
      </rPr>
      <t>CT-00003/2016-UGPE-PAULO ROBERTO IOPPI</t>
    </r>
  </si>
  <si>
    <r>
      <t xml:space="preserve">Consultoria para passivos  ambientais das obras do PROSAMIM 
</t>
    </r>
    <r>
      <rPr>
        <b/>
        <sz val="10"/>
        <color rgb="FF0033CC"/>
        <rFont val="Calibri"/>
        <family val="2"/>
        <scheme val="minor"/>
      </rPr>
      <t>CT-00008/2014-UGPI-STEFAN FRIEDRICH KEPPLER</t>
    </r>
  </si>
  <si>
    <r>
      <t xml:space="preserve">Consultoria para Projeto de Tratamento do solo (Reflorestamento)
</t>
    </r>
    <r>
      <rPr>
        <b/>
        <sz val="10"/>
        <color rgb="FF0033CC"/>
        <rFont val="Calibri"/>
        <family val="2"/>
        <scheme val="minor"/>
      </rPr>
      <t>CT-00030/2016-UGPE-BRUNO ADAN SAGRATZKI CAVERO</t>
    </r>
  </si>
  <si>
    <r>
      <t xml:space="preserve">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
</t>
    </r>
    <r>
      <rPr>
        <b/>
        <sz val="10"/>
        <color rgb="FF0033CC"/>
        <rFont val="Calibri"/>
        <family val="2"/>
        <scheme val="minor"/>
      </rPr>
      <t>CT-00009/2014-UGPI-JOÃO TITO BORGES</t>
    </r>
  </si>
  <si>
    <r>
      <t xml:space="preserve">Estudos e Projetos Complementares - </t>
    </r>
    <r>
      <rPr>
        <sz val="10"/>
        <color rgb="FFFF0000"/>
        <rFont val="Calibri"/>
        <family val="2"/>
        <scheme val="minor"/>
      </rPr>
      <t>Saldo 
Jandira zerou</t>
    </r>
  </si>
  <si>
    <r>
      <t xml:space="preserve">Consultoria em Gestão de Recursos Hídricos
</t>
    </r>
    <r>
      <rPr>
        <b/>
        <sz val="10"/>
        <color rgb="FF0033CC"/>
        <rFont val="Calibri"/>
        <family val="2"/>
        <scheme val="minor"/>
      </rPr>
      <t>CT-00020/2016-UGPE-BRUNO ADAN SAGRATZKI CAVERO</t>
    </r>
  </si>
  <si>
    <r>
      <t xml:space="preserve">Consultoria em Ecossistemas
</t>
    </r>
    <r>
      <rPr>
        <b/>
        <sz val="10"/>
        <color rgb="FF0033CC"/>
        <rFont val="Calibri"/>
        <family val="2"/>
        <scheme val="minor"/>
      </rPr>
      <t>CT-00021/2016-UGPE-POHOLL ADAN SAGRATZKI CAVERO</t>
    </r>
  </si>
  <si>
    <r>
      <t xml:space="preserve">Consultoria em Macrodrenagem
</t>
    </r>
    <r>
      <rPr>
        <b/>
        <sz val="10"/>
        <color rgb="FF0033CC"/>
        <rFont val="Calibri"/>
        <family val="2"/>
        <scheme val="minor"/>
      </rPr>
      <t xml:space="preserve">CT- 00023/2016-UGPE - NILTON DE SOUZA CAMPELO </t>
    </r>
  </si>
  <si>
    <r>
      <t xml:space="preserve">Consultoria em Direito Ambiental
</t>
    </r>
    <r>
      <rPr>
        <b/>
        <sz val="10"/>
        <color rgb="FF0033CC"/>
        <rFont val="Calibri"/>
        <family val="2"/>
        <scheme val="minor"/>
      </rPr>
      <t xml:space="preserve">CT- 00031/2016-UGPE - RODRIGO OLIVEIRA </t>
    </r>
  </si>
  <si>
    <r>
      <t xml:space="preserve">Aquisição de lâmpadas eficientes (LED) e redistribuição do quadro de energia elétrica
</t>
    </r>
    <r>
      <rPr>
        <b/>
        <sz val="10"/>
        <color rgb="FF0033CC"/>
        <rFont val="Calibri"/>
        <family val="2"/>
        <scheme val="minor"/>
      </rPr>
      <t>NE-00403/2016-UGPE -  BORSATTO E SILVA SEGURANÇA ELETRÔNICA</t>
    </r>
  </si>
  <si>
    <r>
      <t xml:space="preserve">Aquisição de lâmpadas eficientes (LED) e redistribuição do quadro de energia elétrica
</t>
    </r>
    <r>
      <rPr>
        <b/>
        <sz val="10"/>
        <color rgb="FF0033CC"/>
        <rFont val="Calibri"/>
        <family val="2"/>
        <scheme val="minor"/>
      </rPr>
      <t>NE-00404/2016-UGPE -  BORSATTO E SILVA SEGURANÇA ELETRÔNICA</t>
    </r>
  </si>
  <si>
    <r>
      <t xml:space="preserve">UGPE: Obras de recuperação ambiental e requalificação urbanística no Igarapé São Raimundo, margens esquerda e direita e implantação de Sistemas de Esgotamento Sanitário na sub bacia do Igarapé.
</t>
    </r>
    <r>
      <rPr>
        <b/>
        <sz val="10"/>
        <color rgb="FF0033CC"/>
        <rFont val="Calibri"/>
        <family val="2"/>
        <scheme val="minor"/>
      </rPr>
      <t>CT-00004/2012-UGPI-CONSTRUTORA ANDRADE GUTIERREZ</t>
    </r>
  </si>
  <si>
    <r>
      <t xml:space="preserve">Reassent. - Auxílio Moradia
</t>
    </r>
    <r>
      <rPr>
        <b/>
        <sz val="10"/>
        <color rgb="FF0033CC"/>
        <rFont val="Calibri"/>
        <family val="2"/>
        <scheme val="minor"/>
      </rPr>
      <t>SUHAB (AUXÍLIO MORADIA)</t>
    </r>
  </si>
  <si>
    <r>
      <t xml:space="preserve">Recursos para aplicação no reassentamento do PROSAMIM II
</t>
    </r>
    <r>
      <rPr>
        <b/>
        <sz val="10"/>
        <color rgb="FF0033CC"/>
        <rFont val="Calibri"/>
        <family val="2"/>
        <scheme val="minor"/>
      </rPr>
      <t>SUHAB (BOLSA MORADIA TRANSITÓRIA)</t>
    </r>
  </si>
  <si>
    <r>
      <t xml:space="preserve">Verba para reassentamento - Bônus Moradia
</t>
    </r>
    <r>
      <rPr>
        <b/>
        <sz val="10"/>
        <color rgb="FF0033CC"/>
        <rFont val="Calibri"/>
        <family val="2"/>
        <scheme val="minor"/>
      </rPr>
      <t>SUHAB (BÔNUS MORADIA)</t>
    </r>
  </si>
  <si>
    <r>
      <t xml:space="preserve">Verba para reassentamento - Cheque Moradia
</t>
    </r>
    <r>
      <rPr>
        <b/>
        <sz val="10"/>
        <color rgb="FF0033CC"/>
        <rFont val="Calibri"/>
        <family val="2"/>
        <scheme val="minor"/>
      </rPr>
      <t>SUHAB (CHEQUE MORADIA)</t>
    </r>
  </si>
  <si>
    <r>
      <t xml:space="preserve">Reassent. - Indenizações
</t>
    </r>
    <r>
      <rPr>
        <b/>
        <sz val="10"/>
        <color rgb="FF0033CC"/>
        <rFont val="Calibri"/>
        <family val="2"/>
        <scheme val="minor"/>
      </rPr>
      <t>SUHAB (INDENIZAÇÕES)</t>
    </r>
  </si>
  <si>
    <r>
      <t>Apoio a Campanhas Estratégias na área de educação em saúde e mobilização social, destacando-se as brigadas institucionais contra o Aedes aegypit, visita casa a casa, com déficit de material educativo para atender a demanda da Capital e do Interior do Estado (impressos, camisetas, botons, cartilhas, folderes, cartazes etc.)</t>
    </r>
    <r>
      <rPr>
        <b/>
        <sz val="10"/>
        <color rgb="FF0033CC"/>
        <rFont val="Calibri"/>
        <family val="2"/>
        <scheme val="minor"/>
      </rPr>
      <t>NE-00213/2016-FM INDÚSTRIA GRÁFICA E LOCAÇÃO DE MÁQUINAS E EQUIPAMENTOS LTDA</t>
    </r>
  </si>
  <si>
    <r>
      <t xml:space="preserve">PGE:  Eletrodoméstico
</t>
    </r>
    <r>
      <rPr>
        <b/>
        <sz val="10"/>
        <color rgb="FF0033CC"/>
        <rFont val="Calibri"/>
        <family val="2"/>
        <scheme val="minor"/>
      </rPr>
      <t>NE-00237/2014-UGPI-HEXIUM IMPORTADORA E EXPORTADORA</t>
    </r>
  </si>
  <si>
    <r>
      <t xml:space="preserve">Locação de equipamento veicular para aplicação de inseticidas ("motofog" - durante 6 meses)
</t>
    </r>
    <r>
      <rPr>
        <b/>
        <sz val="10"/>
        <color rgb="FF0033CC"/>
        <rFont val="Calibri"/>
        <family val="2"/>
        <scheme val="minor"/>
      </rPr>
      <t>NE-0013/2016-UGPE-RM NAVECA - EPP</t>
    </r>
  </si>
  <si>
    <r>
      <t xml:space="preserve">Aquisição de equipamentos de aplicação de inseticidas a UBV portáteis
</t>
    </r>
    <r>
      <rPr>
        <b/>
        <sz val="10"/>
        <color rgb="FF0033CC"/>
        <rFont val="Calibri"/>
        <family val="2"/>
        <scheme val="minor"/>
      </rPr>
      <t>NE-00254/2016-UGPE-RM NAVECA - EPP</t>
    </r>
  </si>
  <si>
    <r>
      <t xml:space="preserve">Aquisição de equipamentos de aplicação de inseticidas a UBV portáteis
</t>
    </r>
    <r>
      <rPr>
        <b/>
        <sz val="10"/>
        <color rgb="FF0033CC"/>
        <rFont val="Calibri"/>
        <family val="2"/>
        <scheme val="minor"/>
      </rPr>
      <t>NE-00272/2016-UGPE-ST IRAJÁ AGRÍCOLA LTDA.</t>
    </r>
  </si>
  <si>
    <r>
      <t xml:space="preserve">Aquisição de inseticidas para controle vetorial - larvicida pyryproxifen
</t>
    </r>
    <r>
      <rPr>
        <b/>
        <sz val="10"/>
        <color rgb="FF0033CC"/>
        <rFont val="Calibri"/>
        <family val="2"/>
        <scheme val="minor"/>
      </rPr>
      <t>NE-00280/2016-UGPE-ST IRAJÁ AGRÍCOLA LTDA</t>
    </r>
    <r>
      <rPr>
        <sz val="10"/>
        <rFont val="Calibri"/>
        <family val="2"/>
        <scheme val="minor"/>
      </rPr>
      <t>.</t>
    </r>
  </si>
  <si>
    <r>
      <t xml:space="preserve">Aquisição de equipamentos de aplicação de inseticidas a UBV veicular </t>
    </r>
    <r>
      <rPr>
        <b/>
        <sz val="10"/>
        <color rgb="FFFF0000"/>
        <rFont val="Calibri"/>
        <family val="2"/>
        <scheme val="minor"/>
      </rPr>
      <t>(Sem veículo)</t>
    </r>
    <r>
      <rPr>
        <b/>
        <sz val="10"/>
        <color rgb="FF0033CC"/>
        <rFont val="Calibri"/>
        <family val="2"/>
        <scheme val="minor"/>
      </rPr>
      <t xml:space="preserve">
NE-00381/2016-UGPE-ST IRAJÁ AGRÍCOLA LTDA.</t>
    </r>
  </si>
  <si>
    <r>
      <t xml:space="preserve">UGPE/PCS: Contratação de Empresa para realização de Clippagem e Cobertura Fotográfica
</t>
    </r>
    <r>
      <rPr>
        <b/>
        <sz val="10"/>
        <color rgb="FF0033CC"/>
        <rFont val="Calibri"/>
        <family val="2"/>
        <scheme val="minor"/>
      </rPr>
      <t>CT-00025/2016-UGPE - GRUPO MÍDIA PUBLICIDADE</t>
    </r>
  </si>
  <si>
    <r>
      <t xml:space="preserve">UGPE: Avaliação e Monitoramento
</t>
    </r>
    <r>
      <rPr>
        <b/>
        <sz val="10"/>
        <color rgb="FF0033CC"/>
        <rFont val="Calibri"/>
        <family val="2"/>
        <scheme val="minor"/>
      </rPr>
      <t>CT- 008/2016 - Laghi Engenharia LTDA</t>
    </r>
  </si>
  <si>
    <r>
      <t xml:space="preserve">Custos Financeiros
</t>
    </r>
    <r>
      <rPr>
        <b/>
        <sz val="10"/>
        <color rgb="FF0033CC"/>
        <rFont val="Calibri"/>
        <family val="2"/>
        <scheme val="minor"/>
      </rPr>
      <t>2676/OC-BR-BANCO INTERAMERICANO DE DESENVOLVIMENTO</t>
    </r>
  </si>
  <si>
    <t>ORÇAMENTO VIGENTE
(A)</t>
  </si>
  <si>
    <t>CATEGORIAS/ COMPONENTE</t>
  </si>
  <si>
    <t>OLHAR PRECOS LICITAÇÕ / CONTRATO</t>
  </si>
  <si>
    <r>
      <t xml:space="preserve">parate 15.000000 - Ações Complementares PROSAMIM II
</t>
    </r>
    <r>
      <rPr>
        <b/>
        <sz val="10"/>
        <color rgb="FF0033CC"/>
        <rFont val="Calibri"/>
        <family val="2"/>
        <scheme val="minor"/>
      </rPr>
      <t>024/2009 - UGPI-CONSTRUTORA ANDRADE GUTIERREZ S/A</t>
    </r>
  </si>
  <si>
    <t>orçamento projeto</t>
  </si>
  <si>
    <t>acordado BID nov/2015</t>
  </si>
  <si>
    <t>Esgoto PI</t>
  </si>
  <si>
    <t>Esgoto P  II</t>
  </si>
  <si>
    <t xml:space="preserve"> 3.24</t>
  </si>
  <si>
    <t>novo</t>
  </si>
  <si>
    <t>ORÇAMENTO PROPOSTO
(A)</t>
  </si>
  <si>
    <t>ORÇAMENTO ESTIMADO - PROSAMIM III</t>
  </si>
  <si>
    <t>PROJEÇÃO
(principal)
(R$)</t>
  </si>
  <si>
    <t>Obras de  recuperação dos  passivos identificados na infraestrutura das Quadras Bairro do PROSAMIM I e PROSAMIM II Grandes Reparos</t>
  </si>
  <si>
    <t>UEA -Qualidade das àguas</t>
  </si>
  <si>
    <t>PROJEÇÃO
(REAJUSTE)
(R$)</t>
  </si>
  <si>
    <t>PROJEÇÃO
(PRINCIPAL + Reajuste)
(R$)</t>
  </si>
  <si>
    <t>A Pagar Pincipal + Projeções
R$</t>
  </si>
  <si>
    <t>Executado</t>
  </si>
  <si>
    <t>A executar (inclui contigências)</t>
  </si>
  <si>
    <t>Orçamento Original</t>
  </si>
  <si>
    <t>RESUMO</t>
  </si>
  <si>
    <t>Orçamento Executado + a executar</t>
  </si>
  <si>
    <t xml:space="preserve"> CONTRATO EM EXECUÇÃO + PROJEÇÃO</t>
  </si>
  <si>
    <t>CONTRATOS ENCERRADOS</t>
  </si>
  <si>
    <t>CONTRATO EM EXECUÇÃO + PROJEÇÃO</t>
  </si>
  <si>
    <r>
      <t xml:space="preserve">Reassent. - Auxílio Moradia
</t>
    </r>
    <r>
      <rPr>
        <b/>
        <sz val="10"/>
        <color rgb="FF0033CC"/>
        <rFont val="Cambria"/>
        <family val="1"/>
      </rPr>
      <t>SUHAB (AUXÍLIO MORADIA)</t>
    </r>
  </si>
  <si>
    <r>
      <t xml:space="preserve">Recursos para aplicação no reassentamento do PROSAMIM II
</t>
    </r>
    <r>
      <rPr>
        <b/>
        <sz val="10"/>
        <color rgb="FF0033CC"/>
        <rFont val="Cambria"/>
        <family val="1"/>
      </rPr>
      <t>SUHAB (BOLSA MORADIA TRANSITÓRIA)</t>
    </r>
  </si>
  <si>
    <r>
      <t xml:space="preserve">Verba para reassentamento - Bônus Moradia
</t>
    </r>
    <r>
      <rPr>
        <b/>
        <sz val="10"/>
        <color rgb="FF0033CC"/>
        <rFont val="Cambria"/>
        <family val="1"/>
      </rPr>
      <t>SUHAB (BÔNUS MORADIA)</t>
    </r>
  </si>
  <si>
    <r>
      <t xml:space="preserve">Verba para reassentamento - Cheque Moradia
</t>
    </r>
    <r>
      <rPr>
        <b/>
        <sz val="10"/>
        <color rgb="FF0033CC"/>
        <rFont val="Cambria"/>
        <family val="1"/>
      </rPr>
      <t>SUHAB (CHEQUE MORADIA)</t>
    </r>
  </si>
  <si>
    <r>
      <t xml:space="preserve">Reassent. - Indenizações
</t>
    </r>
    <r>
      <rPr>
        <b/>
        <sz val="10"/>
        <color rgb="FF0033CC"/>
        <rFont val="Cambria"/>
        <family val="1"/>
      </rPr>
      <t>SUHAB (INDENIZAÇÕES)</t>
    </r>
  </si>
  <si>
    <r>
      <t xml:space="preserve">PGE: Assinatura de periódicos e revistas jurídicas
</t>
    </r>
    <r>
      <rPr>
        <b/>
        <sz val="11"/>
        <color rgb="FF0033CC"/>
        <rFont val="Cambria"/>
        <family val="1"/>
      </rPr>
      <t>NE-00039/2015-UGPE-ZENITE INFORMAÇÃO E CONSULTORIA S/A</t>
    </r>
  </si>
  <si>
    <r>
      <t xml:space="preserve">Aquisição de capas para cobertura de reservatórios de armazenamento de água (cobertura de caixas D’água; tambores etc)
</t>
    </r>
    <r>
      <rPr>
        <b/>
        <sz val="11"/>
        <color rgb="FF0033CC"/>
        <rFont val="Cambria"/>
        <family val="1"/>
      </rPr>
      <t>NE-00233/2016-UGPE-JJ COMÉRCIO DE BORRACHA LTDA</t>
    </r>
  </si>
  <si>
    <r>
      <t>Aquisição de repelente para distribuição à mulher, principalmente gestante de baixa renda, inserida na atenção ao pré-natal.</t>
    </r>
    <r>
      <rPr>
        <b/>
        <sz val="11"/>
        <color rgb="FF0033CC"/>
        <rFont val="Cambria"/>
        <family val="1"/>
      </rPr>
      <t xml:space="preserve">
NE-00235/2016-UGPE-RM NAVECA - EPP</t>
    </r>
  </si>
  <si>
    <r>
      <t xml:space="preserve">PGE:  Eletrodoméstico
</t>
    </r>
    <r>
      <rPr>
        <b/>
        <sz val="10"/>
        <color rgb="FF0033CC"/>
        <rFont val="Cambria"/>
        <family val="1"/>
      </rPr>
      <t>NE-00237/2014-UGPI-HEXIUM IMPORTADORA E EXPORTADORA</t>
    </r>
  </si>
  <si>
    <r>
      <t xml:space="preserve">Aquisição de fardamento e kits de equipamentos de proteção individual para ações de controle vetorial
</t>
    </r>
    <r>
      <rPr>
        <b/>
        <sz val="10"/>
        <color rgb="FF0033CC"/>
        <rFont val="Cambria"/>
        <family val="1"/>
      </rPr>
      <t>NE-00214/2016-UGPE-NASSER INDÚSTRIA E COMÉRCIO DE
CONFECÇÕES LTDA</t>
    </r>
  </si>
  <si>
    <r>
      <t xml:space="preserve">Aquisição de escadas para acesso a locais de difícil acesso
</t>
    </r>
    <r>
      <rPr>
        <b/>
        <sz val="11"/>
        <color rgb="FF0033CC"/>
        <rFont val="Cambria"/>
        <family val="1"/>
      </rPr>
      <t>NE-00232/2016-UGPE-JJ COMÉRCIO DE BORRACHA LTDA</t>
    </r>
  </si>
  <si>
    <r>
      <t xml:space="preserve">Consultoria para Apoio à Estruturação e Desenvolvimento de Modelos Alternativos de aliança Público Privada (Sociais), para a promoção de Parceria Público Privada e/ou Compartilhada de Parques e Praças (áreas urbanizadas dos Igarapés)
</t>
    </r>
    <r>
      <rPr>
        <b/>
        <sz val="10"/>
        <color rgb="FF0033CC"/>
        <rFont val="Cambria"/>
        <family val="1"/>
      </rPr>
      <t>CT-00001/2014-UGPI-INSTITUTO BRASILEIRO DE ADMINISTRAÇÃO</t>
    </r>
  </si>
  <si>
    <r>
      <t>Apoio a Campanhas Estratégias na área de educação em saúde e mobilização social, destacando-se as brigadas institucionais contra o Aedes aegypit, visita casa a casa, com déficit de material educativo para atender a demanda da Capital e do Interior do Estado (impressos, camisetas, botons, cartilhas, folderes, cartazes etc.)</t>
    </r>
    <r>
      <rPr>
        <b/>
        <sz val="10"/>
        <color rgb="FF0033CC"/>
        <rFont val="Cambria"/>
        <family val="1"/>
      </rPr>
      <t>NE-00213/2016-FM INDÚSTRIA GRÁFICA E LOCAÇÃO DE MÁQUINAS E EQUIPAMENTOS LTDA</t>
    </r>
  </si>
  <si>
    <r>
      <t xml:space="preserve">Aquisição de equipamentos de aplicação de inseticidas a UBV portáteis
</t>
    </r>
    <r>
      <rPr>
        <b/>
        <sz val="10"/>
        <color rgb="FF0033CC"/>
        <rFont val="Cambria"/>
        <family val="1"/>
      </rPr>
      <t>NE-00254/2016-UGPE-RM NAVECA - EPP</t>
    </r>
  </si>
  <si>
    <r>
      <t xml:space="preserve">Aquisição de equipamentos de aplicação de inseticidas a UBV portáteis
</t>
    </r>
    <r>
      <rPr>
        <b/>
        <sz val="10"/>
        <color rgb="FF0033CC"/>
        <rFont val="Cambria"/>
        <family val="1"/>
      </rPr>
      <t>NE-00272/2016-UGPE-ST IRAJÁ AGRÍCOLA LTDA.</t>
    </r>
  </si>
  <si>
    <r>
      <t xml:space="preserve">Aquisição de inseticidas para controle vetorial - larvicida pyryproxifen
</t>
    </r>
    <r>
      <rPr>
        <b/>
        <sz val="10"/>
        <color rgb="FF0033CC"/>
        <rFont val="Cambria"/>
        <family val="1"/>
      </rPr>
      <t>NE-00280/2016-UGPE-ST IRAJÁ AGRÍCOLA LTDA</t>
    </r>
    <r>
      <rPr>
        <sz val="10"/>
        <rFont val="Cambria"/>
        <family val="1"/>
      </rPr>
      <t>.</t>
    </r>
  </si>
  <si>
    <r>
      <t xml:space="preserve">UGPE/PSSA: Produção de material gráfico para o projeto de Sustentabilidade Social e Plano de Comunicação do Programa: folders; cartilhas; cartazes; panfletos; faixas; revistas; manuais; certificados; pastas; sacolas; e outros 
</t>
    </r>
    <r>
      <rPr>
        <b/>
        <sz val="10"/>
        <color rgb="FF0033CC"/>
        <rFont val="Cambria"/>
        <family val="1"/>
      </rPr>
      <t>CT-00002/2015-UGPE-FM INDÚSTRIA GRÁFICA E LOCAÇÃO DE MÁQUINAS E EQUIPAMENTOS LTDA</t>
    </r>
  </si>
  <si>
    <r>
      <t xml:space="preserve">UGPE/PSSA: Apoio na organização e realização de oficinas, reuniões e eventos com os comunitários, durante os processos de remanejamento e pós-remanejamento do Programa
</t>
    </r>
    <r>
      <rPr>
        <b/>
        <sz val="11"/>
        <color rgb="FF0033CC"/>
        <rFont val="Cambria"/>
        <family val="1"/>
      </rPr>
      <t>CT-00006/2014-UGPI-M APOLO M DE ARAÚJO</t>
    </r>
  </si>
  <si>
    <r>
      <t xml:space="preserve">Serviços técnicos com o fornecimento de bens para apoio a implementação e execução do Projeto das Doenças Tropicais Negligenciadas em Manaus-NTD
</t>
    </r>
    <r>
      <rPr>
        <b/>
        <sz val="10"/>
        <color rgb="FF0033CC"/>
        <rFont val="Cambria"/>
        <family val="1"/>
      </rPr>
      <t>CT-00012/2016-UGPE-MG COMÉRCIO MATERIAIS PARA USO</t>
    </r>
  </si>
  <si>
    <r>
      <t xml:space="preserve">Aquisição de equipamentos de aplicação de inseticidas a UBV veicular </t>
    </r>
    <r>
      <rPr>
        <b/>
        <sz val="10"/>
        <color rgb="FFFF0000"/>
        <rFont val="Cambria"/>
        <family val="1"/>
      </rPr>
      <t>(Sem veículo)</t>
    </r>
    <r>
      <rPr>
        <b/>
        <sz val="10"/>
        <color rgb="FF0033CC"/>
        <rFont val="Cambria"/>
        <family val="1"/>
      </rPr>
      <t xml:space="preserve">
NE-00381/2016-UGPE-ST IRAJÁ AGRÍCOLA LTDA.</t>
    </r>
  </si>
  <si>
    <r>
      <t xml:space="preserve">UGPE/PCS: Contratação de Empresa para realização de Clippagem e Cobertura Fotográfica
</t>
    </r>
    <r>
      <rPr>
        <b/>
        <sz val="10"/>
        <color rgb="FF0033CC"/>
        <rFont val="Cambria"/>
        <family val="1"/>
      </rPr>
      <t>CT-00025/2016-UGPE - GRUPO MÍDIA PUBLICIDADE</t>
    </r>
  </si>
  <si>
    <r>
      <t xml:space="preserve">UGPE: Avaliação e Monitoramento
</t>
    </r>
    <r>
      <rPr>
        <b/>
        <sz val="10"/>
        <color rgb="FF0033CC"/>
        <rFont val="Cambria"/>
        <family val="1"/>
      </rPr>
      <t>CT- 008/2016 - Laghi Engenharia LTDA</t>
    </r>
  </si>
  <si>
    <r>
      <t xml:space="preserve">Custos Financeiros
</t>
    </r>
    <r>
      <rPr>
        <b/>
        <sz val="10"/>
        <color rgb="FF0033CC"/>
        <rFont val="Cambria"/>
        <family val="1"/>
      </rPr>
      <t>2676/OC-BR-BANCO INTERAMERICANO DE DESENVOLVIMENTO</t>
    </r>
  </si>
  <si>
    <t>CT- 0013/2016-UGPE</t>
  </si>
  <si>
    <t>NE- 00309/2016-UGPE</t>
  </si>
  <si>
    <t>15/07/2016
a
13/10/2016</t>
  </si>
  <si>
    <t>BRB3394</t>
  </si>
  <si>
    <t>BR 11521</t>
  </si>
  <si>
    <t>25/07/2016
 a
23/10/2016</t>
  </si>
  <si>
    <t>CT-0022/2016-UGPE</t>
  </si>
  <si>
    <t>A Pagar Principal + Projeções
R$</t>
  </si>
  <si>
    <t>A CONTRATAR U. EXECUTORA</t>
  </si>
  <si>
    <t>A CONTRATAR - GERENCIAMENTO SUPERVISÃO</t>
  </si>
  <si>
    <t>A CONTRATAR - ESTUDOS COMPLEMENTARES</t>
  </si>
  <si>
    <t>A CONTRATAR - OBRAS</t>
  </si>
  <si>
    <t>A CONTRATAR - Desenvolvimento Institucional</t>
  </si>
  <si>
    <t>Obras remanescentes do Prosamim I -Recuperação da área de cabeceira do Igarapé Manaus e galeria e no trecho entre Leonardo Malcher e Rua Parintins</t>
  </si>
  <si>
    <r>
      <t xml:space="preserve">CPRM: Revisão/Complementação do Plano de Contingência do Igarapé do Quarenta/Educandos </t>
    </r>
    <r>
      <rPr>
        <b/>
        <sz val="10"/>
        <rFont val="Cambria"/>
        <family val="1"/>
      </rPr>
      <t>(DEFESA CIVIL)</t>
    </r>
  </si>
  <si>
    <t>03/10/2016
a
03/04/2017</t>
  </si>
  <si>
    <t>BR11551</t>
  </si>
  <si>
    <t>BR11544</t>
  </si>
  <si>
    <t>BRB3366</t>
  </si>
  <si>
    <t>BR11552</t>
  </si>
  <si>
    <t>BR11508</t>
  </si>
  <si>
    <t>BRB11507</t>
  </si>
  <si>
    <t>BR11447</t>
  </si>
  <si>
    <t>BRB3403</t>
  </si>
  <si>
    <t>BRB3330</t>
  </si>
  <si>
    <t>CT- 00040/2016-UGPE</t>
  </si>
  <si>
    <t>CONVÊNIO PGE</t>
  </si>
  <si>
    <t>CT- 00039/2016-UGPE</t>
  </si>
  <si>
    <t>01/12/2016
a
30/05/2017</t>
  </si>
  <si>
    <t>01/12/2016
a
01/08/2018</t>
  </si>
  <si>
    <r>
      <t xml:space="preserve">Aquisição de inseticidas para controle vetorial - adulticida malthion
</t>
    </r>
    <r>
      <rPr>
        <b/>
        <sz val="10"/>
        <color rgb="FF0033CC"/>
        <rFont val="Cambria"/>
        <family val="1"/>
      </rPr>
      <t>DISCOL DISTRIBUIDORA DE MATERIAL ESCOLAR TODA-ME</t>
    </r>
  </si>
  <si>
    <t xml:space="preserve">Passivo PROSAMIM II - (Parques Urbanos) </t>
  </si>
  <si>
    <r>
      <t xml:space="preserve">Contratação de Agência/Empresa de Publicidade para:
- UGPE/PCS: Produção de material gráfico e Plano de Comunicação do Programa. - UGPE/PCS: Criação de material gráfico, virtual e mídia eletrônica para o Programa. - UGPE/PCS: Criação, Produção e Veiculação de material de áudio para rádio. - UGPE/PCS: Criação, produção e veiculação de Outdoors para o Programa.
</t>
    </r>
    <r>
      <rPr>
        <b/>
        <sz val="10"/>
        <color rgb="FF0033CC"/>
        <rFont val="Cambria"/>
        <family val="1"/>
      </rPr>
      <t>CT-00010/2016-UGPE-CONSÓRCIO VANGUARDA/PRAIA FILMES</t>
    </r>
  </si>
  <si>
    <t>A executar</t>
  </si>
  <si>
    <t xml:space="preserve">CT-00034/2016-UGPE </t>
  </si>
  <si>
    <t>BR11634</t>
  </si>
  <si>
    <t>BRB3478</t>
  </si>
  <si>
    <t>02/06/2016
a
31/01/2017</t>
  </si>
  <si>
    <t>BR11626</t>
  </si>
  <si>
    <t>Ações de Reassentamento (reembolso)</t>
  </si>
  <si>
    <t>01/11/2016
a
01/12/2016</t>
  </si>
  <si>
    <t>NE- 00504/2016-
UGPE</t>
  </si>
  <si>
    <t>NE-00490/2016-UGPE</t>
  </si>
  <si>
    <t>NE-00368/2016-UGPE</t>
  </si>
  <si>
    <t>Novo Orçamento</t>
  </si>
  <si>
    <t>99.90
99.91
99.92</t>
  </si>
  <si>
    <t>TC-006/2016 - UGPE</t>
  </si>
  <si>
    <t>TC -005/2016 - UGPE</t>
  </si>
  <si>
    <r>
      <t xml:space="preserve">16/05/2016 
 a
</t>
    </r>
    <r>
      <rPr>
        <sz val="7"/>
        <rFont val="Arial"/>
        <family val="2"/>
      </rPr>
      <t>16/03/2017</t>
    </r>
  </si>
  <si>
    <t>NE- 00541/2016- UGPE</t>
  </si>
  <si>
    <r>
      <t xml:space="preserve">Locação de veículos para transporte de equipes de controle vetorial (durante 6 meses)
</t>
    </r>
    <r>
      <rPr>
        <b/>
        <sz val="10"/>
        <color rgb="FF0033CC"/>
        <rFont val="Cambria"/>
        <family val="1"/>
      </rPr>
      <t>CONVÊNIO FVS</t>
    </r>
  </si>
  <si>
    <r>
      <t xml:space="preserve">Aquisição de mosquiteiro impregnado de inseticida de longa duração
</t>
    </r>
    <r>
      <rPr>
        <b/>
        <sz val="10"/>
        <color rgb="FF0033CC"/>
        <rFont val="Cambria"/>
        <family val="1"/>
      </rPr>
      <t>CONVÊNIO FVS</t>
    </r>
  </si>
  <si>
    <r>
      <t xml:space="preserve">Aquisição de kits para armadilhas de oviposição
</t>
    </r>
    <r>
      <rPr>
        <b/>
        <sz val="10"/>
        <color rgb="FF0033CC"/>
        <rFont val="Cambria"/>
        <family val="1"/>
      </rPr>
      <t>IRMÃOS CARNEIRO</t>
    </r>
  </si>
  <si>
    <t>16/05/2016
a
16/03/2017</t>
  </si>
  <si>
    <r>
      <rPr>
        <sz val="9"/>
        <rFont val="Cambria"/>
        <family val="1"/>
      </rPr>
      <t>7.22 SEMULSP: Atualização do Plano Diretor de Resíduos Sólidos do Município de Manaus e Plano de Coleta Seletiva da Cidade de Manaus
7.26 SEMULSP: Melhoria do Sistema de Tecnologia da Informação</t>
    </r>
    <r>
      <rPr>
        <sz val="9"/>
        <color rgb="FF0033CC"/>
        <rFont val="Cambria"/>
        <family val="1"/>
      </rPr>
      <t xml:space="preserve">
</t>
    </r>
    <r>
      <rPr>
        <b/>
        <sz val="9"/>
        <color rgb="FF0033CC"/>
        <rFont val="Cambria"/>
        <family val="1"/>
      </rPr>
      <t>CONVÊNIO SEMULSP</t>
    </r>
  </si>
  <si>
    <r>
      <t xml:space="preserve">SEMMAS: Ampliação da Infraestrutura do centro de triagem de animais silvestres Sauim Castanheiras </t>
    </r>
    <r>
      <rPr>
        <b/>
        <sz val="10"/>
        <rFont val="Cambria"/>
        <family val="1"/>
      </rPr>
      <t>IPAAM</t>
    </r>
  </si>
  <si>
    <r>
      <t xml:space="preserve">Locação de equipamento veicular para aplicação de inseticidas ("motofog" - durante 6 meses)
</t>
    </r>
    <r>
      <rPr>
        <b/>
        <sz val="10"/>
        <color rgb="FF0033CC"/>
        <rFont val="Cambria"/>
        <family val="1"/>
      </rPr>
      <t>CT-0013/2016-UGPE-RM NAVECA - EPP</t>
    </r>
  </si>
  <si>
    <r>
      <rPr>
        <sz val="10"/>
        <rFont val="Cambria"/>
        <family val="1"/>
      </rPr>
      <t>CT- 00006/2014- UGPI</t>
    </r>
  </si>
  <si>
    <t>99.82 a 99.89</t>
  </si>
  <si>
    <t>99.96</t>
  </si>
  <si>
    <t>Apuração das Diferenças - RESUMO</t>
  </si>
  <si>
    <t>SALDO DO PROGRAMA</t>
  </si>
  <si>
    <t>Valor do Contrato P0 + Aditivo
(R$)</t>
  </si>
  <si>
    <r>
      <t xml:space="preserve">UGPE: Desenvolvimento do Módulo de Planejamento do Sistema Integrado de Gestão do PROSAMIM (SIGPRO)  Reconhecimento
</t>
    </r>
    <r>
      <rPr>
        <b/>
        <sz val="13"/>
        <color rgb="FF0033CC"/>
        <rFont val="Cambria"/>
        <family val="1"/>
      </rPr>
      <t>CT:</t>
    </r>
    <r>
      <rPr>
        <sz val="13"/>
        <rFont val="Cambria"/>
        <family val="1"/>
      </rPr>
      <t xml:space="preserve"> </t>
    </r>
    <r>
      <rPr>
        <b/>
        <sz val="13"/>
        <color rgb="FF0033CC"/>
        <rFont val="Cambria"/>
        <family val="1"/>
      </rPr>
      <t>004/2011-PROCESSAMENTO DE DADOS AMAZONAS S.A. - PRODAM</t>
    </r>
  </si>
  <si>
    <r>
      <t xml:space="preserve">Prestação de Serviços de Agenciamento de Viagens com Fornecimento de Bilhetes de Passagens Aéreas, no âmbito Nacional e Internacional.
</t>
    </r>
    <r>
      <rPr>
        <b/>
        <sz val="13"/>
        <color rgb="FF0033CC"/>
        <rFont val="Cambria"/>
        <family val="1"/>
      </rPr>
      <t>006/2007-UGPI -OCA - VIAG. TUR. DA AMAZONIA LTDA</t>
    </r>
  </si>
  <si>
    <r>
      <t xml:space="preserve">Prestação de Serviços de Agenciamento de Viagens com Fornecimento de Bilhetes de Passagens Aéreas, no âmbito Nacional e Internacional.
</t>
    </r>
    <r>
      <rPr>
        <b/>
        <sz val="13"/>
        <color rgb="FF0033CC"/>
        <rFont val="Cambria"/>
        <family val="1"/>
      </rPr>
      <t>025102UGPI - Unidade de Gerenciamento do Prosamim</t>
    </r>
  </si>
  <si>
    <r>
      <t xml:space="preserve">Prestação de Serviços de Agenciamento de Viagens com Fornecimento de Bilhetes de Passagens Aéreas, no âmbito Nacional e Internacional.
</t>
    </r>
    <r>
      <rPr>
        <b/>
        <sz val="13"/>
        <color rgb="FF0033CC"/>
        <rFont val="Cambria"/>
        <family val="1"/>
      </rPr>
      <t>3339014(class. no AFI)-UGPI - Unidade de Gerenciamento do Prosamim</t>
    </r>
  </si>
  <si>
    <r>
      <t xml:space="preserve">UGPE: Assessoramento Técnico para realização da Avaliação de Meio Termo do Programa
</t>
    </r>
    <r>
      <rPr>
        <b/>
        <sz val="13"/>
        <color rgb="FF0033CC"/>
        <rFont val="Cambria"/>
        <family val="1"/>
      </rPr>
      <t>CT-00005/2014-UGPI-ANTÔNIO CARLOS TATIT HOLTZ</t>
    </r>
  </si>
  <si>
    <r>
      <t xml:space="preserve">Apoio ao Seminário de Nivelamento UGPE
</t>
    </r>
    <r>
      <rPr>
        <b/>
        <sz val="13"/>
        <color rgb="FF0033CC"/>
        <rFont val="Cambria"/>
        <family val="1"/>
      </rPr>
      <t>CT-00006/2015-UGPE-MARIA EUGENIA BELCZAK COSTA</t>
    </r>
  </si>
  <si>
    <r>
      <t xml:space="preserve">Contratação para elaboração do Manual de Manutenção definindo a modalidade da manutenção para as diversas tipologia de obras e de bens adquiridos pelo PROGRAMA, incluindo orçamento anual necessário a estas manutenções.
</t>
    </r>
    <r>
      <rPr>
        <b/>
        <sz val="13"/>
        <color rgb="FF0033CC"/>
        <rFont val="Cambria"/>
        <family val="1"/>
      </rPr>
      <t>CT-00009/2015-UGPE-R. MAIA RODRIGUES</t>
    </r>
  </si>
  <si>
    <r>
      <t xml:space="preserve">Aquisição de Arquivos Deslizantes para UGPE
</t>
    </r>
    <r>
      <rPr>
        <b/>
        <sz val="13"/>
        <color rgb="FF0033CC"/>
        <rFont val="Cambria"/>
        <family val="1"/>
      </rPr>
      <t>CT-00011/2014-UGPI-TECNOLACH INDUSTRIAL LTDA</t>
    </r>
  </si>
  <si>
    <r>
      <t xml:space="preserve">Aquisição de Mobiliários para UGPE (mesas, armários, sofás e poltronas)
</t>
    </r>
    <r>
      <rPr>
        <b/>
        <sz val="13"/>
        <color rgb="FF0033CC"/>
        <rFont val="Cambria"/>
        <family val="1"/>
      </rPr>
      <t>CT-00012/2014-UGPI-HOMEOFFICE MÓVEIS LTDA - ME</t>
    </r>
  </si>
  <si>
    <r>
      <t xml:space="preserve">Aquisição de Mobiliários para UGPE (mesas, armários, sofás e poltronas)
</t>
    </r>
    <r>
      <rPr>
        <b/>
        <sz val="13"/>
        <color rgb="FF0033CC"/>
        <rFont val="Cambria"/>
        <family val="1"/>
      </rPr>
      <t>CT-00013/2014-UGPI-SEDUTE COMÉRCIO DE MÓVEIS LTDA - EPP</t>
    </r>
  </si>
  <si>
    <r>
      <t xml:space="preserve">UGPE: Aquisição de Aparelhos de Ar Condicionado
</t>
    </r>
    <r>
      <rPr>
        <b/>
        <sz val="13"/>
        <color rgb="FF0033CC"/>
        <rFont val="Cambria"/>
        <family val="1"/>
      </rPr>
      <t>NE-00052/2016-UGPE-A DOS S ANDRADE-EPP</t>
    </r>
  </si>
  <si>
    <r>
      <t xml:space="preserve">UGPE: Aquisição de Equipamentos de Informática
</t>
    </r>
    <r>
      <rPr>
        <b/>
        <sz val="13"/>
        <color rgb="FF0033CC"/>
        <rFont val="Cambria"/>
        <family val="1"/>
      </rPr>
      <t>NE-00056/2016-UGPE-INFO STORE COMPUTADORES DA AMAZÔNIA LTDA</t>
    </r>
  </si>
  <si>
    <r>
      <t xml:space="preserve">UGPE: Cursos de Capacitação e Treinamento para Técnicos do Programa
</t>
    </r>
    <r>
      <rPr>
        <b/>
        <sz val="13"/>
        <color rgb="FF0033CC"/>
        <rFont val="Cambria"/>
        <family val="1"/>
      </rPr>
      <t>NE-00168/2016-UGPE-QUALYNORTE CONSULTORIA E TREINAMENTO</t>
    </r>
  </si>
  <si>
    <r>
      <t xml:space="preserve">Aquisição de Equipamentos de Informática
</t>
    </r>
    <r>
      <rPr>
        <b/>
        <sz val="13"/>
        <color rgb="FF0033CC"/>
        <rFont val="Cambria"/>
        <family val="1"/>
      </rPr>
      <t>NE-00236/2014-UGPI-VJ INFORMÁTICA LTDA - EPP</t>
    </r>
  </si>
  <si>
    <r>
      <t xml:space="preserve">UGPE: Cursos de Capacitação e Treinamento para Técnicos do Programa
</t>
    </r>
    <r>
      <rPr>
        <b/>
        <sz val="13"/>
        <color rgb="FF0033CC"/>
        <rFont val="Cambria"/>
        <family val="1"/>
      </rPr>
      <t>NE-00238/2016-UGPE-NEW ROADS ENGENHARIA E CONSULTORIA LTDA</t>
    </r>
  </si>
  <si>
    <r>
      <t xml:space="preserve">UGPE: Cursos de Capacitação e Treinamento para Técnicos do Programa
</t>
    </r>
    <r>
      <rPr>
        <b/>
        <sz val="13"/>
        <color rgb="FF0033CC"/>
        <rFont val="Cambria"/>
        <family val="1"/>
      </rPr>
      <t>NE-00240/2016-UGPE-OPEN TREINAMENTOS EMPRESARIAIS LTDA</t>
    </r>
  </si>
  <si>
    <r>
      <t xml:space="preserve">Equipamentos energéticos no break para suporte do servidor
</t>
    </r>
    <r>
      <rPr>
        <b/>
        <sz val="13"/>
        <color rgb="FF0033CC"/>
        <rFont val="Cambria"/>
        <family val="1"/>
      </rPr>
      <t>NE-00320/2014-UGPI-GL ELETRO ELETRÔNICOS LTDA.</t>
    </r>
  </si>
  <si>
    <r>
      <t xml:space="preserve">UGPE: Bens (Maquinas, Aparelhos, Equipamentos, Mobiliários e Softwares) para UGPE.
UGPE: Microcomputadores para sede e Escritórios locais (Elos)
</t>
    </r>
    <r>
      <rPr>
        <b/>
        <sz val="13"/>
        <color rgb="FF0033CC"/>
        <rFont val="Cambria"/>
        <family val="1"/>
      </rPr>
      <t>NE - 312-GBR COMPONENTES DA AMAZONIA LTDA</t>
    </r>
  </si>
  <si>
    <r>
      <t xml:space="preserve">Reestruturação da infraestrutura de redes da UGPE
</t>
    </r>
    <r>
      <rPr>
        <b/>
        <sz val="13"/>
        <color rgb="FF0033CC"/>
        <rFont val="Cambria"/>
        <family val="1"/>
      </rPr>
      <t>CT-00015/2016-UGPE-ICOM TELECOM SERVIÇOS DE COMUNICAÇÃO LTDA - ME</t>
    </r>
  </si>
  <si>
    <r>
      <t xml:space="preserve">Aquisição de Mobiliários para UGPE (mesas, armários, sofás e poltronas)
</t>
    </r>
    <r>
      <rPr>
        <b/>
        <sz val="13"/>
        <color rgb="FF0033CC"/>
        <rFont val="Cambria"/>
        <family val="1"/>
      </rPr>
      <t xml:space="preserve">NE- 00309/2016-UGPE CADERODE MÓVEIS PARA ESCRITÓRIO LTDA </t>
    </r>
  </si>
  <si>
    <r>
      <t xml:space="preserve">UGPE: Bens (Maquinas, Aparelhos, Equipamentos, Mobiliários e Softwares) para UGPE.
UGPE: Microcomputadores para sede e Escritórios locais (Elos)
</t>
    </r>
    <r>
      <rPr>
        <b/>
        <sz val="13"/>
        <color rgb="FF0033CC"/>
        <rFont val="Cambria"/>
        <family val="1"/>
      </rPr>
      <t>NE - 317-GBR COMPONENTES DA AMAZONIA LTDA</t>
    </r>
  </si>
  <si>
    <r>
      <t xml:space="preserve">Prestação de Serviços de Agenciamento de Viagens com Fornecimento de Bilhetes de Passagens Aéreas, no âmbito Nacional e Internacional.
</t>
    </r>
    <r>
      <rPr>
        <b/>
        <sz val="13"/>
        <color rgb="FF0033CC"/>
        <rFont val="Cambria"/>
        <family val="1"/>
      </rPr>
      <t>001/2013-UGPI (Passagens)-OCA - VIAG. TUR. DA AMAZONIA LTDA</t>
    </r>
  </si>
  <si>
    <r>
      <t xml:space="preserve">Despesas da folha de pagamento UGPE
</t>
    </r>
    <r>
      <rPr>
        <b/>
        <sz val="13"/>
        <color rgb="FF0033CC"/>
        <rFont val="Cambria"/>
        <family val="1"/>
      </rPr>
      <t>025102FOLHA - UGPI-UGPI - Unidade de Gerenciamento do Prosamim</t>
    </r>
  </si>
  <si>
    <r>
      <t xml:space="preserve">UGPE Sistema Integrado de Gestão do PROSAMIM (SIGPRO)/Customização.
</t>
    </r>
    <r>
      <rPr>
        <b/>
        <sz val="13"/>
        <color rgb="FF0033CC"/>
        <rFont val="Cambria"/>
        <family val="1"/>
      </rPr>
      <t>CT-00002/2013-UGPI- PROCESSAMENTO DE DADOS</t>
    </r>
  </si>
  <si>
    <r>
      <t xml:space="preserve">UGPE: Locação de 03 Veículos de Passeio
</t>
    </r>
    <r>
      <rPr>
        <b/>
        <sz val="13"/>
        <color rgb="FF0033CC"/>
        <rFont val="Cambria"/>
        <family val="1"/>
      </rPr>
      <t>CT-00010/2014-UGPI-RECHE GALDEANO &amp; CIA LTDA-EPP</t>
    </r>
  </si>
  <si>
    <r>
      <t xml:space="preserve">Contratação de serviço de link dedicado de internet
</t>
    </r>
    <r>
      <rPr>
        <b/>
        <sz val="13"/>
        <color rgb="FF0033CC"/>
        <rFont val="Cambria"/>
        <family val="1"/>
      </rPr>
      <t>CT-00014/2016-UGPE-ICOM TELECOM SERVIÇOS DE COMUNICAÇÃO LTDA - ME</t>
    </r>
  </si>
  <si>
    <r>
      <t xml:space="preserve">Serviços de manutenção preventiva e corretiva de aparelhos de ar condicionado 
</t>
    </r>
    <r>
      <rPr>
        <b/>
        <sz val="13"/>
        <color rgb="FF0033CC"/>
        <rFont val="Cambria"/>
        <family val="1"/>
      </rPr>
      <t>CT-00024/2016-UGPE-RODRIGO BATISTA DE CASTRO &amp; CIA LTDA - ME</t>
    </r>
  </si>
  <si>
    <r>
      <t xml:space="preserve">Reestruturação do servidor de armazenamento da UGPE
</t>
    </r>
    <r>
      <rPr>
        <b/>
        <sz val="13"/>
        <color rgb="FF0033CC"/>
        <rFont val="Cambria"/>
        <family val="1"/>
      </rPr>
      <t>CT-00019/2016-UGPE- IT2B TECNOLOGIA E SERVIÇOS LTDA</t>
    </r>
  </si>
  <si>
    <r>
      <t xml:space="preserve">Consultoria em Dimensão Humana
</t>
    </r>
    <r>
      <rPr>
        <b/>
        <sz val="13"/>
        <color rgb="FF0033CC"/>
        <rFont val="Cambria"/>
        <family val="1"/>
      </rPr>
      <t>CT-00034/2016-UGPE - Maria Eugênia Belczac Costa</t>
    </r>
  </si>
  <si>
    <r>
      <t xml:space="preserve">AQUISIÇÃO DE 02(DUAS) LICENÇAS DE SOFTWARE INFER-32 PARA APOIO À UGPE. 
</t>
    </r>
    <r>
      <rPr>
        <b/>
        <sz val="13"/>
        <color rgb="FF0033CC"/>
        <rFont val="Cambria"/>
        <family val="1"/>
      </rPr>
      <t>NE-00368/2016-UGPE - ÁRIA SISTEMAS DE INFORMÁTICA LTDA.</t>
    </r>
  </si>
  <si>
    <r>
      <t xml:space="preserve">Consultoria em Planejamento para UGPE
</t>
    </r>
    <r>
      <rPr>
        <b/>
        <sz val="13"/>
        <color rgb="FF0033CC"/>
        <rFont val="Cambria"/>
        <family val="1"/>
      </rPr>
      <t>CT-00027/2016-UGPE- JANDIRA VIRGINIA FERNADEZ E SILVA</t>
    </r>
  </si>
  <si>
    <r>
      <t xml:space="preserve">Gerenciamento PROSAMIM Contrato  001/2010 adjudicado no âmbito do 2006/OC-BR 
</t>
    </r>
    <r>
      <rPr>
        <b/>
        <sz val="13"/>
        <color rgb="FF0033CC"/>
        <rFont val="Cambria"/>
        <family val="1"/>
      </rPr>
      <t>001/2010 - UGPI-ENGEVIX ENGENHARIA S/A.</t>
    </r>
  </si>
  <si>
    <r>
      <t xml:space="preserve">UGPE: Supervisão das Obras da Sub-bacia do Igarapé do São Raimundo
</t>
    </r>
    <r>
      <rPr>
        <b/>
        <sz val="13"/>
        <color rgb="FF0033CC"/>
        <rFont val="Cambria"/>
        <family val="1"/>
      </rPr>
      <t>028/2009 - UGPI-QUANTA CONSULTORIA LTDA.</t>
    </r>
  </si>
  <si>
    <r>
      <t xml:space="preserve">Estudos e Projetos Complementares Saldo do Contrato 026/2009 - Concremat com Origem no Contrato de Empréstimo 2006/OC-BR. - Normal e Reconhecimento
</t>
    </r>
    <r>
      <rPr>
        <b/>
        <sz val="13"/>
        <color rgb="FF0033CC"/>
        <rFont val="Cambria"/>
        <family val="1"/>
      </rPr>
      <t>026/2009 - UGPI-CONCREMAT ENGENHARIA E TECNOLOGIA S.A</t>
    </r>
  </si>
  <si>
    <r>
      <t xml:space="preserve">Patologia Estrutural
</t>
    </r>
    <r>
      <rPr>
        <b/>
        <sz val="13"/>
        <color rgb="FF0033CC"/>
        <rFont val="Cambria"/>
        <family val="1"/>
      </rPr>
      <t>CT-00003/2016-UGPE-PAULO ROBERTO IOPPI</t>
    </r>
  </si>
  <si>
    <r>
      <t xml:space="preserve">Consultoria para passivos  ambientais das obras do PROSAMIM 
</t>
    </r>
    <r>
      <rPr>
        <b/>
        <sz val="13"/>
        <color rgb="FF0033CC"/>
        <rFont val="Cambria"/>
        <family val="1"/>
      </rPr>
      <t>CT-00008/2014-UGPI-STEFAN FRIEDRICH KEPPLER</t>
    </r>
  </si>
  <si>
    <r>
      <t xml:space="preserve">Consultoria para Avaliação ex-post do Programa - PROSAMIM SUPLEMENTAR (Cláusula 4.10)
</t>
    </r>
    <r>
      <rPr>
        <b/>
        <sz val="13"/>
        <color rgb="FF0033CC"/>
        <rFont val="Cambria"/>
        <family val="1"/>
      </rPr>
      <t>CT-0025/2016-UGPE - RODRIGO SPEZIALI  DE CARVALHO</t>
    </r>
  </si>
  <si>
    <r>
      <t xml:space="preserve">Consultoria para Projeto de Tratamento do solo (Reflorestamento)
</t>
    </r>
    <r>
      <rPr>
        <b/>
        <sz val="13"/>
        <color rgb="FF0033CC"/>
        <rFont val="Cambria"/>
        <family val="1"/>
      </rPr>
      <t>CT-00030/2016-UGPE-BRUNO ADAN SAGRATZKI CAVERO</t>
    </r>
  </si>
  <si>
    <r>
      <t xml:space="preserve">parate 15.000000 - Ações Complementares PROSAMIM II
</t>
    </r>
    <r>
      <rPr>
        <b/>
        <sz val="13"/>
        <color rgb="FF0033CC"/>
        <rFont val="Cambria"/>
        <family val="1"/>
      </rPr>
      <t>024/2009 - UGPI-CONSTRUTORA ANDRADE GUTIERREZ S/A</t>
    </r>
  </si>
  <si>
    <r>
      <t xml:space="preserve">Consultoria em Gestão de Recursos Hídricos
</t>
    </r>
    <r>
      <rPr>
        <b/>
        <sz val="13"/>
        <color rgb="FF0033CC"/>
        <rFont val="Cambria"/>
        <family val="1"/>
      </rPr>
      <t>CT-00020/2016-UGPE-BRUNO ADAN SAGRATZKI CAVERO</t>
    </r>
  </si>
  <si>
    <r>
      <t xml:space="preserve">Consultoria em Macrodrenagem
</t>
    </r>
    <r>
      <rPr>
        <b/>
        <sz val="13"/>
        <color rgb="FF0033CC"/>
        <rFont val="Cambria"/>
        <family val="1"/>
      </rPr>
      <t xml:space="preserve">CT- 00023/2016-UGPE - NILTON DE SOUZA CAMPELO </t>
    </r>
  </si>
  <si>
    <r>
      <t xml:space="preserve">Consultoria em Ecossistemas
</t>
    </r>
    <r>
      <rPr>
        <b/>
        <sz val="13"/>
        <color rgb="FF0033CC"/>
        <rFont val="Cambria"/>
        <family val="1"/>
      </rPr>
      <t>CT-00021/2016-UGPE-POHOLL ADAN SAGRATZKI CAVERO</t>
    </r>
  </si>
  <si>
    <r>
      <t xml:space="preserve">Obras remanescentes do PROSAMIM II trecho entre Silves e Maués (Funcionalidades) </t>
    </r>
    <r>
      <rPr>
        <sz val="12"/>
        <color rgb="FF0033CC"/>
        <rFont val="Cambria"/>
        <family val="1"/>
      </rPr>
      <t>- US$ 18 Milhões</t>
    </r>
  </si>
  <si>
    <r>
      <t xml:space="preserve">Remanescente Prosamim II (Ajuda Memória - Set/16) - </t>
    </r>
    <r>
      <rPr>
        <sz val="12"/>
        <color rgb="FF0033CC"/>
        <rFont val="Cambria"/>
        <family val="1"/>
      </rPr>
      <t>US$ 11 Milhões</t>
    </r>
  </si>
  <si>
    <r>
      <t xml:space="preserve">UGPE: Obras de recuperação ambiental e requalificação urbanística no Igarapé São Raimundo, margens esquerda e direita e implantação de Sistemas de Esgotamento Sanitário na sub bacia do Igarapé.
</t>
    </r>
    <r>
      <rPr>
        <b/>
        <sz val="11"/>
        <color rgb="FF0033CC"/>
        <rFont val="Cambria"/>
        <family val="1"/>
      </rPr>
      <t>CT-00004/2012-UGPI-CONSTRUTORA ANDRADE GUTIERREZ</t>
    </r>
  </si>
  <si>
    <r>
      <t xml:space="preserve">Consultoria em Direito Ambiental
</t>
    </r>
    <r>
      <rPr>
        <b/>
        <sz val="11"/>
        <color rgb="FF0033CC"/>
        <rFont val="Cambria"/>
        <family val="1"/>
      </rPr>
      <t xml:space="preserve">CT- 00031/2016-UGPE - RODRIGO OLIVEIRA </t>
    </r>
  </si>
  <si>
    <r>
      <t xml:space="preserve">Aquisição de lâmpadas eficientes (LED) e redistribuição do quadro de energia elétrica
</t>
    </r>
    <r>
      <rPr>
        <b/>
        <sz val="11"/>
        <color rgb="FF0033CC"/>
        <rFont val="Cambria"/>
        <family val="1"/>
      </rPr>
      <t>NE-00403/2016-UGPE -  BORSATTO E SILVA SEGURANÇA ELETRÔNICA</t>
    </r>
  </si>
  <si>
    <r>
      <t xml:space="preserve">Aquisição de lâmpadas eficientes (LED) e redistribuição do quadro de energia elétrica
</t>
    </r>
    <r>
      <rPr>
        <b/>
        <sz val="11"/>
        <color rgb="FF0033CC"/>
        <rFont val="Cambria"/>
        <family val="1"/>
      </rPr>
      <t>NE-00404/2016-UGPE -  BORSATTO E SILVA SEGURANÇA ELETRÔNICA</t>
    </r>
  </si>
  <si>
    <r>
      <t xml:space="preserve">Material para serviços de pequenos reparos para correção dos passivos nas Unidades Habitacionais
</t>
    </r>
    <r>
      <rPr>
        <b/>
        <sz val="11"/>
        <color rgb="FF0033CC"/>
        <rFont val="Cambria"/>
        <family val="1"/>
      </rPr>
      <t>AMANDA REIS DE SOUZA</t>
    </r>
  </si>
  <si>
    <r>
      <t xml:space="preserve">Capacitação da comunidade das quadras bairro para execução de serviços de pequenos reparos
</t>
    </r>
    <r>
      <rPr>
        <b/>
        <sz val="11"/>
        <color rgb="FF0033CC"/>
        <rFont val="Cambria"/>
        <family val="1"/>
      </rPr>
      <t>NE-00490/2016-UGPE</t>
    </r>
    <r>
      <rPr>
        <sz val="11"/>
        <color theme="1"/>
        <rFont val="Cambria"/>
        <family val="1"/>
      </rPr>
      <t xml:space="preserve"> -</t>
    </r>
    <r>
      <rPr>
        <b/>
        <sz val="11"/>
        <color rgb="FF0033CC"/>
        <rFont val="Cambria"/>
        <family val="1"/>
      </rPr>
      <t>SERVIÇO NACIONAL DE APRENDIZAGEM INDUSTRIAL</t>
    </r>
  </si>
  <si>
    <r>
      <t xml:space="preserve">UGPE: Execução de obras de recuperação, reforma e melhorias tecnológicas da Estação de Pré Condicionamento dos Educandos
</t>
    </r>
    <r>
      <rPr>
        <b/>
        <sz val="11"/>
        <color rgb="FF0033CC"/>
        <rFont val="Cambria"/>
        <family val="1"/>
      </rPr>
      <t>Convênio Manaus Ambiental</t>
    </r>
  </si>
  <si>
    <t xml:space="preserve">Passivo PROSAMIM I - (Parques Urbanos) </t>
  </si>
  <si>
    <t>1.11</t>
  </si>
  <si>
    <t>1.13</t>
  </si>
  <si>
    <t>1.12</t>
  </si>
  <si>
    <t>De
7.21
para
7.2.7</t>
  </si>
  <si>
    <t>De
2.29
Para
7.1.1.11</t>
  </si>
  <si>
    <t>De
2.19
Para
7.1.1</t>
  </si>
  <si>
    <t>De
7.8
Para
7.2.3</t>
  </si>
  <si>
    <t>De
2.30
Para
7.1.12</t>
  </si>
  <si>
    <t>De
2.28
Para 7.1.10</t>
  </si>
  <si>
    <t xml:space="preserve">
4.19</t>
  </si>
  <si>
    <t>De
3.30
Para
7.1.13</t>
  </si>
  <si>
    <t>De
2.22
Para
7.1.4</t>
  </si>
  <si>
    <t>De 
2.23
Para
7.1.5</t>
  </si>
  <si>
    <t>De
2.23
Para
7.1.5</t>
  </si>
  <si>
    <t>De
2.24
Para
7.1.6</t>
  </si>
  <si>
    <t>De
3.16
Para
7.3.1</t>
  </si>
  <si>
    <t>De
2.21
Para
7.1.3</t>
  </si>
  <si>
    <t>De
2.20
Para
7.1.2</t>
  </si>
  <si>
    <t>De
2.25
Para
7.1.7</t>
  </si>
  <si>
    <t>De
2.26
Para
7.1.8</t>
  </si>
  <si>
    <t>De
2.27
Para
7.1.9</t>
  </si>
  <si>
    <t>De
6.4
7.7
7.12
7.13
7.14
Para
7.2.1
7.2.2
7.2.4
7.2.5
7.2.6</t>
  </si>
  <si>
    <t>De
7.22
7.26
Para
7.4.1
7.4.2</t>
  </si>
  <si>
    <t>De
7.23
Para
7.5.1</t>
  </si>
  <si>
    <t>De
7.27
Para
7.6.1</t>
  </si>
  <si>
    <t>De
7.28
Para
7.9.1</t>
  </si>
  <si>
    <t>7.10.1</t>
  </si>
  <si>
    <t>7.11.1</t>
  </si>
  <si>
    <t>De
1.3
Para
7.15.1</t>
  </si>
  <si>
    <t>7.16.1
7.16.2
7.16.3</t>
  </si>
  <si>
    <t>7.17.1
7.17.2
7.17.3
7.17.4</t>
  </si>
  <si>
    <r>
      <t xml:space="preserve">Elaboração do Projeto Executivo de Reforma, Recuperação e melhorias tecnológicas da Estação de pré condicionamento dos Educandos EPC 
</t>
    </r>
    <r>
      <rPr>
        <b/>
        <sz val="11"/>
        <color rgb="FF0033CC"/>
        <rFont val="Cambria"/>
        <family val="1"/>
      </rPr>
      <t>CONSÓRCIO LAGHI AQUARUM</t>
    </r>
  </si>
  <si>
    <r>
      <t xml:space="preserve">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
</t>
    </r>
    <r>
      <rPr>
        <b/>
        <sz val="11"/>
        <color rgb="FF0033CC"/>
        <rFont val="Cambria"/>
        <family val="1"/>
      </rPr>
      <t>CT-00009/2014-UGPI-JOÃO TITO BORGES</t>
    </r>
  </si>
  <si>
    <r>
      <t xml:space="preserve">Prestação de Serviços de Consultoria para a Supervisão das Obras, complementares e restantes do PROSAMIM I, Igarapés Manaus, Bittencourt e Mestre Chico as Obras do PROSAMIM II: Igarapé do Educandos-Quarenta, no trecho da Ponte Maués / Avenida Rodrigo Otávio; Igarapé do Cajual e Parque São Raimundo e  PROSAMIM III:  Orla das Margens esquerda e direita do Igarapé São Raimundo, no trecho  compreendido entre a Ponte Senador Fábio Lucena e o Parque Kako Caminha, em Manaus - Amazonas.
</t>
    </r>
    <r>
      <rPr>
        <b/>
        <sz val="10"/>
        <color rgb="FF0033CC"/>
        <rFont val="Cambria"/>
        <family val="1"/>
      </rPr>
      <t>039/2016 - UGPI-QUANTA CONSULTORIA LTDA.</t>
    </r>
  </si>
  <si>
    <r>
      <t xml:space="preserve">REALIZAÇÃO DE CURSO DE TERRAPLANAGEM E CAMADAS GRANULARES DE PAVIMENTAÇÃO E DRENAGEM E SINALIZAÇÃO DE OBRAS RODOVIÁRIAS E VIAS URBANAS PARA 36(TRINTA E SEIS) SERVIDORES.
</t>
    </r>
    <r>
      <rPr>
        <b/>
        <sz val="12"/>
        <color rgb="FF0033CC"/>
        <rFont val="Cambria"/>
        <family val="1"/>
      </rPr>
      <t>NE- 00504/2016- UGPE NEW ROADS ENGENHARIA E CONSULTORIA LTDA</t>
    </r>
  </si>
  <si>
    <t>NE-00551/2016-UGPE</t>
  </si>
  <si>
    <r>
      <t xml:space="preserve">Material para serviços de pequenos reparos para correção dos passivos nas Unidades Habitacionais
</t>
    </r>
    <r>
      <rPr>
        <b/>
        <sz val="11"/>
        <color rgb="FF0033CC"/>
        <rFont val="Cambria"/>
        <family val="1"/>
      </rPr>
      <t>NE-00551/2016-UGPE AMANDA REIS DE SOUZA</t>
    </r>
  </si>
  <si>
    <t>01/12/2016
a
31/12/2016</t>
  </si>
  <si>
    <t>CT-001/2010 - UGPI</t>
  </si>
  <si>
    <t>CT-028/2009 - UGPI</t>
  </si>
  <si>
    <t>29/10/2009
 a
31/12/2016</t>
  </si>
  <si>
    <t>002/2016</t>
  </si>
  <si>
    <t>RATEIO a executar
US$</t>
  </si>
  <si>
    <t>BR11692</t>
  </si>
  <si>
    <t>BR11714</t>
  </si>
  <si>
    <t>BR11713</t>
  </si>
  <si>
    <t>BR11734</t>
  </si>
  <si>
    <t>7.1.8</t>
  </si>
  <si>
    <t>7.1.4</t>
  </si>
  <si>
    <t>7.1.5</t>
  </si>
  <si>
    <t>7.1.6</t>
  </si>
  <si>
    <t>7.1.2</t>
  </si>
  <si>
    <t>7.3.1</t>
  </si>
  <si>
    <t>7.1.1</t>
  </si>
  <si>
    <t>7.1.3</t>
  </si>
  <si>
    <t>7.2.3</t>
  </si>
  <si>
    <t>7.1.10</t>
  </si>
  <si>
    <t>7.1.13</t>
  </si>
  <si>
    <t>7.2.7</t>
  </si>
  <si>
    <t>7.1.9</t>
  </si>
  <si>
    <t>BRB3486</t>
  </si>
  <si>
    <t>7.1.11</t>
  </si>
  <si>
    <t>7.1.7</t>
  </si>
  <si>
    <t>3.32</t>
  </si>
  <si>
    <t>7.2</t>
  </si>
  <si>
    <t>UGPE/PSSA: Apoio na organização e realização de oficinas, reuniões e eventos com os comunitários, durante os processos de remanejamento e pós-remanejamento do Programa</t>
  </si>
  <si>
    <t>3.33</t>
  </si>
  <si>
    <t>BR11521</t>
  </si>
  <si>
    <t>BR11708</t>
  </si>
  <si>
    <t>BR11776</t>
  </si>
  <si>
    <t>3.34</t>
  </si>
  <si>
    <t>7.16.4</t>
  </si>
  <si>
    <t>CT: 039/2016 - UGPI-QUANTA CONSULTORIA LTDA.</t>
  </si>
  <si>
    <t>CT 010/2017 -  CONSÓRCIO SISTEMA PRI - AGÊNCIA E</t>
  </si>
  <si>
    <t>1.15</t>
  </si>
  <si>
    <t>Obra complementar - Igarapé Mestre Chico - trecho entre Leonardo Malcher a rua Parintins</t>
  </si>
  <si>
    <t>BRB3694</t>
  </si>
  <si>
    <t>7.4.3</t>
  </si>
  <si>
    <t>5.41</t>
  </si>
  <si>
    <t>1.18</t>
  </si>
  <si>
    <t>1.1</t>
  </si>
  <si>
    <t>Sistema Nacional (SN)</t>
  </si>
  <si>
    <t>Contratação
Direta - CD</t>
  </si>
  <si>
    <t>Comparação de Preços (CP)</t>
  </si>
  <si>
    <t>Seleção Baseada nas Qualificações do Consultor (SQC)</t>
  </si>
  <si>
    <t>1.2</t>
  </si>
  <si>
    <t>2.2</t>
  </si>
  <si>
    <t>3.1</t>
  </si>
  <si>
    <t>Seleção Baseada na Qualidade e Custo (SBQC)</t>
  </si>
  <si>
    <t>1.19</t>
  </si>
  <si>
    <t>BRASIL</t>
  </si>
  <si>
    <t>Programa Social e Ambiental dos Igarapés de Manaus -  PROSAMIM III</t>
  </si>
  <si>
    <t>Contrato de Empréstimo: 2676/OC-BR</t>
  </si>
  <si>
    <t>Atualizado por:  UGPE</t>
  </si>
  <si>
    <t>Dólar Estimado</t>
  </si>
  <si>
    <t>Unidade Executora*</t>
  </si>
  <si>
    <t>Objeto*</t>
  </si>
  <si>
    <t>Descrição Adicional</t>
  </si>
  <si>
    <r>
      <t xml:space="preserve">Método 
</t>
    </r>
    <r>
      <rPr>
        <i/>
        <sz val="8"/>
        <color indexed="9"/>
        <rFont val="Arial"/>
        <family val="2"/>
      </rPr>
      <t>(Selecionar uma das Opções)</t>
    </r>
    <r>
      <rPr>
        <sz val="8"/>
        <color indexed="9"/>
        <rFont val="Arial"/>
        <family val="2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</si>
  <si>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</si>
  <si>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</si>
  <si>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</si>
  <si>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</si>
  <si>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</si>
  <si>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</si>
  <si>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</si>
  <si>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</si>
  <si>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</si>
  <si>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V7</t>
  </si>
  <si>
    <t>Montante Estimado % BID</t>
  </si>
  <si>
    <t>Montante Estimado % Contrapartida</t>
  </si>
  <si>
    <t>Publicação do Anúncio/Convite</t>
  </si>
  <si>
    <t>Assinatura do Contrato</t>
  </si>
  <si>
    <t>OBRAS</t>
  </si>
  <si>
    <t>UGPE</t>
  </si>
  <si>
    <t>Licitação Pública Nacional (LPN)</t>
  </si>
  <si>
    <t>Ex-Ante</t>
  </si>
  <si>
    <t>Processo Cancelado</t>
  </si>
  <si>
    <t>2.04</t>
  </si>
  <si>
    <t>UGPE: Obras de recuperação ambiental e requalificação urbanística no Igarapé São Raimundo, margens esquerda e direita e implantação de Sistemas de Esgotamento Sanitário na sub bacia do Igarapé.</t>
  </si>
  <si>
    <t>CT-00004/2012-UGPI-CONSTRUTORA ANDRADE GUTIERREZ
(Ver detalhamento dos aditivos na Folha de Comentários)</t>
  </si>
  <si>
    <t>Licitação Pública Internacional (LPI)</t>
  </si>
  <si>
    <t>7378/2012-UGPE</t>
  </si>
  <si>
    <t>BRA-6427</t>
  </si>
  <si>
    <t>Contrato em Execução</t>
  </si>
  <si>
    <t>CT-021/2017-UGPE-CONSTRUTORA MATRIX CONSTRUÇÃO CONSERVAÇÃO E COMÉRCIO LTDA</t>
  </si>
  <si>
    <t>3120.02004.2016</t>
  </si>
  <si>
    <t>X</t>
  </si>
  <si>
    <t>Obra complementar - Igarapé do Quarenta - Trecho: Entre Av. Silves e Maués</t>
  </si>
  <si>
    <t>Previsto</t>
  </si>
  <si>
    <t>Obras emergenciais no Igarapé do 40</t>
  </si>
  <si>
    <t>Contratação Direta (CD)</t>
  </si>
  <si>
    <t>3120.002021.2016</t>
  </si>
  <si>
    <t>Ex-Post</t>
  </si>
  <si>
    <t>Item do PA 1.13 - Versão 14</t>
  </si>
  <si>
    <t>Contrato Concluído</t>
  </si>
  <si>
    <t>Obra de melhorias tecnológicas para transformar a Estação de Pré Condicionamento do Educandos em Estação de Tratamento de Esgoto do Educandos</t>
  </si>
  <si>
    <t>3120.000329.2018</t>
  </si>
  <si>
    <t>1.16</t>
  </si>
  <si>
    <t>Obras complementares do PROSAMIM III e de eliminação dos passivos do PI e PII</t>
  </si>
  <si>
    <t>3120.000333.2018</t>
  </si>
  <si>
    <t>1.17</t>
  </si>
  <si>
    <t>3.01</t>
  </si>
  <si>
    <t>UGPE: Bens (Maquinas, Aparelhos, Equipamentos, Mobiliários e Softwares) para UGPE.
UGPE: Microcomputadores para sede e Escritórios locais (Elos)</t>
  </si>
  <si>
    <t>NE - 312-GBR COMPONENTES DA AMAZONIA LTDA
NE - 317-GBR COMPONENTES DA AMAZONIA LTDA</t>
  </si>
  <si>
    <t xml:space="preserve">8554/12
8789/12
</t>
  </si>
  <si>
    <t>15/12/2010
27/08/2012</t>
  </si>
  <si>
    <t>16/10/2012
13/12/2012</t>
  </si>
  <si>
    <t>Pregão Eletrônico</t>
  </si>
  <si>
    <t>3.04</t>
  </si>
  <si>
    <t>Aquisição de Arquivos Deslizantes para UGPE</t>
  </si>
  <si>
    <t xml:space="preserve">11906/14
</t>
  </si>
  <si>
    <t>Ata de Registro de Preço</t>
  </si>
  <si>
    <t>BRB 2677</t>
  </si>
  <si>
    <t>3.06</t>
  </si>
  <si>
    <t>UGPE: Locação de 03 Veículos de Passeio</t>
  </si>
  <si>
    <t>CT-00010/2014-UGPI-RECHE GALDEANO &amp; CIA LTDA-EPP
(Ver detalhamento dos aditivos na Folha de Comentários)</t>
  </si>
  <si>
    <t xml:space="preserve">12183/14
</t>
  </si>
  <si>
    <t>Pregão Eletrônico/Ata de Registro de Preço</t>
  </si>
  <si>
    <t>BRB 2572</t>
  </si>
  <si>
    <t>3.09</t>
  </si>
  <si>
    <t>CT-00012/2014-UGPI-HOMEOFFICE MÓVEIS LTDA - ME (home office)+(Sedute)
CT-00013/2014-UGPI-SEDUTE COMÉRCIO DE MÓVEIS LTDA - EPP</t>
  </si>
  <si>
    <t>12246/2014
12118/2014</t>
  </si>
  <si>
    <t>BRB 2678
BRB 2679</t>
  </si>
  <si>
    <t>3.10</t>
  </si>
  <si>
    <t>Aquisição de Equipamentos de Informática</t>
  </si>
  <si>
    <t xml:space="preserve">11952/14
</t>
  </si>
  <si>
    <t>CBR 3672/14</t>
  </si>
  <si>
    <t>3.11</t>
  </si>
  <si>
    <t>Equipamentos energéticos no break para suporte do servidor</t>
  </si>
  <si>
    <t>12544 e 12545/2014</t>
  </si>
  <si>
    <t>CBR 516/15</t>
  </si>
  <si>
    <t>3.15</t>
  </si>
  <si>
    <t>NE-00309/2016-UGPE
CADERODE MÓVEIS PARA ESCRITÓRIO LTDA</t>
  </si>
  <si>
    <t xml:space="preserve">
3120.00916.2016</t>
  </si>
  <si>
    <t>NOVO</t>
  </si>
  <si>
    <t>UGPE: Aquisição de Equipamentos de Informática</t>
  </si>
  <si>
    <t>3120.14297.2015</t>
  </si>
  <si>
    <t>CBR-747/2016</t>
  </si>
  <si>
    <t>UGPE: Aquisição de Aparelhos de Ar Condicionado</t>
  </si>
  <si>
    <t>3120.14298/2015</t>
  </si>
  <si>
    <t>CBR-746/2016</t>
  </si>
  <si>
    <t>30/06/16
22/08/16
06/12/16
30/12/16
01/12/17</t>
  </si>
  <si>
    <t>16/08/2016
04/11/2016
26/12/2016
02/01/2017
12/04/2017</t>
  </si>
  <si>
    <t>Aquisição de repelente para distribuição à mulher, principalmente gestante de baixa renda, inserida na atenção ao pré-natal.</t>
  </si>
  <si>
    <t>BRB-1936</t>
  </si>
  <si>
    <t>NE-0013/2016-UGPE-RM NAVECA - EPP</t>
  </si>
  <si>
    <t>Aquisição de equipamentos de aplicação de inseticidas a UBV portáteis</t>
  </si>
  <si>
    <t>NE-00254/2016-UGPE-RM NAVECA - EPP
NE-00272/2016-UGPE-ST IRAJÁ AGRÍCOLA LTDA.</t>
  </si>
  <si>
    <t>Aquisição de inseticidas para controle vetorial - larvicida pyryproxifen</t>
  </si>
  <si>
    <t>Locação de veículos para transporte de equipes de controle vetorial</t>
  </si>
  <si>
    <t>Aquisição de escadas para acesso a locais de difícil acesso</t>
  </si>
  <si>
    <t>Aquisição de capas para cobertura de reservatórios de armazenamento de água (cobertura de caixas D’água; tambores etc)</t>
  </si>
  <si>
    <t>Aquisição de fardamento e kits de equipamentos de proteção individual para ações de controle vetorial</t>
  </si>
  <si>
    <t>NE - 00404/2016 e NE 00403/2016 - BORSSATO E SILVA SEGURANÇA ELETRÔNICA LTDA</t>
  </si>
  <si>
    <t>3120.00971.2016</t>
  </si>
  <si>
    <t xml:space="preserve">12/09/2016
</t>
  </si>
  <si>
    <t>BRB-3403</t>
  </si>
  <si>
    <t>NE-00551/2016-UGPE
AMANDA REIS SOUZA - ME</t>
  </si>
  <si>
    <t>3120.00972.2016</t>
  </si>
  <si>
    <t>4.07</t>
  </si>
  <si>
    <t xml:space="preserve">UGPE/PSSA: Produção de material gráfico para o projeto de Sustentabilidade Social e Plano de Comunicação do Programa: folders; cartilhas; cartazes; panfletos; faixas; revistas; manuais; certificados; pastas; sacolas; e outros </t>
  </si>
  <si>
    <t>10581/14</t>
  </si>
  <si>
    <t>BRB 2831</t>
  </si>
  <si>
    <t>4.08</t>
  </si>
  <si>
    <t>CT-00006/2014-UGPI-M APOLO M DE ARAÚJO
(Ver detalhamento dos aditivos na Folha de Comentários)</t>
  </si>
  <si>
    <t>10513/2013 UGPI</t>
  </si>
  <si>
    <t>BRB 2452</t>
  </si>
  <si>
    <t>Serviços técnicos com o fornecimento de bens para apoio a implementação e execução do Projeto das Doenças Tropicais Negligenciadas em Manaus-NTD</t>
  </si>
  <si>
    <t>CT-012/2016-UGPE-MG COMÉRCIO</t>
  </si>
  <si>
    <t>BRB-3270</t>
  </si>
  <si>
    <t>4.24</t>
  </si>
  <si>
    <t>CT-00025/2016-UGPE - GRUPO MÍDIA PUBLICIDADE</t>
  </si>
  <si>
    <t>3120.00177.2016</t>
  </si>
  <si>
    <t>Contratação de Agência/Empresa de Publicidade para:
- UGPE/PCS: Produção de material gráfico e Plano de Comunicação do Programa. 
- UGPE/PCS: Criação de material gráfico, virtual e mídia eletrônica para o Programa.
- UGPE/PCS: Criação, Produção e Veiculação de material de áudio para rádio.
- UGPE/PCS: Criação, produção e veiculação de Outdoors para o Programa.</t>
  </si>
  <si>
    <t>3120.14225.2015</t>
  </si>
  <si>
    <t>BRB-3271</t>
  </si>
  <si>
    <t>CT-00019/2016-UGPE- IT2B TECNOLOGIA E SERVIÇOS LTDA</t>
  </si>
  <si>
    <t>Reestruturação da infraestrutura de redes da UGPE</t>
  </si>
  <si>
    <t>CT-00015/2016-UGPE-ICOM TELECOM SERVIÇOS DE COMUNICAÇÃO
LTDA - ME</t>
  </si>
  <si>
    <t>Contratação de serviço de link dedicado de internet</t>
  </si>
  <si>
    <t>CT-00014/2016-UGPE-ICOM TELECOM SERVIÇOS DE COMUNICAÇÃO
LTDA - ME</t>
  </si>
  <si>
    <t xml:space="preserve">3120.00297.2016
</t>
  </si>
  <si>
    <t>Apoio a Campanhas Estratégias na área de educação em saúde e mobilização social, destacando-se as brigadas institucionais contra o Aedes aegypit, visita casa a casa, com déficit de material educativo para atender a demanda da Capital e do Interior do Estado (impressos, camisetas, botons, cartilhas, folderes, cartazes etc.)</t>
  </si>
  <si>
    <t xml:space="preserve">Serviços de manutenção preventiva e corretiva de aparelhos de ar condicionado </t>
  </si>
  <si>
    <t>3120.00973.2016</t>
  </si>
  <si>
    <t>CT-00026/2017-UGPE - CARLYSSON BASTOS SENA</t>
  </si>
  <si>
    <t>3120.0001484.2017</t>
  </si>
  <si>
    <t>Serviços de manutenção preventiva e corretiva de aparelhos de ar condicionado</t>
  </si>
  <si>
    <t>CT-00025/2017-UGPE-JANE LEAL BRITO - EPP</t>
  </si>
  <si>
    <t>1.01</t>
  </si>
  <si>
    <t xml:space="preserve">Gerenciamento PROSAMIM Contrato  001/2010 adjudicado no âmbito do 2006/OC-BR </t>
  </si>
  <si>
    <t>2888/2009 (UGPE) 
e 
004 (CEL)</t>
  </si>
  <si>
    <t>A 9389</t>
  </si>
  <si>
    <t>1.02</t>
  </si>
  <si>
    <t>UGPE: Supervisão das Obras da Sub-bacia do Igarapé do São Raimundo</t>
  </si>
  <si>
    <t>028/2009 - UGPI-QUANTA CONSULTORIA LTDA</t>
  </si>
  <si>
    <t>2879/2009 (UGPE)
e
003 (CEL)</t>
  </si>
  <si>
    <t>A 9159</t>
  </si>
  <si>
    <t>1.04</t>
  </si>
  <si>
    <t>CT: 008/2016
Laghi Engenharia LTDA</t>
  </si>
  <si>
    <t>12670/2014
13513/2015</t>
  </si>
  <si>
    <t>Consultoria para Apoio à Estruturação e Desenvolvimento de Modelos Alternativos de aliança Público Privada (Sociais), para a promoção de Parceria Público Privada e/ou Compartilhada de Parques e Praças (áreas urbanizadas dos Igarapés)</t>
  </si>
  <si>
    <t>9739/2013</t>
  </si>
  <si>
    <t>BR 10441</t>
  </si>
  <si>
    <t>1.20</t>
  </si>
  <si>
    <t>UGPE Sistema Integrado de Gestão do PROSAMIM (SIGPRO)/Customização.</t>
  </si>
  <si>
    <t>9517/2013</t>
  </si>
  <si>
    <t>Contrapartida
Dispensa de Licitação</t>
  </si>
  <si>
    <t>1.25</t>
  </si>
  <si>
    <t>Elaboração do Projeto Executivo de Reforma, Recuperação e melhorias tecnológicas da  Estação de Tratamento de Esgoto - ETE dos Educandos</t>
  </si>
  <si>
    <t>Seleção Baseada na Qualidade (SBQ)</t>
  </si>
  <si>
    <t>11988/2014</t>
  </si>
  <si>
    <t>1.33</t>
  </si>
  <si>
    <t>Contratação para elaboração do Manual de Manutenção definindo a modalidade da manutenção para as diversas tipologia de obras e de bens adquiridos pelo PROGRAMA, incluindo orçamento anual necessário a estas manutenções.</t>
  </si>
  <si>
    <t xml:space="preserve">12959/2015
13311/2015
</t>
  </si>
  <si>
    <t>1.34</t>
  </si>
  <si>
    <t>3120.00014.2016</t>
  </si>
  <si>
    <t>1.35</t>
  </si>
  <si>
    <t xml:space="preserve">3120.00015.2016
</t>
  </si>
  <si>
    <t>UGPE: Supervisão das Obras de reforma, recuperação e melhorias tecnológicas da  Estação de Tratamento de Esgoto - ETE dos Educandos</t>
  </si>
  <si>
    <t>Novo</t>
  </si>
  <si>
    <t>CT-00003/2017-UGPE CONSÓRCIO ORV/QUANTA/RESINA</t>
  </si>
  <si>
    <t>3120.14175.2015</t>
  </si>
  <si>
    <t>CT-00008/2017-UGPE A LASCA CONSULTORIA E ASSESSORIA EM ARQUEOLOGIA LTDA.</t>
  </si>
  <si>
    <t>3120.00016.2016</t>
  </si>
  <si>
    <t>3120.00975.2016</t>
  </si>
  <si>
    <t>UGPE: Avaliação do Programa (Reassentamento)</t>
  </si>
  <si>
    <t>UGPE: Assessoramento Técnico para realização da Avaliação de Meio Termo do Programa</t>
  </si>
  <si>
    <t xml:space="preserve">Comparação de Qualificações (3 CV) </t>
  </si>
  <si>
    <t>11388/2014</t>
  </si>
  <si>
    <t>BR 10523</t>
  </si>
  <si>
    <t xml:space="preserve">Consultoria para passivos  ambientais das obras do PROSAMIM </t>
  </si>
  <si>
    <t>0011570 /2014</t>
  </si>
  <si>
    <t>1.24</t>
  </si>
  <si>
    <t>Prestação de serviços de consultoria para elaboração dos Termos de Referência para Contratação do Projeto Executivo de Reforma, Recuperação e Melhorias Tecnológicas da Estação de Pré-Condicionamento dos Educandos - EPC, incluindo Orçamento e Fiscalização do Projeto e Elaboração dos Termos de Referência e Orçamento para Licitação da Supervisão das Obras da EPC</t>
  </si>
  <si>
    <t xml:space="preserve">CT-00009/2014-UGPI-JOÃO TITO BORGES </t>
  </si>
  <si>
    <t>11415/14</t>
  </si>
  <si>
    <t>BR 10689</t>
  </si>
  <si>
    <t>1.28</t>
  </si>
  <si>
    <t>CT-0022/2017-UGPE - RODRIGO SPEZIALI  DE CARVALHO</t>
  </si>
  <si>
    <t>3120.01180
.2017</t>
  </si>
  <si>
    <t>CT-0022/2016-UGPE - RODRIGO SPEZIALI  DE CARVALHO</t>
  </si>
  <si>
    <t>3120.14300
.2015</t>
  </si>
  <si>
    <t>Apoio ao Seminário de Nivelamento UGPE</t>
  </si>
  <si>
    <t>3120.14105
.2015</t>
  </si>
  <si>
    <t>Patologia Estrutural</t>
  </si>
  <si>
    <t>CT-00003/20
16-UGPE
ROBERTO IOPPI</t>
  </si>
  <si>
    <t>3120.14330
.2015</t>
  </si>
  <si>
    <t>BR11393</t>
  </si>
  <si>
    <t>3120.00599.2016</t>
  </si>
  <si>
    <t>BR 11544</t>
  </si>
  <si>
    <t>CT-00034/2016-UGPE - Maria Eugênia Belczac Costa</t>
  </si>
  <si>
    <t>3120.00976.2016</t>
  </si>
  <si>
    <t>CT-00030/2016-UGPE-BRUNO ADAN SAGRATZKI CAVERO</t>
  </si>
  <si>
    <t>3120.00977
.2016</t>
  </si>
  <si>
    <t xml:space="preserve">CT- 00023/2016-
UGPE - NILTON DE SOUZA CAMPELO </t>
  </si>
  <si>
    <t>3120.00915
.2016</t>
  </si>
  <si>
    <t>Consultoria em Ecossistemas</t>
  </si>
  <si>
    <t>3120.00914
.2016</t>
  </si>
  <si>
    <t xml:space="preserve">CT- 00031/2016-UGPE - RODRIGO OLIVEIRA </t>
  </si>
  <si>
    <t>3120.01300
.2016</t>
  </si>
  <si>
    <t>Consultoria em Gestão de Recursos Hídricos</t>
  </si>
  <si>
    <t>3120.00910
.2016</t>
  </si>
  <si>
    <t>5.42</t>
  </si>
  <si>
    <t>UGPE: Cursos de Capacitação e Treinamento para Técnicos do Programa</t>
  </si>
  <si>
    <t>3120.00385.2016</t>
  </si>
  <si>
    <t>Inscrição em Curso</t>
  </si>
  <si>
    <t xml:space="preserve">Lote 1: 3120.00978.2016
Lote 2: 3120.00466.2017 </t>
  </si>
  <si>
    <t>01/09/2016
1703/2017</t>
  </si>
  <si>
    <t>19/10/2016
02/05/2017</t>
  </si>
  <si>
    <t>Lote 1: BRB3491
Lote 2: Item 6.2 - V14</t>
  </si>
  <si>
    <t>Lote 1: 3120.00841.2016
Lote 2: 3120.00559.2016
Lote 3: 3120.001638.2016
Lote 4: 3120.00798.2017</t>
  </si>
  <si>
    <t>01/06/2016
12/05/2016
10/10/2016
24/04/2017</t>
  </si>
  <si>
    <t>01/06/2016
01/06/2016
01/11/2016
02/05/2017</t>
  </si>
  <si>
    <t>PGE</t>
  </si>
  <si>
    <t>7.1</t>
  </si>
  <si>
    <t>FVS</t>
  </si>
  <si>
    <t>CONVÊNIO FUNDAÇÃO DE VIGILÂNCIA SANITÁRIA (Dengue, Chikungunya e Zika)</t>
  </si>
  <si>
    <t>3120.00 469.201 6</t>
  </si>
  <si>
    <t>NE-00061/2017-UGPE ST IRAJÁ AGRÍCOLA LTDA.</t>
  </si>
  <si>
    <t>3120.00 468.201 6</t>
  </si>
  <si>
    <t>Locação de equipamento veicular para aplicação de inseticidas ("motofog")</t>
  </si>
  <si>
    <t>NE-00381/2016-UGPE-ST IRAJÁ AGRÍCOLA LTDA.</t>
  </si>
  <si>
    <t xml:space="preserve">3120.00472.2016
</t>
  </si>
  <si>
    <t>02/06/2016
22/06/2016</t>
  </si>
  <si>
    <t>3120.00 473.201 6</t>
  </si>
  <si>
    <t>NE-00541/2016
DISCOL DISTRIBUIDORA DE MATERIAL ESCOLAR LTDA</t>
  </si>
  <si>
    <t>3120.00474.2016</t>
  </si>
  <si>
    <t>IRMÃOS CARNEIRO NE 549/2016</t>
  </si>
  <si>
    <t>CT-00006/2017-UGPE ESC LOCADORA DE VEÍCULOS E TRANSPORTE POR NAVEGAÇÃO LTDA</t>
  </si>
  <si>
    <t>N.A</t>
  </si>
  <si>
    <t>7.1.12</t>
  </si>
  <si>
    <t>NE-00213/2016-FM INDÚSTRIA
GRÁFICA E LOCAÇÃO DE MÁQUINAS E EQUIPAMENTOS</t>
  </si>
  <si>
    <t>CONVÊNIO PROCURADORIA GERAL DO ESTADO - PGE</t>
  </si>
  <si>
    <t>7.2.2</t>
  </si>
  <si>
    <t>PGE:  Eletrodoméstico</t>
  </si>
  <si>
    <t>12130/14</t>
  </si>
  <si>
    <t>7.2.4</t>
  </si>
  <si>
    <t>7.2.5</t>
  </si>
  <si>
    <t>Convênio 006/2016</t>
  </si>
  <si>
    <t>7.2.6</t>
  </si>
  <si>
    <t>PGE: Assinatura de periódicos e revistas jurídicas</t>
  </si>
  <si>
    <t>12310 e 11991/2014</t>
  </si>
  <si>
    <t>Contratação Direta</t>
  </si>
  <si>
    <t>CBR 31/2015</t>
  </si>
  <si>
    <t>7.3</t>
  </si>
  <si>
    <t>CONVÊNIO DOENÇAS TROPICAIS NEGLIGENCIADAS - NTD</t>
  </si>
  <si>
    <t>12377/2
014
3120.14394.201 5</t>
  </si>
  <si>
    <t>Licitação Pública Nacional - LPN</t>
  </si>
  <si>
    <t>SEMULSP</t>
  </si>
  <si>
    <t>7.4</t>
  </si>
  <si>
    <t>CONVÊNIO SECRETARIA MUNICIPAL DE LIMPREZA PÚBLICA - SEMULSP</t>
  </si>
  <si>
    <t>7.4.1</t>
  </si>
  <si>
    <t>Atualização do Plano Diretor de Resíduos Sólidos do Município de Manaus e Plano de Coleta Seletiva da Cidade de Manaus</t>
  </si>
  <si>
    <t>Melhoria do Sistema de Tecnologia de Informação da SEMUSLP / Automatização do controle de peso dos veículos com carga e sem carga no Aterro Sanitário de Manaus</t>
  </si>
  <si>
    <t>IPAAM</t>
  </si>
  <si>
    <t>7.6</t>
  </si>
  <si>
    <t>CONVÊNIO INSTITUTO DE PROTEÇÃO AMBIENTAL DO AMAZONAS - IPAAM</t>
  </si>
  <si>
    <t>UEA</t>
  </si>
  <si>
    <t>7.10</t>
  </si>
  <si>
    <t>CONVÊNIO UNIVERSIDADE DO ESTADO DO AMAZONAS - UEA</t>
  </si>
  <si>
    <t>Reassentamento PROSAMIM</t>
  </si>
  <si>
    <t>Processo em Curso</t>
  </si>
  <si>
    <t>Convênio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</si>
  <si>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</si>
  <si>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</si>
  <si>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</si>
  <si>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</si>
  <si>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</si>
  <si>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</si>
  <si>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</si>
  <si>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</si>
  <si>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</si>
  <si>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</si>
  <si>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Sistema Nacional</t>
  </si>
  <si>
    <t>Método 
(Selecionar uma das Opções)*</t>
  </si>
  <si>
    <t>BENS</t>
  </si>
  <si>
    <t>SERVIÇOS QUE NÃO SÃO DE CONSULTORIA</t>
  </si>
  <si>
    <t>Objeto</t>
  </si>
  <si>
    <t xml:space="preserve">Montante Estimado </t>
  </si>
  <si>
    <t>Método de Revisão (Selecionar uma das opções)</t>
  </si>
  <si>
    <t>Datas Estimadas</t>
  </si>
  <si>
    <t>Comentários - para Sistema Nacional incluir Método de Seleção</t>
  </si>
  <si>
    <t>CONSULTORIAS FIRMAS</t>
  </si>
  <si>
    <t>Publicação  Manifestação de Interesse</t>
  </si>
  <si>
    <t>CONSULTORIAS INDIVIDUAIS</t>
  </si>
  <si>
    <t>Quantidade Estimada de Consultores</t>
  </si>
  <si>
    <t>Não Objeção aos  TDR da Atividade</t>
  </si>
  <si>
    <t>Assinatura Contrato</t>
  </si>
  <si>
    <t>CAPACITAÇÃO</t>
  </si>
  <si>
    <t xml:space="preserve"> Publicação  Manifestação de Interesse ou do Anúncio</t>
  </si>
  <si>
    <t>SUBPROJETOS</t>
  </si>
  <si>
    <t>Objeto da Transferência</t>
  </si>
  <si>
    <t>Quantidade Estimada de Subprojetos</t>
  </si>
  <si>
    <t>Comentários</t>
  </si>
  <si>
    <t>Assinatura do Contrato/ Convênio por Adjudicação dos Subprojetos</t>
  </si>
  <si>
    <t>Data de 
Transferência</t>
  </si>
  <si>
    <t>OUTROS GASTOS ELEGÍVEIS PARA O PROGRAMA</t>
  </si>
  <si>
    <t>Método  de Revisão</t>
  </si>
  <si>
    <t>Nova Licitação</t>
  </si>
  <si>
    <t>Declaração de Aquisição Deserta</t>
  </si>
  <si>
    <t>Recusa de Propostas</t>
  </si>
  <si>
    <t xml:space="preserve">Métodos </t>
  </si>
  <si>
    <t>Consultoria Firmas</t>
  </si>
  <si>
    <t>Seleção Baseada no Menor Custo (SBMC) </t>
  </si>
  <si>
    <t>Seleção Baseada em Orçamento Fixo (SBOF)</t>
  </si>
  <si>
    <t>Bens, Obras e Serviços</t>
  </si>
  <si>
    <t>Licitação Limitada Internacional  (LLI)</t>
  </si>
  <si>
    <t>Licitação Pública Internacional com Pré-qualificação</t>
  </si>
  <si>
    <t>Licitação Pública Internacional em 2 Etapas </t>
  </si>
  <si>
    <t>Licitação Pública Internacional por Lotes </t>
  </si>
  <si>
    <t>Licitação Pública Internacional sem Pré-qualificação</t>
  </si>
  <si>
    <t>Consultorias Individuais</t>
  </si>
  <si>
    <t>FOLHA DE COMENTÁRIOS</t>
  </si>
  <si>
    <t>ATIVIDADE</t>
  </si>
  <si>
    <t>1. Obras</t>
  </si>
  <si>
    <t>2. Bens</t>
  </si>
  <si>
    <t>3. Serviços que Não São de Consultoria</t>
  </si>
  <si>
    <t>4. Consultorias Firmas</t>
  </si>
  <si>
    <t>5. Consultorias Individuais</t>
  </si>
  <si>
    <t>7. Subprojetos</t>
  </si>
  <si>
    <t>GERAL</t>
  </si>
  <si>
    <t>Item 3.32 - Versão 15</t>
  </si>
  <si>
    <t>Item 3.33 - Versão 15</t>
  </si>
  <si>
    <t>Item 5.28 - Versão 15</t>
  </si>
  <si>
    <t>UGPE: Obras eliminação dos passivos identificados na infraestrutura das Quadras Bairro do PROSAMIM I e PROSAMIM II, com destaque para os dispositivos de drenagem</t>
  </si>
  <si>
    <t xml:space="preserve">Lote 1: NE-00490/2016-UGPE -SERVIÇO NACIONAL DE APRENDIZAGEM INDUSTRIAL - (US$4,20)
Lote 2: NE 288/2017 - UGPE -SERVICO NACIONAL DE APRENDIZAGEM INDUSTRIAL
(US$16,11)
</t>
  </si>
  <si>
    <t>CT-00027/2016-UGPE- JANDIRA VIRGINIA FERNANDEZ E SILVA</t>
  </si>
  <si>
    <t>CT-00005/2017-UGPE
REGO E MENDES
CONSTRUÇÕES LTDA</t>
  </si>
  <si>
    <t>Contrato: 010/2016
Consórcio Vanguarda</t>
  </si>
  <si>
    <t xml:space="preserve">CT-00002/2015-UGPE-FM INDÚSTRIA GRÁFICA E LOCAÇÃO DE MÁQUINAS E EQUIPAMENTOS LTDA </t>
  </si>
  <si>
    <t>CT-040/2016 - Consórcio Laghi Aquarum</t>
  </si>
  <si>
    <t>CT-00001/2017-UGPE QUALYNORTE CONSULTORIA E TREINAMENTO LTDA</t>
  </si>
  <si>
    <t>3120.000309.2018</t>
  </si>
  <si>
    <t>Consultor especializado na Área de Engenharia, Projetos e Obras de Infraestrutura Urbana e Políticas de Aquisições de Organismos Internacionais para Apoio à Coordenação Executiva da Unidade Gestora de Projetos Especiais-UGPE.</t>
  </si>
  <si>
    <t xml:space="preserve">Consultor Individual Engenheiro Civil Sênior - Coordenador para Supervisão provisória das Obras de Construção e Instalação da Estação de Tratamento de Esgoto do Educandos </t>
  </si>
  <si>
    <t>Consultor individual Engenheiro Civil Pleno de Planejamento, Acompanhamento, Controle, Medição e Orçamento, para a Supervisão provisória das Obras de Construção e Instalação da Estação de Tratamento de Esgoto do Educandos</t>
  </si>
  <si>
    <t>3120.0001454
.2018</t>
  </si>
  <si>
    <t>3120.0001455
.2018</t>
  </si>
  <si>
    <t>3120.0001456
.2018</t>
  </si>
  <si>
    <t>3120.0001485.2018</t>
  </si>
  <si>
    <t>3120.0001544
.2018</t>
  </si>
  <si>
    <t>3120.0001545
.2018</t>
  </si>
  <si>
    <t>3120.001016.2017</t>
  </si>
  <si>
    <t>3120.0001611.2018</t>
  </si>
  <si>
    <t>BRB3832</t>
  </si>
  <si>
    <t>4.42</t>
  </si>
  <si>
    <t>3.35</t>
  </si>
  <si>
    <t>7.29</t>
  </si>
  <si>
    <t>7.30</t>
  </si>
  <si>
    <t>7.31</t>
  </si>
  <si>
    <t>7.32</t>
  </si>
  <si>
    <t>7.33</t>
  </si>
  <si>
    <t>7.34</t>
  </si>
  <si>
    <t>7.35</t>
  </si>
  <si>
    <t>Fornecimento de transporte para equipe  secretaria e consultores  (aérea, fluvial e terrestre)</t>
  </si>
  <si>
    <t>7.29.1</t>
  </si>
  <si>
    <t>7.30.1</t>
  </si>
  <si>
    <t>7.31.1</t>
  </si>
  <si>
    <t>7.32.1</t>
  </si>
  <si>
    <t>7.33.1</t>
  </si>
  <si>
    <t>7.34.1</t>
  </si>
  <si>
    <t>7.35.1</t>
  </si>
  <si>
    <t xml:space="preserve">SEINFRA </t>
  </si>
  <si>
    <t>SUHAB</t>
  </si>
  <si>
    <t>SEC</t>
  </si>
  <si>
    <t>Manutenção Ar Condicionado</t>
  </si>
  <si>
    <t>Consultor de para Nota Técnica Social</t>
  </si>
  <si>
    <t>Consultor para apoiar a preparação novo Programa  - Aspectos Ambientais.</t>
  </si>
  <si>
    <t>Consultor para apoiar a preparação novo Programa  - Aspectos  Sociais.</t>
  </si>
  <si>
    <t>Consultor para apoiar a preparação novo Programa  - Aspectos Econômicos.</t>
  </si>
  <si>
    <t>Contratação de estudos e projetos executivos para o novo Programa Manaus e Municípios.</t>
  </si>
  <si>
    <t>Otimização do Parque Tecnólogico SEINFRA</t>
  </si>
  <si>
    <t xml:space="preserve"> Obras para Otimização do espaço físico UGPE.</t>
  </si>
  <si>
    <t>DCM</t>
  </si>
  <si>
    <t>7.36</t>
  </si>
  <si>
    <t>3.36</t>
  </si>
  <si>
    <t>7.37</t>
  </si>
  <si>
    <t>CIAMA</t>
  </si>
  <si>
    <t>3.37</t>
  </si>
  <si>
    <t>Contratação de Empresa para realização de Clippagem</t>
  </si>
  <si>
    <t>Apoio a gestão do Município de MANAUS FORTALECIMENTO  da AGEMAM</t>
  </si>
  <si>
    <t>7.37.1</t>
  </si>
  <si>
    <t>PMM</t>
  </si>
  <si>
    <t>4.43</t>
  </si>
  <si>
    <t>7.10.2</t>
  </si>
  <si>
    <t>7.10.7</t>
  </si>
  <si>
    <t>7.10.3</t>
  </si>
  <si>
    <t>7.10.4</t>
  </si>
  <si>
    <t>7.10.5</t>
  </si>
  <si>
    <t>7.10.6</t>
  </si>
  <si>
    <t>7.10.8</t>
  </si>
  <si>
    <t>7.10.9</t>
  </si>
  <si>
    <t>7.10.10</t>
  </si>
  <si>
    <t>7.6.2</t>
  </si>
  <si>
    <t>7.10.11</t>
  </si>
  <si>
    <t>CT-00013/2018-UGPE RICARDO DE MIRANDA AROEIRA</t>
  </si>
  <si>
    <t>Item 5.41
Versão 16</t>
  </si>
  <si>
    <t>IPHAN</t>
  </si>
  <si>
    <t>CONVÊNIO COMPANHIA DE DESENVOLVIMENTO DO ESTADO DO AMAZONAS - CIAMA</t>
  </si>
  <si>
    <t>Termo de Cooperação Técnica e Financeira visando o Fortalecimento do IPHAN nas áreas de tecnologia da informação, fiscalização e licenciamento ambiental no âmbito do Patrimônio Cultural.</t>
  </si>
  <si>
    <t>Termo de Cooperação Técnica - IPHAN</t>
  </si>
  <si>
    <t>Termo de Cooperação Técnica -  SUHAB</t>
  </si>
  <si>
    <t>Termo de Cooperação Técnica  da  SUHAB, nas áreas de tecnologia, transporte e capacitação de servidores</t>
  </si>
  <si>
    <t>Convênio entre Unidade Gestora de Projetos Especiais - UGPE e a Secretaria de Estado de Cultura - SEC, para implementação de ações que possibilitem a preservação e conservação do patrimônio histórico e arqueológico encontrados nas áreas de intervenção do PROSAMIM.</t>
  </si>
  <si>
    <t>Convênio Secretaria de Estado de Cultura - SEC</t>
  </si>
  <si>
    <t>Convênio para implementação de ações que tem participação direta de três especializadas da PGE: Procuradoria Administrativa, Procuradoria do Meio Ambiente e Procuradoria do Patrimônio Imobiliário nas áreas de intervenção do PROSAMIM.</t>
  </si>
  <si>
    <t>UEA Controle Tecnológico das Obras do PROSAMIM inclusive da ETE</t>
  </si>
  <si>
    <t>3120.000439
.2019</t>
  </si>
  <si>
    <t>3120.00424.2019</t>
  </si>
  <si>
    <t>3120.00475.2019</t>
  </si>
  <si>
    <t>3120.00115.2019</t>
  </si>
  <si>
    <t>3120.000480
.2019</t>
  </si>
  <si>
    <t>3120.000482
.2019</t>
  </si>
  <si>
    <t>3120.000483
.2019</t>
  </si>
  <si>
    <t>3120.000484
.2019</t>
  </si>
  <si>
    <t>3120.000426
.2019</t>
  </si>
  <si>
    <t>3120.000488
.2019</t>
  </si>
  <si>
    <t>3120.000425
.2019</t>
  </si>
  <si>
    <t>7.36.2</t>
  </si>
  <si>
    <t>7.36.3</t>
  </si>
  <si>
    <t>UEA - Aquisição de Hélio 5.0 para Monitoramento da Qualidade de Águas</t>
  </si>
  <si>
    <t>UEA - Aquisição de Materiais (Vidrarias, Reagentes, Colunas Cromatográficas, Padrões ICP-OES, Padrões para CG, Combustível)</t>
  </si>
  <si>
    <t>UEA - Serviços de Manutenção Cromatógrafos</t>
  </si>
  <si>
    <t>UEA - Serviços de Manutenção Cromatógrafo CGMS</t>
  </si>
  <si>
    <t>UEA - Serviços de Manutenção Geradores de Gases Especiais</t>
  </si>
  <si>
    <t>UEA - Serviços de Manutenção Geradores de Energia</t>
  </si>
  <si>
    <t>UEA - Serviços de manutenção de equipamentos</t>
  </si>
  <si>
    <t>UEA - Serviços de manutenção linhas de gases especiais, manômetros, estações de gases, cilindros.</t>
  </si>
  <si>
    <t>UEA - Apoio Operacional ao Monitoramento de Águas (Bolsitas)</t>
  </si>
  <si>
    <t>Capacitação</t>
  </si>
  <si>
    <t>Ata de Registro de Preços - ARP</t>
  </si>
  <si>
    <t>Comparação de Preços - CP</t>
  </si>
  <si>
    <t>Contratação Direta - CD</t>
  </si>
  <si>
    <t>7.34.2</t>
  </si>
  <si>
    <t>7.34.3</t>
  </si>
  <si>
    <t>7.34.4</t>
  </si>
  <si>
    <t>7.34.5</t>
  </si>
  <si>
    <t>7.6.3</t>
  </si>
  <si>
    <t>7.6.4</t>
  </si>
  <si>
    <t>IPAAM  - Equipamentos de Informática</t>
  </si>
  <si>
    <t>7.30.2</t>
  </si>
  <si>
    <t>7.30.3</t>
  </si>
  <si>
    <t>7.30.4</t>
  </si>
  <si>
    <t>7.30.5</t>
  </si>
  <si>
    <t>7.30.6</t>
  </si>
  <si>
    <t>7.30.7</t>
  </si>
  <si>
    <t>7.30.8</t>
  </si>
  <si>
    <t>UEA - Aquisição de Equipamentos  para Monitoramento da Qualidade de Águas: Bomba a Vácuo, Demanda Bioquímica de Oxigênio, Destilador Kjeldhal e UV - Vis Multiparamétrico.</t>
  </si>
  <si>
    <t>Aquisição de Equipamentos diversos para Fortalecimento do SEINFRA</t>
  </si>
  <si>
    <t>Aquisição de Equipamentos diversos para Fortalecimento do IPAAM</t>
  </si>
  <si>
    <t>Aquisição de Equipamentos diversos para Fortalecimento da SEC</t>
  </si>
  <si>
    <t>SEINFRA - Aparelho de Ar Condicionado de 48.000 e 30.000 BTUS</t>
  </si>
  <si>
    <t>SEINFRA - Mobiliários: Mesas e Armários</t>
  </si>
  <si>
    <t>SEINFRA - SOFTWARE GPS Trackmaker Pro</t>
  </si>
  <si>
    <t>SEINFRA - Software INFER32 - Software para Avaliação de Imóveis, baseados em métodos estatísticos "Interferência e/ou Fatores"</t>
  </si>
  <si>
    <t>SEINFRA - Serviços de Melhoria do SICOP</t>
  </si>
  <si>
    <t>SEINFRA - Contratação de Empresa para Implementação de BIM (Building Information Modeling)</t>
  </si>
  <si>
    <t>PGE - Aquisição de Computadores</t>
  </si>
  <si>
    <t>PGE - Aquisição de Mobiliários</t>
  </si>
  <si>
    <t>PGE - Contratação de Pessoas Jurídica para capacitação e  treinamento e dos servidores da PGE.</t>
  </si>
  <si>
    <t>SEC - Equipamentos e Materiais de Informática</t>
  </si>
  <si>
    <t>SEC - Equipamentos Energéticos</t>
  </si>
  <si>
    <t>SEC - Treinamento e Capacitação</t>
  </si>
  <si>
    <t>7.33.2</t>
  </si>
  <si>
    <t>7.33.3</t>
  </si>
  <si>
    <t>Aquisição de Equipamentos diversos para Fortalecimento do SUHAB</t>
  </si>
  <si>
    <t>SUHAB - Capacitação e Treinamento</t>
  </si>
  <si>
    <t>7.32.2</t>
  </si>
  <si>
    <t>Aquisição de Equipamentos diversos para Fortalecimento do IPHAN</t>
  </si>
  <si>
    <t>7.31.2</t>
  </si>
  <si>
    <t>7.31.3</t>
  </si>
  <si>
    <t>AGEMAN - Aquisição de Equipamentos diversos para Fortalecimento da AGEMAN</t>
  </si>
  <si>
    <t>AGEMAN - Apoio a gestão do Município de MANAUS FORTALECIMENTO  da AGEMAM</t>
  </si>
  <si>
    <t>7.35.2</t>
  </si>
  <si>
    <t>7.35.3</t>
  </si>
  <si>
    <t>Aquisição de Equipamentos diversos para Fortalecimento da  DEFESA CIVIL Municipal</t>
  </si>
  <si>
    <t>7.36.4</t>
  </si>
  <si>
    <t>Atualização Nº: 18</t>
  </si>
  <si>
    <t>7.38.1</t>
  </si>
  <si>
    <t>54,29</t>
  </si>
  <si>
    <t>752,24</t>
  </si>
  <si>
    <t>2.33</t>
  </si>
  <si>
    <t>7.39.1</t>
  </si>
  <si>
    <t>7.40.1</t>
  </si>
  <si>
    <t>7.38</t>
  </si>
  <si>
    <t>7.39</t>
  </si>
  <si>
    <t>7.40</t>
  </si>
  <si>
    <t>SEAD/GPIAP</t>
  </si>
  <si>
    <t>Montante Estimado em US$ X mil
US$ = 3,70</t>
  </si>
  <si>
    <t>1US$ = R$3,70</t>
  </si>
  <si>
    <t>285,71</t>
  </si>
  <si>
    <t xml:space="preserve">LOTE1: NE-00368/2016-UGPE -  ÁRIA SISTEMAS DE INFORMÁTICA LTDA. - (US$1,08)
LOTE 2: CT-00038/2016-UGPE ESQUEMÁTIKA INFORMÁTICA LTDA - EPP - (US$7,68)
LOTE 3; NE-622/2016
AMAZONCAD TREINAMENTO EM TECNOLOGIA DA INFORMAÇÃO EIRELI - ME - (US$40,64)
LOTE4: NE-00056/2017-UGPE IMAGEM GEOSISTEMAS &amp; COMÉRCIO LTDA - (US$41,32)
LOTE 5: CT-00012/2017-UGPE TECHMAFE SERVIÇOS DE INFORMÁTICA EIRELI - ME - (US$7,86)
 LOTE 6: Licença do servidor e  anti vírus. (CANCELADO)
LOTE 7: Aquisição de Autocad NE-00060/2019-UGPE AMAZONCAD TREINAMENTO EM TECNOLOGIA DA INFORMAÇÃO EIRELI - ME  (US$20,35)
LOTE 8: Aquisição do IP Contas  (US$7,77) </t>
  </si>
  <si>
    <t>CT-00004/2019-UGPE
NJ CONSTRUÇÕES NAVEGAÇÃO E COMÉRCIO</t>
  </si>
  <si>
    <t>CT-00008/2018-UGPE AMILTON FREIRE DE ARAÚJO</t>
  </si>
  <si>
    <t>CT-00009/2018-UGPE VALMIR LAMOUNIER DOS PASSOS</t>
  </si>
  <si>
    <t>CT-00010/2018-UGPE ROSIVALDO CÂNDIDO DOS REIS</t>
  </si>
  <si>
    <t>Item 5.43 Versão 16</t>
  </si>
  <si>
    <t>BR11975</t>
  </si>
  <si>
    <t>BR11976</t>
  </si>
  <si>
    <t>Lote 1: NE-00240/2016-UGPE-OPEN TREINAMENTOS EMPRESARIAIS LTDA - (US$1,91)
Lote 2: NE-00238/2016-UGPE-NEW ROADS ENGENHARIA E CONSULTORIA LTDA  - (US$8,64)
Lote 3: NE- 00504/2016- UGPE NEW ROADS ENGENHARIA E CONSULTORIA LTDA  - (US$17,63)
Lote 4: NE-00294/2017-UGPE- QUALYNORTE CONSULTORIA E TREINAMENTO LTDA  - (US$5,51)
Lote 5: NE-00193/2018-UGPE OBE SERVICOS DE ENGENHARIA EIRELI   (US$0,37)
Lote 6: NE-00202/2018-UGPE DAMATA CONSULTORIA EM MEIO AMBIENTE E ARQUITETURA LTDA   (US$0,65)
Lote 7:NE-00280/2018-UGPE QUALYNORTE CONSULTORIA E TREINAMENTO LTDA   (US$13,31)
Lote 8: NE-00383/2018-UGPE PREMIER CAPACITACAO E SISTEMAS LTDA   (US$3,31)
Lote 9: NE-00174/2019 CONSELHO NACIONAL DOS PERITOS JUDICIAIS DA REPÚBLICA FEDERATIVA DO BRASIL - CONPEJ (U$10,22)
Saldo a ser Comprometido: (U$22,51)</t>
  </si>
  <si>
    <t>Lote1: BRB3330 Lote2: BRB3278 Lote 3: BRB3490
Lote 4: Item 6.3 - V14
Lote 5: Item 6.3 - V15
Lote 6: Item 6.3 - V15
Lote 7: Item 6.3 - V15
Lote 8: Item 6.3 - V16
Lote 9: Item 6.3 - V17</t>
  </si>
  <si>
    <t>1.000,00</t>
  </si>
  <si>
    <t>262,76</t>
  </si>
  <si>
    <t>495,55</t>
  </si>
  <si>
    <t>988,20</t>
  </si>
  <si>
    <t>7.36.1</t>
  </si>
  <si>
    <t>57,14</t>
  </si>
  <si>
    <t>707,74</t>
  </si>
  <si>
    <t>400</t>
  </si>
  <si>
    <t>Lote 1: Obras complementares para tratamento das áreas remanescentes do PROSAMIM III  (US$ 777,18)
Lote 2: Obras para a eliminação dos passivos correspondentes a Parques Urbanos na área de intervenção do PROSAMIM I  CT-00002/2019-UGPE - RR CONSTRUÇÕES E TRANSPORTES LTDA - EPP (US$ 1.891,89) 
Lote 3: Obras para a eliminação dos passivos correspondentes a Parques Urbanos na área de intervenção do PROSAMIM II CT-00003/2019-UGPE - AJURI ENGENHARIA SERVIÇOS E MONTAGENS LTDA (US$ 749,71 )</t>
  </si>
  <si>
    <t>2.1 - 
2.2</t>
  </si>
  <si>
    <t>1.2 - 
2.1</t>
  </si>
  <si>
    <t>1.2 - 
5.1</t>
  </si>
  <si>
    <t>BRB3884 - (RR CONSTRUÇÕES E TRANSPORTES LTDA - EPP)</t>
  </si>
  <si>
    <t xml:space="preserve">Apoio a UGPE/SEINFRA nos aspectos de gestão e supervisão de Obras. </t>
  </si>
  <si>
    <t>118,86</t>
  </si>
  <si>
    <t>UGPE: Locação de Veículos de Passeio</t>
  </si>
  <si>
    <t>IPAAM: Convênio para renovação do Parque Tecnológico</t>
  </si>
  <si>
    <t>COMENTÁRIO V18</t>
  </si>
  <si>
    <t xml:space="preserve">Valor alterado de US$ 100,70 para US$ 84,22. O saldo (US$ 15,36 será utilizado na nova contratação prevista no item 2.33 </t>
  </si>
  <si>
    <t>Item incluído para contratação e locação de veículos com o  saldo de US$ 15,36 do item 2.6</t>
  </si>
  <si>
    <t>Valor alterado de US$ 76,99 para US$ 79,01, em função de aditivo para atendimento até março/2020</t>
  </si>
  <si>
    <t>Item reprogramado em função do redimensionamento do orçamento.</t>
  </si>
  <si>
    <t>Item cancelado em função da otimização do Modelo de Supervisão da ETE, que será realizada com a Equipe de Fiscais da UGPE, apoiada pelos consultores  contratados nos itens 5.44 e 5.45 deste PA, além da Equipe disponibilizada pela Manaus Ambiental</t>
  </si>
  <si>
    <t>Valor alterado de US$ 526,61 para US$ 256,32, uma vez que não haverá aditivo de prazo e valores, por que os trabalhos de arqueologia encontram-se em fase final na área do São Raimundo o saldo  será contratado no Item 4.43, para atender às obras que iniciarão no segundo semestre (verão amazônico)</t>
  </si>
  <si>
    <t xml:space="preserve">Valor alterado de US$ 266,57 para US$ 84,22 . Serviços redimensionados para atender às obras que iniciarão o segundo semestre (verão amazônico) </t>
  </si>
  <si>
    <t>Reprogramado em função do detalhamento do escopo dos serviços.</t>
  </si>
  <si>
    <t>Item cancelado em função da estratégia definida pela UGPE para Supervisão da obras</t>
  </si>
  <si>
    <t>Itens</t>
  </si>
  <si>
    <t>5.48, 5.49. 5.50</t>
  </si>
  <si>
    <t>Reprogramada a Data de Transferência  de dez-18 para jun-19,  em função da execução do contrato associado</t>
  </si>
  <si>
    <t>Reprogramada a Data de Transferência de 01/04/16 para jun-19,  em função da execução do contrato associado</t>
  </si>
  <si>
    <t>Aquisição reprogramada em função das especificações e orçamento do objeto, prevista para maio.19</t>
  </si>
  <si>
    <t xml:space="preserve">Itens </t>
  </si>
  <si>
    <t>7.6.2;  7.10.1, 7.30.1; 7.31.1;7.32.1; 7.33.1;7.34.1;7.35.1; 7.36.1 e 7.37.1</t>
  </si>
  <si>
    <t>US$ 1,00 = R$ 3,70 (Dólar Estimado)</t>
  </si>
  <si>
    <t>Consultor para apoio ao PROGRAMAS</t>
  </si>
  <si>
    <t>MINUTA - PLANO DE AQUISIÇÕES (PA) - 16 MESES</t>
  </si>
  <si>
    <t xml:space="preserve">PLANO DE AQUISIÇÕES (PA) - 16 MESES </t>
  </si>
  <si>
    <t>Atualizado em: 03.05.2019</t>
  </si>
  <si>
    <t>UGPE: Locação Veículos de Passeio</t>
  </si>
  <si>
    <t>Convênio 005/2019</t>
  </si>
  <si>
    <t>LOTE 1: Equipamentos Energéticos (U$6,79)
LOTE 2: Aparelhos e Equipamentos de Comunicação  (U$6,31)
LOTE 3: Equipamentos de Áudio, Foto e Vídeo  (U$84,97)
LOTE 4: Licenças  (U$49,82)
Convênio 005/2019</t>
  </si>
  <si>
    <t>Convênio 003/2018</t>
  </si>
  <si>
    <t>Convênio 006/2019</t>
  </si>
  <si>
    <t>LOTE 1: Licença de software autodesk (U$114,32)
LOTE 2: Consultoria Técnica para Implantação do Projeto Piloto BIM  (U$24,97)
LOTE 3: Treinamento e Capacitação BIM Traning Pack (U$48,65)
Convênio 006/2019</t>
  </si>
  <si>
    <t>Convênio 007/2019</t>
  </si>
  <si>
    <t>Convênio 003/2019</t>
  </si>
  <si>
    <t>Convênio 001/2019</t>
  </si>
  <si>
    <t>Convênio 002/2019</t>
  </si>
  <si>
    <t>Convênio 008/2019</t>
  </si>
  <si>
    <t>Orçamento atualizado, previsão de assinatura reprogramada de mai.19 para jul.19, em função da publicação ter ocorrido em 02/05/2019</t>
  </si>
  <si>
    <t>Itens reprogramados em função do redimensionamento do orçamento e ou revisão das especificações técnicas</t>
  </si>
  <si>
    <t>Reprogramados em função do detalhamento dos escopos e orçamentos</t>
  </si>
  <si>
    <t>Consultor para apoio aos PROGRAMAS</t>
  </si>
  <si>
    <t>Itens com valores  e/ou pari passu alterados em função da execução financeira e/ou de sua efetiva contratação, e ou atualização do dólar.</t>
  </si>
  <si>
    <t>Atualizado em: 03/05/2019</t>
  </si>
  <si>
    <t>Item reprogramado e redimensionado de U$ 7.037,76 para U$ 3.243,24, em função do prazo de prestação dos serviços até março/2020.</t>
  </si>
  <si>
    <t>Obra complementar - recuperação de área de cabeceira do Igarapé Manaus
NJ CONSTRUÇÕES NAVEGAÇÃO E COMÉRCIO</t>
  </si>
  <si>
    <t>LOTE1: BRB3492
LOTE 2: BRB3496
LOTE 3: BRB3581
LOTE 4: Item 2.18  - V14
LOTE 5: Item 2.18  - V14
LOTE 7: Item 2.18 - V16
LOTE 8: Item 2.18 - V17</t>
  </si>
  <si>
    <t>Orçamento atualizado, licitação reprogramada e alteração na modalidade de contratação (de LPN para CP) em função do orçamento e da atualização da taxa de dólar para US$ 1,00 = R$ 3.70</t>
  </si>
  <si>
    <t>Item incluído em função das atividades correspondentes às estratégias de conclusão do PROGRAMA e centralização dos trabalhos para a  preparação do novo PROGRAMA</t>
  </si>
  <si>
    <t>Estes itens foram cancelados uma vez que correspondiam  à estimativa de recursos para cada Convênio de Cooperação Técnica. Com a aprovação dos  Planos de Fortalecimento das entidades, bem como a celebração destes Termos de Cooperação Técnica, os quais apresentam em seus   Planos de Trabalho o objeto, especificações técnicas e orçamento e cronograma das aquisições necessárias. Assim os itens subsequentes a cada entidade foram identificadas as respectivas aquisição devidamente enquadradas nas Modalidades de Aquisições em conformidade com as Políticas de Aquisições do BID.</t>
  </si>
  <si>
    <t>Previsão de inclusão para fortalecimento de novas entidades, previamente acordadas com o BID, que se encontram em fase de detalhamento</t>
  </si>
  <si>
    <t>Convênio 002/2016</t>
  </si>
  <si>
    <t>CBR-883</t>
  </si>
  <si>
    <t>CBR-11992</t>
  </si>
  <si>
    <t>CBR-882</t>
  </si>
  <si>
    <t>CBR-881</t>
  </si>
  <si>
    <t>CBR-880</t>
  </si>
  <si>
    <t>CBR-877</t>
  </si>
  <si>
    <t>CBR-885</t>
  </si>
  <si>
    <t>Convênio 004/2019</t>
  </si>
  <si>
    <t>Consultoria Sênior  para apoio a subcoordenação de engenharia e na supervisão e fiscalização das Obras do Prosamim</t>
  </si>
  <si>
    <t>Consultoria Pleno  para apoio a subcoordenação de engenharia e na supervisão e fiscalização das Obras do Prosamim</t>
  </si>
  <si>
    <t>UEA -Qualidade das águas</t>
  </si>
  <si>
    <t>Convênio  - Otimização do Parque Tecnológico SEINFRA</t>
  </si>
  <si>
    <t>LOTE1: Máquinas, Utensílios e Equipamentos Diversos  (U$10,77)
LOTE2: Equipamentos de Áudio, Vídeo e Foto (U$38,01)
LOTE3: Aparelhos de Comunicação (U$0,90)
LOTE 4: Mobiliários (U$39,02)
LOTE 5: Aparelho de Medição (U$1,30)
LOTE 6: Equipamentos e Materiais de Informática (U$311,50)
LOTE 7: Equipamentos Energéticos (U$20,81)
LOTE 8:Aquisição de Materiais Bibliográficos (U$0,66)
Convênio 006/2019</t>
  </si>
  <si>
    <t>LOTE 1: Aquisição de Veículos (U$30,26)
LOTE 2: Equipamentos de Áudio, Vídeo e Foto (U$7,22)
LOTE 3: Equipamentos e Materiais de Informática (U$61,07)
LOTE 4: Licenças (U$5,68)</t>
  </si>
  <si>
    <t>LOTE 1: Aquisição de Veículos (U$50,81)
LOTE 2: Equipamentos de Áudio, Vídeo e Foto (U$53,59)
LOTE 3: Aparelho de Medição (U$2,27)
LOTE 4:  Equipamentos e Materiais de Informática (U$31,99)
LOTE 5: Equipamentos Energéticos (U$2,57)
LOTE 6: Mobiliários (U$100,97)
LOTE 7: Máquinas, Instalações e Utensílios (U$6,36)
Convênio 003/2019</t>
  </si>
  <si>
    <t>LOTE 1: Aquisição de Veículos (U$197,03)
LOTE 2:Equipamentos de Áudio, Vídeo e Foto (U$46,56)
LOTE 3: Aparelhos de Medição (U$8,84)
LOTE 4: Equipamentos e Materiais de Informática (U$189,31)
LOTE 5: Equipamentos Energéticos (U$13,51)
LOTE  6: Licenças e Softwares (U$0,57)
Convênio 001/2019</t>
  </si>
  <si>
    <t>LOTE 1: Aquisição de Mobiliários (U$143,31) 
LOTE 2: Aquisição de Veículos (U$170,19)  
LOTE 3: Material de Consumo (Cartuchos) (U$1,28)
LOTE 4: Aparelho de Medição  (U$3,58) 
LOTE 5: Máquinas, Utensílios e  Equipamentos Diversos  (U$38,74)
LOTE 6 Aparelhos, Utensílios e Equipamentos Médicos, Odontológicos, Laboratoriais e Hospitalares (U$10,45) 
LOTE 7: Máquinas e Equipamentos Agrícolas   (U$1,54)
LOTE 8: Utensílios Diversos (U$49,14)
LOTE 9:Equipamentos de Áudio, Vídeo e Foto(U$156,46)
LOTE 10: Licenças (U$83,37)
Convênio 002/2019</t>
  </si>
  <si>
    <t xml:space="preserve"> DEFESA CIVIL -Plano de contingenciamento de cheias (Município)</t>
  </si>
  <si>
    <t>LOTE 1: Acessórios para Veículos (U$3,68)
LOTE 2: Mobiliários (U$2,46)
LOTE 3: Equipamentos Energéticos (U$2,65)
LOTE 4: Equipamentos e Materiais de Informática (U$49,92)
LOTE 5: Equipamentos de Áudio, Vídeo e Foto (U$7,30)
LOTE 6:Equipamentos de Medição (U$10,52)
LOTE 7: Acessórios de Escritório (U$21,78)
Convênio 008/2019</t>
  </si>
  <si>
    <t xml:space="preserve"> DEFESA CIVIL -Aparelhos e Utensílios Domésticos</t>
  </si>
  <si>
    <t>Convênio cancelado pois a Universidade não dispõe de laboratórios para este fim. O controle tecnológico será realizado no âmbito da supervisão de obras.</t>
  </si>
  <si>
    <t>Item reprogramado em função da revisão das especificações técnicas e orçamento</t>
  </si>
  <si>
    <t>Orçamento atualizado, previsão de assinatura reprogramada de mai.19 para jun.19, em função da publicação ter ocorrido em 26/04/2019</t>
  </si>
  <si>
    <t>Itens:  1.4; 1.7; 1.15; 1.16, 1.17; 2.18;  4.35; 4.37;  4.41; 4.42; 5.30; 5.34; 5.41; 5.42;  5.43; 5.44; 5.45; 6.3</t>
  </si>
  <si>
    <t>Convênio Semulsp - Centro de Monitoramento</t>
  </si>
  <si>
    <t>Aquisição de Equipamentos para fortaleicmento do centro de monitormaneto</t>
  </si>
  <si>
    <t xml:space="preserve">Convênio SEAD/GPIAP </t>
  </si>
  <si>
    <t>Convênio - Secretaria Municipal de Parcerias e Projetos Estratégicos - SEMPPE</t>
  </si>
  <si>
    <t>Aquisições para melhoria da gestão - SEMPPE</t>
  </si>
  <si>
    <t>Aquisições para melhoria da gestão SEAD/GPIAP</t>
  </si>
  <si>
    <t>Convênio PGE - Procuradoria Geral do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</si>
</sst>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"/>
    <numFmt numFmtId="165" formatCode="#,##0.0"/>
    <numFmt numFmtId="166" formatCode="_(&quot;R$ &quot;* #,##0.00_);_(&quot;R$ &quot;* \(#,##0.00\);_(&quot;R$ &quot;* &quot;-&quot;??_);_(@_)"/>
    <numFmt numFmtId="167" formatCode="[$-416]mmmm\-yy;@"/>
    <numFmt numFmtId="168" formatCode="&quot;R$ &quot;#,##0.0000"/>
    <numFmt numFmtId="169" formatCode="#,##0_ ;[Red]\-#,##0\ "/>
    <numFmt numFmtId="170" formatCode="_-* #,##0.0_-;\-* #,##0.0_-;_-* &quot;-&quot;??_-;_-@_-"/>
    <numFmt numFmtId="171" formatCode="_-* #,##0.000000000_-;\-* #,##0.000000000_-;_-* &quot;-&quot;??_-;_-@_-"/>
    <numFmt numFmtId="172" formatCode="_-* #,##0.00000000000_-;\-* #,##0.00000000000_-;_-* &quot;-&quot;??_-;_-@_-"/>
    <numFmt numFmtId="173" formatCode="_-* #,##0.00000_-;\-* #,##0.00000_-;_-* &quot;-&quot;??_-;_-@_-"/>
    <numFmt numFmtId="174" formatCode="_(* #,##0.00_);_(* \(#,##0.00\);_(* &quot;-&quot;??_);_(@_)"/>
    <numFmt numFmtId="175" formatCode="&quot;R$&quot;\ #,##0.00"/>
    <numFmt numFmtId="176" formatCode="[$-416]mmm\-yy;@"/>
    <numFmt numFmtId="177" formatCode="dd/mm/yy;@"/>
    <numFmt numFmtId="178" formatCode="_-* #,##0.0000_-;\-* #,##0.0000_-;_-* &quot;-&quot;????_-;_-@_-"/>
    <numFmt numFmtId="179" formatCode="0.0"/>
  </numFmts>
  <fonts count="1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33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3333FF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mbria"/>
      <family val="1"/>
    </font>
    <font>
      <b/>
      <sz val="14"/>
      <color rgb="FF000000"/>
      <name val="Cambria"/>
      <family val="1"/>
    </font>
    <font>
      <b/>
      <sz val="15"/>
      <color rgb="FFFF0000"/>
      <name val="Cambria"/>
      <family val="1"/>
    </font>
    <font>
      <sz val="12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sz val="14"/>
      <color theme="1"/>
      <name val="Cambria"/>
      <family val="1"/>
    </font>
    <font>
      <sz val="7"/>
      <color rgb="FFFF0000"/>
      <name val="Calibri"/>
      <family val="2"/>
      <scheme val="minor"/>
    </font>
    <font>
      <b/>
      <i/>
      <sz val="11"/>
      <color theme="1"/>
      <name val="Cambria"/>
      <family val="1"/>
    </font>
    <font>
      <sz val="18"/>
      <color theme="1"/>
      <name val="Cambria"/>
      <family val="1"/>
    </font>
    <font>
      <b/>
      <sz val="11"/>
      <name val="Cambria"/>
      <family val="1"/>
    </font>
    <font>
      <b/>
      <sz val="11"/>
      <color rgb="FF0033CC"/>
      <name val="Cambria"/>
      <family val="1"/>
    </font>
    <font>
      <b/>
      <sz val="12"/>
      <color theme="1"/>
      <name val="Cambria"/>
      <family val="1"/>
    </font>
    <font>
      <sz val="7"/>
      <color theme="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0"/>
      <color rgb="FF0033CC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2"/>
      <color rgb="FFFF0000"/>
      <name val="Cambria"/>
      <family val="1"/>
    </font>
    <font>
      <sz val="11"/>
      <color rgb="FF0033CC"/>
      <name val="Cambria"/>
      <family val="1"/>
    </font>
    <font>
      <sz val="12"/>
      <color rgb="FF0033CC"/>
      <name val="Cambria"/>
      <family val="1"/>
    </font>
    <font>
      <b/>
      <sz val="10"/>
      <color rgb="FFFF000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7"/>
      <name val="Arial"/>
      <family val="2"/>
    </font>
    <font>
      <sz val="10"/>
      <color theme="1"/>
      <name val="Tahoma"/>
      <family val="2"/>
    </font>
    <font>
      <sz val="12"/>
      <color theme="1"/>
      <name val="Cambria"/>
      <family val="1"/>
    </font>
    <font>
      <b/>
      <sz val="12"/>
      <color rgb="FF0033CC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10"/>
      <color rgb="FF0033CC"/>
      <name val="Cambria"/>
      <family val="1"/>
    </font>
    <font>
      <sz val="9"/>
      <color rgb="FF0033CC"/>
      <name val="Cambria"/>
      <family val="1"/>
    </font>
    <font>
      <b/>
      <sz val="9"/>
      <color rgb="FF0033CC"/>
      <name val="Cambria"/>
      <family val="1"/>
    </font>
    <font>
      <b/>
      <sz val="13"/>
      <color theme="1"/>
      <name val="Cambria"/>
      <family val="1"/>
    </font>
    <font>
      <b/>
      <sz val="13"/>
      <name val="Cambria"/>
      <family val="1"/>
    </font>
    <font>
      <b/>
      <sz val="13"/>
      <color rgb="FF0033CC"/>
      <name val="Cambria"/>
      <family val="1"/>
    </font>
    <font>
      <sz val="13"/>
      <color theme="1"/>
      <name val="Cambria"/>
      <family val="1"/>
    </font>
    <font>
      <sz val="13"/>
      <name val="Cambria"/>
      <family val="1"/>
    </font>
    <font>
      <sz val="13"/>
      <color rgb="FF000000"/>
      <name val="Cambria"/>
      <family val="1"/>
    </font>
    <font>
      <sz val="13"/>
      <color theme="1"/>
      <name val="Calibri"/>
      <family val="2"/>
      <scheme val="minor"/>
    </font>
    <font>
      <sz val="13"/>
      <color rgb="FFFF0000"/>
      <name val="Cambria"/>
      <family val="1"/>
    </font>
    <font>
      <b/>
      <sz val="13"/>
      <color rgb="FFFF0000"/>
      <name val="Cambria"/>
      <family val="1"/>
    </font>
    <font>
      <b/>
      <sz val="10"/>
      <color rgb="FFC00000"/>
      <name val="Cambria"/>
      <family val="1"/>
    </font>
    <font>
      <sz val="14"/>
      <name val="Cambria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sz val="8"/>
      <color rgb="FF3366FF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6"/>
      <color theme="1"/>
      <name val="Arial"/>
      <family val="2"/>
    </font>
    <font>
      <b/>
      <sz val="8"/>
      <color indexed="9"/>
      <name val="Arial"/>
      <family val="2"/>
    </font>
    <font>
      <b/>
      <sz val="8"/>
      <name val="Calibri"/>
      <family val="2"/>
    </font>
    <font>
      <sz val="8"/>
      <color rgb="FF0000FF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7.5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B5D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66FF"/>
        <bgColor indexed="64"/>
      </patternFill>
    </fill>
  </fills>
  <borders count="1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/>
    <xf numFmtId="0" fontId="12" fillId="0" borderId="0"/>
    <xf numFmtId="0" fontId="14" fillId="0" borderId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74" fontId="1" fillId="0" borderId="0" applyFont="0" applyFill="0" applyBorder="0" applyAlignment="0" applyProtection="0"/>
    <xf numFmtId="0" fontId="80" fillId="0" borderId="0"/>
    <xf numFmtId="174" fontId="99" fillId="0" borderId="0" applyFont="0" applyFill="0" applyBorder="0" applyAlignment="0" applyProtection="0"/>
    <xf numFmtId="0" fontId="99" fillId="0" borderId="0"/>
    <xf numFmtId="0" fontId="1" fillId="0" borderId="0"/>
    <xf numFmtId="43" fontId="99" fillId="0" borderId="0" applyFont="0" applyFill="0" applyBorder="0" applyAlignment="0" applyProtection="0"/>
    <xf numFmtId="0" fontId="100" fillId="0" borderId="0"/>
    <xf numFmtId="0" fontId="8" fillId="0" borderId="0"/>
    <xf numFmtId="43" fontId="1" fillId="0" borderId="0" applyFont="0" applyFill="0" applyBorder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3">
    <xf numFmtId="0" fontId="0" fillId="0" borderId="0" xfId="0"/>
    <xf numFmtId="43" fontId="0" fillId="0" borderId="0" xfId="1" applyFont="1"/>
    <xf numFmtId="0" fontId="2" fillId="0" borderId="0" xfId="0" applyFont="1"/>
    <xf numFmtId="164" fontId="2" fillId="2" borderId="0" xfId="0" applyNumberFormat="1" applyFont="1" applyFill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0" fillId="3" borderId="3" xfId="1" applyFont="1" applyFill="1" applyBorder="1" applyAlignment="1">
      <alignment horizontal="center" vertical="center"/>
    </xf>
    <xf numFmtId="43" fontId="0" fillId="3" borderId="0" xfId="1" applyFont="1" applyFill="1" applyAlignment="1">
      <alignment horizontal="center" vertical="center"/>
    </xf>
    <xf numFmtId="43" fontId="0" fillId="3" borderId="7" xfId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9" fontId="0" fillId="0" borderId="0" xfId="2" applyFont="1"/>
    <xf numFmtId="0" fontId="0" fillId="3" borderId="8" xfId="0" applyFill="1" applyBorder="1"/>
    <xf numFmtId="0" fontId="0" fillId="3" borderId="7" xfId="0" applyFill="1" applyBorder="1"/>
    <xf numFmtId="164" fontId="0" fillId="3" borderId="0" xfId="0" applyNumberFormat="1" applyFill="1" applyAlignment="1">
      <alignment horizontal="center" vertical="center"/>
    </xf>
    <xf numFmtId="0" fontId="0" fillId="3" borderId="6" xfId="0" applyFill="1" applyBorder="1"/>
    <xf numFmtId="0" fontId="0" fillId="3" borderId="0" xfId="0" applyFill="1"/>
    <xf numFmtId="0" fontId="0" fillId="3" borderId="5" xfId="0" applyFill="1" applyBorder="1"/>
    <xf numFmtId="0" fontId="0" fillId="3" borderId="3" xfId="0" applyFill="1" applyBorder="1"/>
    <xf numFmtId="0" fontId="0" fillId="3" borderId="4" xfId="0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3" xfId="0" applyFont="1" applyFill="1" applyBorder="1"/>
    <xf numFmtId="43" fontId="2" fillId="3" borderId="3" xfId="1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 wrapText="1"/>
    </xf>
    <xf numFmtId="9" fontId="2" fillId="0" borderId="12" xfId="2" applyFont="1" applyBorder="1" applyAlignment="1">
      <alignment horizontal="center" vertical="center" wrapText="1"/>
    </xf>
    <xf numFmtId="43" fontId="2" fillId="3" borderId="0" xfId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0" fillId="0" borderId="0" xfId="0" applyNumberFormat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4" fontId="0" fillId="2" borderId="0" xfId="0" applyNumberFormat="1" applyFill="1"/>
    <xf numFmtId="4" fontId="0" fillId="5" borderId="0" xfId="0" applyNumberFormat="1" applyFill="1"/>
    <xf numFmtId="43" fontId="0" fillId="5" borderId="0" xfId="1" applyFont="1" applyFill="1"/>
    <xf numFmtId="43" fontId="2" fillId="0" borderId="0" xfId="1" applyFont="1"/>
    <xf numFmtId="43" fontId="0" fillId="0" borderId="22" xfId="1" applyFont="1" applyBorder="1" applyAlignment="1">
      <alignment vertical="center"/>
    </xf>
    <xf numFmtId="43" fontId="0" fillId="0" borderId="21" xfId="1" applyFon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5" xfId="1" applyFont="1" applyBorder="1" applyAlignment="1">
      <alignment vertical="center"/>
    </xf>
    <xf numFmtId="43" fontId="0" fillId="0" borderId="24" xfId="1" applyFont="1" applyBorder="1" applyAlignment="1">
      <alignment vertical="center"/>
    </xf>
    <xf numFmtId="43" fontId="0" fillId="0" borderId="26" xfId="0" applyNumberFormat="1" applyBorder="1" applyAlignment="1">
      <alignment vertical="center"/>
    </xf>
    <xf numFmtId="43" fontId="0" fillId="0" borderId="18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0" fontId="7" fillId="0" borderId="0" xfId="0" applyFont="1" applyAlignment="1">
      <alignment horizontal="right"/>
    </xf>
    <xf numFmtId="0" fontId="0" fillId="6" borderId="0" xfId="0" applyFill="1"/>
    <xf numFmtId="0" fontId="2" fillId="6" borderId="3" xfId="0" applyFont="1" applyFill="1" applyBorder="1"/>
    <xf numFmtId="0" fontId="0" fillId="6" borderId="7" xfId="0" applyFill="1" applyBorder="1"/>
    <xf numFmtId="0" fontId="0" fillId="6" borderId="3" xfId="0" applyFill="1" applyBorder="1"/>
    <xf numFmtId="0" fontId="2" fillId="6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3" fontId="0" fillId="8" borderId="25" xfId="1" applyFont="1" applyFill="1" applyBorder="1" applyAlignment="1">
      <alignment vertical="center"/>
    </xf>
    <xf numFmtId="43" fontId="0" fillId="8" borderId="24" xfId="1" applyFont="1" applyFill="1" applyBorder="1" applyAlignment="1">
      <alignment vertical="center"/>
    </xf>
    <xf numFmtId="43" fontId="0" fillId="8" borderId="26" xfId="0" applyNumberFormat="1" applyFill="1" applyBorder="1" applyAlignment="1">
      <alignment vertical="center"/>
    </xf>
    <xf numFmtId="0" fontId="0" fillId="8" borderId="0" xfId="0" applyFill="1"/>
    <xf numFmtId="0" fontId="2" fillId="4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43" fontId="3" fillId="2" borderId="14" xfId="1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43" fontId="3" fillId="4" borderId="14" xfId="1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0" fontId="0" fillId="6" borderId="0" xfId="0" applyFill="1" applyAlignment="1">
      <alignment horizontal="left" vertical="center" wrapText="1"/>
    </xf>
    <xf numFmtId="14" fontId="6" fillId="6" borderId="0" xfId="0" applyNumberFormat="1" applyFont="1" applyFill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43" fontId="0" fillId="0" borderId="30" xfId="1" applyFont="1" applyBorder="1" applyAlignment="1">
      <alignment horizontal="center" vertical="center" wrapText="1"/>
    </xf>
    <xf numFmtId="9" fontId="0" fillId="0" borderId="30" xfId="2" applyFont="1" applyBorder="1" applyAlignment="1">
      <alignment horizontal="center" vertical="center" wrapText="1"/>
    </xf>
    <xf numFmtId="43" fontId="0" fillId="0" borderId="30" xfId="1" applyFont="1" applyBorder="1" applyAlignment="1">
      <alignment vertical="center"/>
    </xf>
    <xf numFmtId="43" fontId="0" fillId="0" borderId="32" xfId="0" applyNumberFormat="1" applyBorder="1" applyAlignment="1">
      <alignment vertical="center"/>
    </xf>
    <xf numFmtId="43" fontId="0" fillId="0" borderId="33" xfId="0" applyNumberForma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vertical="center" wrapText="1"/>
    </xf>
    <xf numFmtId="0" fontId="2" fillId="6" borderId="3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vertical="center" wrapText="1"/>
    </xf>
    <xf numFmtId="43" fontId="10" fillId="4" borderId="13" xfId="1" applyFont="1" applyFill="1" applyBorder="1" applyAlignment="1">
      <alignment vertical="center" wrapText="1"/>
    </xf>
    <xf numFmtId="43" fontId="0" fillId="0" borderId="29" xfId="1" applyFont="1" applyBorder="1" applyAlignment="1">
      <alignment horizontal="center" vertical="center" wrapText="1"/>
    </xf>
    <xf numFmtId="0" fontId="3" fillId="4" borderId="34" xfId="0" applyFont="1" applyFill="1" applyBorder="1" applyAlignment="1">
      <alignment vertical="center" wrapText="1"/>
    </xf>
    <xf numFmtId="43" fontId="3" fillId="4" borderId="34" xfId="1" applyFont="1" applyFill="1" applyBorder="1" applyAlignment="1">
      <alignment vertical="center" wrapText="1"/>
    </xf>
    <xf numFmtId="43" fontId="3" fillId="2" borderId="34" xfId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43" fontId="3" fillId="10" borderId="4" xfId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10" borderId="4" xfId="1" applyFont="1" applyFill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43" fontId="10" fillId="4" borderId="4" xfId="1" applyFont="1" applyFill="1" applyBorder="1" applyAlignment="1">
      <alignment vertical="center" wrapText="1"/>
    </xf>
    <xf numFmtId="43" fontId="0" fillId="6" borderId="4" xfId="0" applyNumberFormat="1" applyFill="1" applyBorder="1" applyAlignment="1">
      <alignment horizontal="left" vertical="center" wrapText="1"/>
    </xf>
    <xf numFmtId="0" fontId="0" fillId="6" borderId="40" xfId="0" applyFill="1" applyBorder="1" applyAlignment="1">
      <alignment horizontal="left" vertical="center" wrapText="1"/>
    </xf>
    <xf numFmtId="14" fontId="6" fillId="6" borderId="40" xfId="0" applyNumberFormat="1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43" fontId="0" fillId="0" borderId="40" xfId="1" applyFont="1" applyBorder="1" applyAlignment="1">
      <alignment horizontal="center" vertical="center" wrapText="1"/>
    </xf>
    <xf numFmtId="43" fontId="0" fillId="10" borderId="40" xfId="1" applyFont="1" applyFill="1" applyBorder="1" applyAlignment="1">
      <alignment horizontal="center" vertical="center" wrapText="1"/>
    </xf>
    <xf numFmtId="9" fontId="0" fillId="0" borderId="40" xfId="2" applyFont="1" applyBorder="1" applyAlignment="1">
      <alignment horizontal="center" vertical="center" wrapText="1"/>
    </xf>
    <xf numFmtId="43" fontId="0" fillId="0" borderId="40" xfId="0" applyNumberFormat="1" applyBorder="1" applyAlignment="1">
      <alignment vertical="center"/>
    </xf>
    <xf numFmtId="43" fontId="8" fillId="0" borderId="40" xfId="1" applyFont="1" applyBorder="1" applyAlignment="1">
      <alignment horizontal="right" vertical="top" wrapText="1"/>
    </xf>
    <xf numFmtId="43" fontId="9" fillId="0" borderId="40" xfId="1" applyFont="1" applyBorder="1" applyAlignment="1">
      <alignment horizontal="right" vertical="top" wrapText="1"/>
    </xf>
    <xf numFmtId="43" fontId="0" fillId="0" borderId="40" xfId="1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0" fillId="8" borderId="40" xfId="0" applyFill="1" applyBorder="1" applyAlignment="1">
      <alignment horizontal="left" vertical="center" wrapText="1"/>
    </xf>
    <xf numFmtId="43" fontId="0" fillId="2" borderId="40" xfId="1" applyFont="1" applyFill="1" applyBorder="1" applyAlignment="1">
      <alignment horizontal="center" vertical="center" wrapText="1"/>
    </xf>
    <xf numFmtId="43" fontId="0" fillId="8" borderId="40" xfId="1" applyFont="1" applyFill="1" applyBorder="1" applyAlignment="1">
      <alignment vertical="center"/>
    </xf>
    <xf numFmtId="43" fontId="0" fillId="8" borderId="40" xfId="0" applyNumberFormat="1" applyFill="1" applyBorder="1" applyAlignment="1">
      <alignment vertical="center"/>
    </xf>
    <xf numFmtId="0" fontId="8" fillId="0" borderId="41" xfId="0" applyFont="1" applyBorder="1" applyAlignment="1">
      <alignment horizontal="left" vertical="top" wrapText="1"/>
    </xf>
    <xf numFmtId="0" fontId="0" fillId="6" borderId="42" xfId="0" applyFill="1" applyBorder="1" applyAlignment="1">
      <alignment horizontal="left" vertical="center" wrapText="1"/>
    </xf>
    <xf numFmtId="14" fontId="6" fillId="6" borderId="42" xfId="0" applyNumberFormat="1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43" fontId="0" fillId="0" borderId="42" xfId="1" applyFont="1" applyBorder="1" applyAlignment="1">
      <alignment horizontal="center" vertical="center" wrapText="1"/>
    </xf>
    <xf numFmtId="43" fontId="0" fillId="10" borderId="42" xfId="1" applyFont="1" applyFill="1" applyBorder="1" applyAlignment="1">
      <alignment horizontal="center" vertical="center" wrapText="1"/>
    </xf>
    <xf numFmtId="9" fontId="0" fillId="0" borderId="42" xfId="2" applyFont="1" applyBorder="1" applyAlignment="1">
      <alignment horizontal="center" vertical="center" wrapText="1"/>
    </xf>
    <xf numFmtId="43" fontId="0" fillId="0" borderId="42" xfId="0" applyNumberFormat="1" applyBorder="1" applyAlignment="1">
      <alignment vertical="center"/>
    </xf>
    <xf numFmtId="43" fontId="0" fillId="0" borderId="42" xfId="1" applyFont="1" applyBorder="1" applyAlignment="1">
      <alignment vertical="center"/>
    </xf>
    <xf numFmtId="43" fontId="0" fillId="0" borderId="43" xfId="0" applyNumberFormat="1" applyBorder="1" applyAlignment="1">
      <alignment vertical="center"/>
    </xf>
    <xf numFmtId="0" fontId="8" fillId="0" borderId="44" xfId="0" applyFont="1" applyBorder="1" applyAlignment="1">
      <alignment horizontal="left" vertical="top" wrapText="1"/>
    </xf>
    <xf numFmtId="43" fontId="0" fillId="0" borderId="45" xfId="0" applyNumberFormat="1" applyBorder="1" applyAlignment="1">
      <alignment vertical="center"/>
    </xf>
    <xf numFmtId="0" fontId="5" fillId="0" borderId="44" xfId="0" applyFont="1" applyBorder="1" applyAlignment="1">
      <alignment horizontal="left" vertical="center" wrapText="1"/>
    </xf>
    <xf numFmtId="43" fontId="0" fillId="8" borderId="45" xfId="0" applyNumberFormat="1" applyFill="1" applyBorder="1" applyAlignment="1">
      <alignment vertical="center"/>
    </xf>
    <xf numFmtId="0" fontId="0" fillId="6" borderId="47" xfId="0" applyFill="1" applyBorder="1" applyAlignment="1">
      <alignment horizontal="left" vertical="center" wrapText="1"/>
    </xf>
    <xf numFmtId="14" fontId="6" fillId="6" borderId="47" xfId="0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43" fontId="0" fillId="0" borderId="47" xfId="1" applyFont="1" applyBorder="1" applyAlignment="1">
      <alignment horizontal="center" vertical="center" wrapText="1"/>
    </xf>
    <xf numFmtId="43" fontId="0" fillId="10" borderId="47" xfId="1" applyFont="1" applyFill="1" applyBorder="1" applyAlignment="1">
      <alignment horizontal="center" vertical="center" wrapText="1"/>
    </xf>
    <xf numFmtId="9" fontId="0" fillId="0" borderId="47" xfId="2" applyFont="1" applyBorder="1" applyAlignment="1">
      <alignment horizontal="center" vertical="center" wrapText="1"/>
    </xf>
    <xf numFmtId="43" fontId="0" fillId="0" borderId="47" xfId="0" applyNumberFormat="1" applyBorder="1" applyAlignment="1">
      <alignment vertical="center"/>
    </xf>
    <xf numFmtId="43" fontId="0" fillId="0" borderId="47" xfId="1" applyFont="1" applyBorder="1" applyAlignment="1">
      <alignment vertical="center"/>
    </xf>
    <xf numFmtId="43" fontId="9" fillId="0" borderId="47" xfId="1" applyFont="1" applyBorder="1" applyAlignment="1">
      <alignment horizontal="right" vertical="top" wrapText="1"/>
    </xf>
    <xf numFmtId="43" fontId="0" fillId="0" borderId="48" xfId="0" applyNumberFormat="1" applyBorder="1" applyAlignment="1">
      <alignment vertical="center"/>
    </xf>
    <xf numFmtId="0" fontId="4" fillId="0" borderId="41" xfId="0" applyFont="1" applyBorder="1" applyAlignment="1">
      <alignment horizontal="left" vertical="top" wrapText="1"/>
    </xf>
    <xf numFmtId="43" fontId="9" fillId="0" borderId="42" xfId="1" applyFont="1" applyBorder="1" applyAlignment="1">
      <alignment horizontal="right" vertical="top" wrapText="1"/>
    </xf>
    <xf numFmtId="43" fontId="0" fillId="7" borderId="42" xfId="1" applyFont="1" applyFill="1" applyBorder="1" applyAlignment="1">
      <alignment horizontal="center" vertical="center" wrapText="1"/>
    </xf>
    <xf numFmtId="43" fontId="9" fillId="0" borderId="42" xfId="1" applyFont="1" applyBorder="1" applyAlignment="1">
      <alignment horizontal="right" vertical="center" wrapText="1"/>
    </xf>
    <xf numFmtId="43" fontId="0" fillId="7" borderId="47" xfId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43" fontId="9" fillId="0" borderId="42" xfId="1" applyFont="1" applyBorder="1" applyAlignment="1">
      <alignment horizontal="center" vertical="center" wrapText="1"/>
    </xf>
    <xf numFmtId="43" fontId="0" fillId="7" borderId="40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4" fillId="6" borderId="40" xfId="0" applyFont="1" applyFill="1" applyBorder="1" applyAlignment="1">
      <alignment horizontal="left" vertical="center" wrapText="1"/>
    </xf>
    <xf numFmtId="0" fontId="4" fillId="8" borderId="44" xfId="0" applyFont="1" applyFill="1" applyBorder="1" applyAlignment="1">
      <alignment horizontal="left" vertical="top" wrapText="1"/>
    </xf>
    <xf numFmtId="43" fontId="9" fillId="8" borderId="40" xfId="1" applyFont="1" applyFill="1" applyBorder="1" applyAlignment="1">
      <alignment horizontal="right" vertical="top" wrapText="1"/>
    </xf>
    <xf numFmtId="0" fontId="4" fillId="8" borderId="46" xfId="0" applyFont="1" applyFill="1" applyBorder="1" applyAlignment="1">
      <alignment horizontal="left" vertical="top" wrapText="1"/>
    </xf>
    <xf numFmtId="0" fontId="0" fillId="8" borderId="47" xfId="0" applyFill="1" applyBorder="1" applyAlignment="1">
      <alignment horizontal="left" vertical="center" wrapText="1"/>
    </xf>
    <xf numFmtId="43" fontId="0" fillId="2" borderId="47" xfId="1" applyFont="1" applyFill="1" applyBorder="1" applyAlignment="1">
      <alignment horizontal="center" vertical="center" wrapText="1"/>
    </xf>
    <xf numFmtId="43" fontId="9" fillId="8" borderId="47" xfId="1" applyFont="1" applyFill="1" applyBorder="1" applyAlignment="1">
      <alignment horizontal="right" vertical="top" wrapText="1"/>
    </xf>
    <xf numFmtId="43" fontId="0" fillId="8" borderId="47" xfId="1" applyFont="1" applyFill="1" applyBorder="1" applyAlignment="1">
      <alignment vertical="center"/>
    </xf>
    <xf numFmtId="43" fontId="0" fillId="8" borderId="47" xfId="0" applyNumberFormat="1" applyFill="1" applyBorder="1" applyAlignment="1">
      <alignment vertical="center"/>
    </xf>
    <xf numFmtId="43" fontId="0" fillId="8" borderId="48" xfId="0" applyNumberFormat="1" applyFill="1" applyBorder="1" applyAlignment="1">
      <alignment vertical="center"/>
    </xf>
    <xf numFmtId="43" fontId="0" fillId="0" borderId="29" xfId="1" applyFont="1" applyBorder="1" applyAlignment="1">
      <alignment vertical="center"/>
    </xf>
    <xf numFmtId="43" fontId="0" fillId="0" borderId="32" xfId="1" applyFont="1" applyBorder="1" applyAlignment="1">
      <alignment vertical="center"/>
    </xf>
    <xf numFmtId="0" fontId="8" fillId="0" borderId="49" xfId="0" applyFont="1" applyBorder="1" applyAlignment="1">
      <alignment horizontal="left" vertical="center" wrapText="1"/>
    </xf>
    <xf numFmtId="0" fontId="0" fillId="6" borderId="50" xfId="0" applyFill="1" applyBorder="1" applyAlignment="1">
      <alignment horizontal="left" vertical="center" wrapText="1"/>
    </xf>
    <xf numFmtId="14" fontId="6" fillId="6" borderId="50" xfId="0" applyNumberFormat="1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43" fontId="0" fillId="0" borderId="50" xfId="1" applyFont="1" applyBorder="1" applyAlignment="1">
      <alignment horizontal="center" vertical="center" wrapText="1"/>
    </xf>
    <xf numFmtId="43" fontId="0" fillId="10" borderId="50" xfId="1" applyFont="1" applyFill="1" applyBorder="1" applyAlignment="1">
      <alignment horizontal="center" vertical="center" wrapText="1"/>
    </xf>
    <xf numFmtId="9" fontId="0" fillId="0" borderId="50" xfId="2" applyFont="1" applyBorder="1" applyAlignment="1">
      <alignment horizontal="center" vertical="center" wrapText="1"/>
    </xf>
    <xf numFmtId="43" fontId="0" fillId="0" borderId="50" xfId="0" applyNumberFormat="1" applyBorder="1" applyAlignment="1">
      <alignment vertical="center"/>
    </xf>
    <xf numFmtId="43" fontId="0" fillId="0" borderId="50" xfId="1" applyFont="1" applyBorder="1" applyAlignment="1">
      <alignment vertical="center"/>
    </xf>
    <xf numFmtId="43" fontId="9" fillId="0" borderId="50" xfId="1" applyFont="1" applyBorder="1" applyAlignment="1">
      <alignment horizontal="right" vertical="center" wrapText="1"/>
    </xf>
    <xf numFmtId="43" fontId="0" fillId="0" borderId="51" xfId="0" applyNumberFormat="1" applyBorder="1" applyAlignment="1">
      <alignment vertical="center"/>
    </xf>
    <xf numFmtId="0" fontId="2" fillId="0" borderId="0" xfId="0" applyFont="1" applyAlignment="1">
      <alignment horizontal="center" wrapText="1"/>
    </xf>
    <xf numFmtId="43" fontId="0" fillId="0" borderId="0" xfId="0" applyNumberFormat="1" applyAlignment="1">
      <alignment vertical="center"/>
    </xf>
    <xf numFmtId="0" fontId="0" fillId="8" borderId="0" xfId="0" applyFill="1" applyAlignment="1">
      <alignment horizontal="center"/>
    </xf>
    <xf numFmtId="0" fontId="8" fillId="8" borderId="44" xfId="0" applyFont="1" applyFill="1" applyBorder="1" applyAlignment="1">
      <alignment horizontal="left" vertical="top" wrapText="1"/>
    </xf>
    <xf numFmtId="43" fontId="0" fillId="0" borderId="53" xfId="1" applyFont="1" applyBorder="1" applyAlignment="1">
      <alignment vertical="center"/>
    </xf>
    <xf numFmtId="43" fontId="0" fillId="0" borderId="54" xfId="0" applyNumberFormat="1" applyBorder="1" applyAlignment="1">
      <alignment vertical="center"/>
    </xf>
    <xf numFmtId="43" fontId="8" fillId="8" borderId="55" xfId="1" applyFont="1" applyFill="1" applyBorder="1" applyAlignment="1">
      <alignment horizontal="left" vertical="top" wrapText="1"/>
    </xf>
    <xf numFmtId="43" fontId="8" fillId="8" borderId="56" xfId="1" applyFont="1" applyFill="1" applyBorder="1" applyAlignment="1">
      <alignment horizontal="left" vertical="top" wrapText="1"/>
    </xf>
    <xf numFmtId="43" fontId="8" fillId="8" borderId="57" xfId="1" applyFont="1" applyFill="1" applyBorder="1" applyAlignment="1">
      <alignment horizontal="left" vertical="top" wrapText="1"/>
    </xf>
    <xf numFmtId="43" fontId="8" fillId="8" borderId="40" xfId="1" applyFont="1" applyFill="1" applyBorder="1" applyAlignment="1">
      <alignment horizontal="left" vertical="top" wrapText="1"/>
    </xf>
    <xf numFmtId="43" fontId="8" fillId="8" borderId="58" xfId="1" applyFont="1" applyFill="1" applyBorder="1" applyAlignment="1">
      <alignment horizontal="left" vertical="top" wrapText="1"/>
    </xf>
    <xf numFmtId="43" fontId="8" fillId="8" borderId="59" xfId="1" applyFont="1" applyFill="1" applyBorder="1" applyAlignment="1">
      <alignment horizontal="left" vertical="top" wrapText="1"/>
    </xf>
    <xf numFmtId="43" fontId="8" fillId="8" borderId="60" xfId="1" applyFont="1" applyFill="1" applyBorder="1" applyAlignment="1">
      <alignment horizontal="left" vertical="top" wrapText="1"/>
    </xf>
    <xf numFmtId="43" fontId="8" fillId="8" borderId="61" xfId="1" applyFont="1" applyFill="1" applyBorder="1" applyAlignment="1">
      <alignment horizontal="left" vertical="top" wrapText="1"/>
    </xf>
    <xf numFmtId="43" fontId="0" fillId="0" borderId="62" xfId="1" applyFont="1" applyBorder="1" applyAlignment="1">
      <alignment vertical="center"/>
    </xf>
    <xf numFmtId="43" fontId="11" fillId="8" borderId="40" xfId="0" applyNumberFormat="1" applyFont="1" applyFill="1" applyBorder="1" applyAlignment="1">
      <alignment vertical="center"/>
    </xf>
    <xf numFmtId="43" fontId="9" fillId="0" borderId="40" xfId="1" applyFont="1" applyBorder="1" applyAlignment="1">
      <alignment horizontal="right" vertical="center" wrapText="1"/>
    </xf>
    <xf numFmtId="43" fontId="9" fillId="0" borderId="47" xfId="1" applyFont="1" applyBorder="1" applyAlignment="1">
      <alignment horizontal="right" vertical="center" wrapText="1"/>
    </xf>
    <xf numFmtId="0" fontId="0" fillId="6" borderId="63" xfId="0" applyFill="1" applyBorder="1" applyAlignment="1">
      <alignment horizontal="left" vertical="center" wrapText="1"/>
    </xf>
    <xf numFmtId="14" fontId="6" fillId="6" borderId="63" xfId="0" applyNumberFormat="1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43" fontId="0" fillId="0" borderId="63" xfId="1" applyFont="1" applyBorder="1" applyAlignment="1">
      <alignment horizontal="center" vertical="center" wrapText="1"/>
    </xf>
    <xf numFmtId="43" fontId="0" fillId="10" borderId="63" xfId="1" applyFont="1" applyFill="1" applyBorder="1" applyAlignment="1">
      <alignment horizontal="center" vertical="center" wrapText="1"/>
    </xf>
    <xf numFmtId="0" fontId="0" fillId="6" borderId="64" xfId="0" applyFill="1" applyBorder="1" applyAlignment="1">
      <alignment horizontal="left" vertical="center" wrapText="1"/>
    </xf>
    <xf numFmtId="14" fontId="6" fillId="6" borderId="64" xfId="0" applyNumberFormat="1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43" fontId="0" fillId="0" borderId="64" xfId="1" applyFont="1" applyBorder="1" applyAlignment="1">
      <alignment horizontal="center" vertical="center" wrapText="1"/>
    </xf>
    <xf numFmtId="43" fontId="0" fillId="10" borderId="64" xfId="1" applyFont="1" applyFill="1" applyBorder="1" applyAlignment="1">
      <alignment horizontal="center" vertical="center" wrapText="1"/>
    </xf>
    <xf numFmtId="0" fontId="0" fillId="8" borderId="65" xfId="0" applyFill="1" applyBorder="1" applyAlignment="1">
      <alignment horizontal="center"/>
    </xf>
    <xf numFmtId="0" fontId="0" fillId="8" borderId="63" xfId="0" applyFill="1" applyBorder="1" applyAlignment="1">
      <alignment horizontal="center"/>
    </xf>
    <xf numFmtId="0" fontId="0" fillId="8" borderId="66" xfId="0" applyFill="1" applyBorder="1" applyAlignment="1">
      <alignment horizontal="center"/>
    </xf>
    <xf numFmtId="43" fontId="0" fillId="0" borderId="58" xfId="1" applyFont="1" applyBorder="1" applyAlignment="1">
      <alignment vertical="center"/>
    </xf>
    <xf numFmtId="43" fontId="0" fillId="0" borderId="67" xfId="1" applyFont="1" applyBorder="1" applyAlignment="1">
      <alignment vertical="center"/>
    </xf>
    <xf numFmtId="43" fontId="0" fillId="0" borderId="68" xfId="0" applyNumberFormat="1" applyBorder="1" applyAlignment="1">
      <alignment vertical="center"/>
    </xf>
    <xf numFmtId="43" fontId="0" fillId="0" borderId="69" xfId="1" applyFont="1" applyBorder="1" applyAlignment="1">
      <alignment vertical="center"/>
    </xf>
    <xf numFmtId="43" fontId="0" fillId="0" borderId="70" xfId="1" applyFont="1" applyBorder="1" applyAlignment="1">
      <alignment vertical="center"/>
    </xf>
    <xf numFmtId="43" fontId="0" fillId="0" borderId="71" xfId="0" applyNumberFormat="1" applyBorder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10" borderId="0" xfId="1" applyFont="1" applyFill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wrapText="1"/>
    </xf>
    <xf numFmtId="3" fontId="0" fillId="0" borderId="73" xfId="0" applyNumberFormat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3" fontId="0" fillId="8" borderId="44" xfId="0" applyNumberFormat="1" applyFill="1" applyBorder="1" applyAlignment="1">
      <alignment horizontal="center"/>
    </xf>
    <xf numFmtId="3" fontId="0" fillId="8" borderId="74" xfId="0" applyNumberFormat="1" applyFill="1" applyBorder="1" applyAlignment="1">
      <alignment horizontal="center"/>
    </xf>
    <xf numFmtId="43" fontId="0" fillId="10" borderId="40" xfId="1" applyFont="1" applyFill="1" applyBorder="1" applyAlignment="1">
      <alignment vertical="center"/>
    </xf>
    <xf numFmtId="43" fontId="0" fillId="11" borderId="40" xfId="1" applyFont="1" applyFill="1" applyBorder="1" applyAlignment="1">
      <alignment vertical="center"/>
    </xf>
    <xf numFmtId="0" fontId="0" fillId="8" borderId="75" xfId="0" applyFill="1" applyBorder="1" applyAlignment="1">
      <alignment horizontal="center"/>
    </xf>
    <xf numFmtId="0" fontId="4" fillId="8" borderId="40" xfId="0" applyFont="1" applyFill="1" applyBorder="1" applyAlignment="1">
      <alignment horizontal="left" vertical="top" wrapText="1"/>
    </xf>
    <xf numFmtId="0" fontId="0" fillId="8" borderId="76" xfId="0" applyFill="1" applyBorder="1" applyAlignment="1">
      <alignment horizontal="left" vertical="center" wrapText="1"/>
    </xf>
    <xf numFmtId="14" fontId="6" fillId="6" borderId="76" xfId="0" applyNumberFormat="1" applyFont="1" applyFill="1" applyBorder="1" applyAlignment="1">
      <alignment horizontal="center" vertical="center" wrapText="1"/>
    </xf>
    <xf numFmtId="0" fontId="5" fillId="6" borderId="76" xfId="0" applyFont="1" applyFill="1" applyBorder="1" applyAlignment="1">
      <alignment horizontal="center" vertical="center" wrapText="1"/>
    </xf>
    <xf numFmtId="43" fontId="0" fillId="2" borderId="76" xfId="1" applyFont="1" applyFill="1" applyBorder="1" applyAlignment="1">
      <alignment horizontal="center" vertical="center" wrapText="1"/>
    </xf>
    <xf numFmtId="43" fontId="0" fillId="0" borderId="76" xfId="1" applyFont="1" applyBorder="1" applyAlignment="1">
      <alignment horizontal="center" vertical="center" wrapText="1"/>
    </xf>
    <xf numFmtId="43" fontId="0" fillId="10" borderId="76" xfId="1" applyFont="1" applyFill="1" applyBorder="1" applyAlignment="1">
      <alignment horizontal="center" vertical="center" wrapText="1"/>
    </xf>
    <xf numFmtId="9" fontId="0" fillId="0" borderId="76" xfId="2" applyFont="1" applyBorder="1" applyAlignment="1">
      <alignment horizontal="center" vertical="center" wrapText="1"/>
    </xf>
    <xf numFmtId="43" fontId="0" fillId="0" borderId="76" xfId="0" applyNumberFormat="1" applyBorder="1" applyAlignment="1">
      <alignment vertical="center"/>
    </xf>
    <xf numFmtId="43" fontId="9" fillId="8" borderId="76" xfId="1" applyFont="1" applyFill="1" applyBorder="1" applyAlignment="1">
      <alignment horizontal="right" vertical="top" wrapText="1"/>
    </xf>
    <xf numFmtId="43" fontId="0" fillId="8" borderId="76" xfId="1" applyFont="1" applyFill="1" applyBorder="1" applyAlignment="1">
      <alignment vertical="center"/>
    </xf>
    <xf numFmtId="0" fontId="0" fillId="8" borderId="68" xfId="0" applyFill="1" applyBorder="1" applyAlignment="1">
      <alignment horizontal="center"/>
    </xf>
    <xf numFmtId="0" fontId="0" fillId="8" borderId="77" xfId="0" applyFill="1" applyBorder="1" applyAlignment="1">
      <alignment horizontal="center"/>
    </xf>
    <xf numFmtId="0" fontId="4" fillId="8" borderId="47" xfId="0" applyFont="1" applyFill="1" applyBorder="1" applyAlignment="1">
      <alignment horizontal="left" vertical="top" wrapText="1"/>
    </xf>
    <xf numFmtId="43" fontId="0" fillId="8" borderId="42" xfId="1" applyFont="1" applyFill="1" applyBorder="1" applyAlignment="1">
      <alignment vertical="center"/>
    </xf>
    <xf numFmtId="43" fontId="0" fillId="8" borderId="42" xfId="0" applyNumberFormat="1" applyFill="1" applyBorder="1" applyAlignment="1">
      <alignment vertical="center"/>
    </xf>
    <xf numFmtId="43" fontId="0" fillId="8" borderId="43" xfId="0" applyNumberFormat="1" applyFill="1" applyBorder="1" applyAlignment="1">
      <alignment vertical="center"/>
    </xf>
    <xf numFmtId="0" fontId="0" fillId="8" borderId="52" xfId="0" applyFill="1" applyBorder="1" applyAlignment="1">
      <alignment horizontal="center" vertical="center"/>
    </xf>
    <xf numFmtId="0" fontId="0" fillId="8" borderId="78" xfId="3" applyFont="1" applyFill="1" applyBorder="1" applyAlignment="1">
      <alignment horizontal="left" vertical="center"/>
    </xf>
    <xf numFmtId="43" fontId="0" fillId="6" borderId="42" xfId="0" applyNumberFormat="1" applyFill="1" applyBorder="1" applyAlignment="1">
      <alignment horizontal="left" vertical="center" wrapText="1"/>
    </xf>
    <xf numFmtId="43" fontId="2" fillId="4" borderId="42" xfId="1" applyFont="1" applyFill="1" applyBorder="1" applyAlignment="1">
      <alignment vertical="center" wrapText="1"/>
    </xf>
    <xf numFmtId="0" fontId="0" fillId="8" borderId="57" xfId="3" applyFont="1" applyFill="1" applyBorder="1" applyAlignment="1">
      <alignment horizontal="left" vertical="center" wrapText="1"/>
    </xf>
    <xf numFmtId="43" fontId="0" fillId="6" borderId="40" xfId="0" applyNumberFormat="1" applyFill="1" applyBorder="1" applyAlignment="1">
      <alignment horizontal="left" vertical="center" wrapText="1"/>
    </xf>
    <xf numFmtId="43" fontId="2" fillId="4" borderId="40" xfId="1" applyFont="1" applyFill="1" applyBorder="1" applyAlignment="1">
      <alignment vertical="center" wrapText="1"/>
    </xf>
    <xf numFmtId="0" fontId="0" fillId="8" borderId="57" xfId="4" applyFont="1" applyFill="1" applyBorder="1" applyAlignment="1">
      <alignment horizontal="left" vertical="center" wrapText="1"/>
    </xf>
    <xf numFmtId="0" fontId="0" fillId="8" borderId="79" xfId="4" applyFont="1" applyFill="1" applyBorder="1" applyAlignment="1">
      <alignment horizontal="left" vertical="center" wrapText="1"/>
    </xf>
    <xf numFmtId="43" fontId="0" fillId="6" borderId="47" xfId="0" applyNumberFormat="1" applyFill="1" applyBorder="1" applyAlignment="1">
      <alignment horizontal="left" vertical="center" wrapText="1"/>
    </xf>
    <xf numFmtId="43" fontId="2" fillId="4" borderId="47" xfId="1" applyFont="1" applyFill="1" applyBorder="1" applyAlignment="1">
      <alignment vertical="center" wrapText="1"/>
    </xf>
    <xf numFmtId="43" fontId="9" fillId="0" borderId="0" xfId="1" applyFont="1" applyAlignment="1">
      <alignment horizontal="right" vertical="center" wrapText="1"/>
    </xf>
    <xf numFmtId="43" fontId="4" fillId="8" borderId="40" xfId="1" applyFont="1" applyFill="1" applyBorder="1" applyAlignment="1">
      <alignment horizontal="left" vertical="top" wrapText="1"/>
    </xf>
    <xf numFmtId="43" fontId="0" fillId="11" borderId="42" xfId="1" applyFont="1" applyFill="1" applyBorder="1" applyAlignment="1">
      <alignment vertical="center"/>
    </xf>
    <xf numFmtId="43" fontId="0" fillId="11" borderId="43" xfId="0" applyNumberFormat="1" applyFill="1" applyBorder="1" applyAlignment="1">
      <alignment vertical="center"/>
    </xf>
    <xf numFmtId="0" fontId="0" fillId="11" borderId="0" xfId="0" applyFill="1"/>
    <xf numFmtId="9" fontId="0" fillId="0" borderId="0" xfId="0" applyNumberFormat="1"/>
    <xf numFmtId="43" fontId="2" fillId="0" borderId="84" xfId="1" applyFont="1" applyBorder="1" applyAlignment="1">
      <alignment horizontal="center" vertical="center" wrapText="1"/>
    </xf>
    <xf numFmtId="43" fontId="0" fillId="8" borderId="41" xfId="1" applyFont="1" applyFill="1" applyBorder="1" applyAlignment="1">
      <alignment vertical="center"/>
    </xf>
    <xf numFmtId="43" fontId="0" fillId="8" borderId="46" xfId="1" applyFont="1" applyFill="1" applyBorder="1" applyAlignment="1">
      <alignment vertical="center"/>
    </xf>
    <xf numFmtId="43" fontId="0" fillId="0" borderId="49" xfId="1" applyFont="1" applyBorder="1" applyAlignment="1">
      <alignment vertical="center"/>
    </xf>
    <xf numFmtId="43" fontId="0" fillId="11" borderId="41" xfId="1" applyFont="1" applyFill="1" applyBorder="1" applyAlignment="1">
      <alignment vertical="center"/>
    </xf>
    <xf numFmtId="43" fontId="0" fillId="8" borderId="44" xfId="1" applyFont="1" applyFill="1" applyBorder="1" applyAlignment="1">
      <alignment vertical="center"/>
    </xf>
    <xf numFmtId="43" fontId="0" fillId="0" borderId="41" xfId="1" applyFont="1" applyBorder="1" applyAlignment="1">
      <alignment vertical="center"/>
    </xf>
    <xf numFmtId="43" fontId="0" fillId="0" borderId="44" xfId="1" applyFont="1" applyBorder="1" applyAlignment="1">
      <alignment vertical="center"/>
    </xf>
    <xf numFmtId="43" fontId="4" fillId="8" borderId="44" xfId="1" applyFont="1" applyFill="1" applyBorder="1" applyAlignment="1">
      <alignment horizontal="left" vertical="top" wrapText="1"/>
    </xf>
    <xf numFmtId="43" fontId="4" fillId="8" borderId="45" xfId="1" applyFont="1" applyFill="1" applyBorder="1" applyAlignment="1">
      <alignment horizontal="left" vertical="top" wrapText="1"/>
    </xf>
    <xf numFmtId="43" fontId="4" fillId="8" borderId="46" xfId="1" applyFont="1" applyFill="1" applyBorder="1" applyAlignment="1">
      <alignment horizontal="left" vertical="top" wrapText="1"/>
    </xf>
    <xf numFmtId="43" fontId="4" fillId="8" borderId="47" xfId="1" applyFont="1" applyFill="1" applyBorder="1" applyAlignment="1">
      <alignment horizontal="left" vertical="top" wrapText="1"/>
    </xf>
    <xf numFmtId="43" fontId="4" fillId="8" borderId="48" xfId="1" applyFont="1" applyFill="1" applyBorder="1" applyAlignment="1">
      <alignment horizontal="left" vertical="top" wrapText="1"/>
    </xf>
    <xf numFmtId="0" fontId="0" fillId="8" borderId="46" xfId="4" applyFont="1" applyFill="1" applyBorder="1" applyAlignment="1">
      <alignment horizontal="left" vertical="center" wrapText="1"/>
    </xf>
    <xf numFmtId="43" fontId="2" fillId="11" borderId="72" xfId="1" applyFont="1" applyFill="1" applyBorder="1" applyAlignment="1">
      <alignment vertical="center" wrapText="1"/>
    </xf>
    <xf numFmtId="43" fontId="0" fillId="11" borderId="0" xfId="0" applyNumberFormat="1" applyFill="1"/>
    <xf numFmtId="0" fontId="2" fillId="11" borderId="0" xfId="0" applyFont="1" applyFill="1"/>
    <xf numFmtId="43" fontId="10" fillId="4" borderId="85" xfId="1" applyFont="1" applyFill="1" applyBorder="1" applyAlignment="1">
      <alignment vertical="center" wrapText="1"/>
    </xf>
    <xf numFmtId="43" fontId="0" fillId="11" borderId="0" xfId="1" applyFont="1" applyFill="1"/>
    <xf numFmtId="43" fontId="0" fillId="11" borderId="40" xfId="1" applyFont="1" applyFill="1" applyBorder="1" applyAlignment="1">
      <alignment horizontal="center" vertical="center" wrapText="1"/>
    </xf>
    <xf numFmtId="43" fontId="9" fillId="11" borderId="40" xfId="1" applyFont="1" applyFill="1" applyBorder="1" applyAlignment="1">
      <alignment horizontal="right" vertical="top" wrapText="1"/>
    </xf>
    <xf numFmtId="43" fontId="0" fillId="11" borderId="40" xfId="0" applyNumberFormat="1" applyFill="1" applyBorder="1" applyAlignment="1">
      <alignment vertical="center"/>
    </xf>
    <xf numFmtId="43" fontId="0" fillId="11" borderId="45" xfId="0" applyNumberFormat="1" applyFill="1" applyBorder="1" applyAlignment="1">
      <alignment vertical="center"/>
    </xf>
    <xf numFmtId="43" fontId="0" fillId="11" borderId="44" xfId="1" applyFont="1" applyFill="1" applyBorder="1" applyAlignment="1">
      <alignment vertical="center"/>
    </xf>
    <xf numFmtId="9" fontId="0" fillId="11" borderId="40" xfId="2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right"/>
    </xf>
    <xf numFmtId="0" fontId="3" fillId="13" borderId="83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11" borderId="0" xfId="1" applyFont="1" applyFill="1" applyAlignment="1">
      <alignment vertical="center"/>
    </xf>
    <xf numFmtId="43" fontId="4" fillId="0" borderId="40" xfId="1" applyFont="1" applyBorder="1" applyAlignment="1">
      <alignment horizontal="right" vertical="center" wrapText="1"/>
    </xf>
    <xf numFmtId="43" fontId="13" fillId="0" borderId="40" xfId="1" applyFont="1" applyBorder="1" applyAlignment="1">
      <alignment horizontal="right" vertical="center" wrapText="1"/>
    </xf>
    <xf numFmtId="43" fontId="13" fillId="0" borderId="42" xfId="1" applyFont="1" applyBorder="1" applyAlignment="1">
      <alignment horizontal="right" vertical="center" wrapText="1"/>
    </xf>
    <xf numFmtId="43" fontId="13" fillId="11" borderId="40" xfId="1" applyFont="1" applyFill="1" applyBorder="1" applyAlignment="1">
      <alignment horizontal="right" vertical="center" wrapText="1"/>
    </xf>
    <xf numFmtId="43" fontId="13" fillId="8" borderId="40" xfId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0" fillId="0" borderId="0" xfId="0" applyAlignment="1">
      <alignment vertical="center"/>
    </xf>
    <xf numFmtId="43" fontId="3" fillId="0" borderId="40" xfId="1" applyFont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left" vertical="center" wrapText="1"/>
    </xf>
    <xf numFmtId="43" fontId="3" fillId="0" borderId="4" xfId="1" applyFont="1" applyBorder="1" applyAlignment="1">
      <alignment vertical="center" wrapText="1"/>
    </xf>
    <xf numFmtId="0" fontId="0" fillId="6" borderId="40" xfId="0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43" fontId="0" fillId="11" borderId="86" xfId="1" applyFont="1" applyFill="1" applyBorder="1" applyAlignment="1">
      <alignment horizontal="center" vertical="center" wrapText="1"/>
    </xf>
    <xf numFmtId="43" fontId="0" fillId="0" borderId="86" xfId="1" applyFont="1" applyBorder="1" applyAlignment="1">
      <alignment horizontal="center" vertical="center" wrapText="1"/>
    </xf>
    <xf numFmtId="9" fontId="0" fillId="0" borderId="87" xfId="2" applyFont="1" applyBorder="1" applyAlignment="1">
      <alignment horizontal="center" vertical="center" wrapText="1"/>
    </xf>
    <xf numFmtId="9" fontId="0" fillId="0" borderId="86" xfId="2" applyFont="1" applyBorder="1" applyAlignment="1">
      <alignment horizontal="center" vertical="center" wrapText="1"/>
    </xf>
    <xf numFmtId="39" fontId="0" fillId="0" borderId="0" xfId="0" applyNumberFormat="1"/>
    <xf numFmtId="43" fontId="0" fillId="11" borderId="76" xfId="1" applyFont="1" applyFill="1" applyBorder="1" applyAlignment="1">
      <alignment vertical="center"/>
    </xf>
    <xf numFmtId="0" fontId="0" fillId="6" borderId="42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43" fontId="0" fillId="6" borderId="76" xfId="0" applyNumberFormat="1" applyFill="1" applyBorder="1" applyAlignment="1">
      <alignment horizontal="center" vertical="center" wrapText="1"/>
    </xf>
    <xf numFmtId="43" fontId="0" fillId="6" borderId="40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" fillId="6" borderId="88" xfId="0" applyFont="1" applyFill="1" applyBorder="1" applyAlignment="1">
      <alignment horizontal="center" vertical="center" wrapText="1"/>
    </xf>
    <xf numFmtId="0" fontId="3" fillId="6" borderId="88" xfId="0" applyFont="1" applyFill="1" applyBorder="1" applyAlignment="1">
      <alignment vertical="center" wrapText="1"/>
    </xf>
    <xf numFmtId="0" fontId="2" fillId="6" borderId="88" xfId="0" applyFont="1" applyFill="1" applyBorder="1" applyAlignment="1">
      <alignment vertical="center" wrapText="1"/>
    </xf>
    <xf numFmtId="43" fontId="2" fillId="4" borderId="88" xfId="1" applyFont="1" applyFill="1" applyBorder="1" applyAlignment="1">
      <alignment vertical="center" wrapText="1"/>
    </xf>
    <xf numFmtId="0" fontId="3" fillId="4" borderId="88" xfId="0" applyFont="1" applyFill="1" applyBorder="1" applyAlignment="1">
      <alignment vertical="center" wrapText="1"/>
    </xf>
    <xf numFmtId="0" fontId="2" fillId="15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vertical="center" wrapText="1"/>
    </xf>
    <xf numFmtId="43" fontId="2" fillId="15" borderId="4" xfId="1" applyFont="1" applyFill="1" applyBorder="1" applyAlignment="1">
      <alignment vertical="center" wrapText="1"/>
    </xf>
    <xf numFmtId="43" fontId="10" fillId="15" borderId="4" xfId="1" applyFont="1" applyFill="1" applyBorder="1" applyAlignment="1">
      <alignment vertical="center" wrapText="1"/>
    </xf>
    <xf numFmtId="43" fontId="2" fillId="0" borderId="76" xfId="1" applyFont="1" applyBorder="1" applyAlignment="1">
      <alignment vertical="center" wrapText="1"/>
    </xf>
    <xf numFmtId="43" fontId="2" fillId="0" borderId="40" xfId="1" applyFont="1" applyBorder="1" applyAlignment="1">
      <alignment vertical="center" wrapText="1"/>
    </xf>
    <xf numFmtId="0" fontId="0" fillId="11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3" fontId="0" fillId="0" borderId="90" xfId="0" applyNumberFormat="1" applyBorder="1" applyAlignment="1">
      <alignment vertical="center"/>
    </xf>
    <xf numFmtId="43" fontId="0" fillId="0" borderId="58" xfId="0" applyNumberFormat="1" applyBorder="1" applyAlignment="1">
      <alignment vertical="center"/>
    </xf>
    <xf numFmtId="43" fontId="0" fillId="11" borderId="58" xfId="0" applyNumberFormat="1" applyFill="1" applyBorder="1" applyAlignment="1">
      <alignment vertical="center"/>
    </xf>
    <xf numFmtId="43" fontId="0" fillId="8" borderId="58" xfId="0" applyNumberFormat="1" applyFill="1" applyBorder="1" applyAlignment="1">
      <alignment vertical="center"/>
    </xf>
    <xf numFmtId="43" fontId="2" fillId="15" borderId="85" xfId="1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3" fontId="0" fillId="11" borderId="26" xfId="0" applyNumberFormat="1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91" xfId="0" applyFill="1" applyBorder="1" applyAlignment="1">
      <alignment horizontal="center" vertical="center"/>
    </xf>
    <xf numFmtId="43" fontId="0" fillId="11" borderId="92" xfId="0" applyNumberFormat="1" applyFill="1" applyBorder="1" applyAlignment="1">
      <alignment vertical="center"/>
    </xf>
    <xf numFmtId="0" fontId="0" fillId="11" borderId="93" xfId="0" applyFill="1" applyBorder="1" applyAlignment="1">
      <alignment horizontal="center" vertical="center"/>
    </xf>
    <xf numFmtId="0" fontId="2" fillId="11" borderId="94" xfId="0" applyFont="1" applyFill="1" applyBorder="1" applyAlignment="1">
      <alignment horizontal="center" vertical="center"/>
    </xf>
    <xf numFmtId="43" fontId="2" fillId="0" borderId="98" xfId="1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6" borderId="76" xfId="0" applyFill="1" applyBorder="1" applyAlignment="1">
      <alignment horizontal="center" vertical="center" wrapText="1"/>
    </xf>
    <xf numFmtId="43" fontId="0" fillId="0" borderId="76" xfId="1" applyFont="1" applyBorder="1" applyAlignment="1">
      <alignment vertical="center"/>
    </xf>
    <xf numFmtId="43" fontId="0" fillId="0" borderId="92" xfId="0" applyNumberFormat="1" applyBorder="1" applyAlignment="1">
      <alignment vertical="center"/>
    </xf>
    <xf numFmtId="0" fontId="3" fillId="14" borderId="52" xfId="0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0" fillId="6" borderId="52" xfId="0" applyFill="1" applyBorder="1" applyAlignment="1">
      <alignment horizontal="center" vertical="center" wrapText="1"/>
    </xf>
    <xf numFmtId="14" fontId="6" fillId="6" borderId="52" xfId="0" applyNumberFormat="1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43" fontId="10" fillId="4" borderId="52" xfId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3" fillId="6" borderId="52" xfId="0" applyFont="1" applyFill="1" applyBorder="1" applyAlignment="1">
      <alignment vertical="center" wrapText="1"/>
    </xf>
    <xf numFmtId="0" fontId="2" fillId="6" borderId="52" xfId="0" applyFont="1" applyFill="1" applyBorder="1" applyAlignment="1">
      <alignment vertical="center" wrapText="1"/>
    </xf>
    <xf numFmtId="43" fontId="2" fillId="4" borderId="52" xfId="1" applyFont="1" applyFill="1" applyBorder="1" applyAlignment="1">
      <alignment vertical="center" wrapText="1"/>
    </xf>
    <xf numFmtId="0" fontId="0" fillId="6" borderId="86" xfId="0" applyFill="1" applyBorder="1" applyAlignment="1">
      <alignment horizontal="center" vertical="center" wrapText="1"/>
    </xf>
    <xf numFmtId="14" fontId="6" fillId="6" borderId="86" xfId="0" applyNumberFormat="1" applyFont="1" applyFill="1" applyBorder="1" applyAlignment="1">
      <alignment horizontal="center" vertical="center" wrapText="1"/>
    </xf>
    <xf numFmtId="0" fontId="5" fillId="6" borderId="86" xfId="0" applyFont="1" applyFill="1" applyBorder="1" applyAlignment="1">
      <alignment horizontal="center" vertical="center" wrapText="1"/>
    </xf>
    <xf numFmtId="43" fontId="0" fillId="0" borderId="86" xfId="0" applyNumberFormat="1" applyBorder="1" applyAlignment="1">
      <alignment vertical="center"/>
    </xf>
    <xf numFmtId="43" fontId="13" fillId="0" borderId="86" xfId="1" applyFont="1" applyBorder="1" applyAlignment="1">
      <alignment horizontal="right" vertical="center" wrapText="1"/>
    </xf>
    <xf numFmtId="43" fontId="9" fillId="0" borderId="86" xfId="1" applyFont="1" applyBorder="1" applyAlignment="1">
      <alignment horizontal="right" vertical="top" wrapText="1"/>
    </xf>
    <xf numFmtId="43" fontId="0" fillId="0" borderId="86" xfId="1" applyFont="1" applyBorder="1" applyAlignment="1">
      <alignment vertical="center"/>
    </xf>
    <xf numFmtId="43" fontId="0" fillId="0" borderId="62" xfId="0" applyNumberFormat="1" applyBorder="1" applyAlignment="1">
      <alignment vertical="center"/>
    </xf>
    <xf numFmtId="43" fontId="13" fillId="0" borderId="76" xfId="1" applyFont="1" applyBorder="1" applyAlignment="1">
      <alignment horizontal="right" vertical="center" wrapText="1"/>
    </xf>
    <xf numFmtId="0" fontId="2" fillId="15" borderId="52" xfId="0" applyFont="1" applyFill="1" applyBorder="1" applyAlignment="1">
      <alignment vertical="center" wrapText="1"/>
    </xf>
    <xf numFmtId="43" fontId="0" fillId="15" borderId="52" xfId="0" applyNumberFormat="1" applyFill="1" applyBorder="1" applyAlignment="1">
      <alignment horizontal="center" vertical="center" wrapText="1"/>
    </xf>
    <xf numFmtId="14" fontId="6" fillId="15" borderId="52" xfId="0" applyNumberFormat="1" applyFont="1" applyFill="1" applyBorder="1" applyAlignment="1">
      <alignment horizontal="center" vertical="center" wrapText="1"/>
    </xf>
    <xf numFmtId="0" fontId="5" fillId="15" borderId="52" xfId="0" applyFont="1" applyFill="1" applyBorder="1" applyAlignment="1">
      <alignment horizontal="center" vertical="center" wrapText="1"/>
    </xf>
    <xf numFmtId="43" fontId="2" fillId="15" borderId="52" xfId="1" applyFont="1" applyFill="1" applyBorder="1" applyAlignment="1">
      <alignment vertical="center" wrapText="1"/>
    </xf>
    <xf numFmtId="9" fontId="0" fillId="15" borderId="52" xfId="2" applyFont="1" applyFill="1" applyBorder="1" applyAlignment="1">
      <alignment horizontal="center" vertical="center" wrapText="1"/>
    </xf>
    <xf numFmtId="0" fontId="0" fillId="11" borderId="99" xfId="0" applyFill="1" applyBorder="1" applyAlignment="1">
      <alignment horizontal="center" vertical="center"/>
    </xf>
    <xf numFmtId="43" fontId="13" fillId="8" borderId="86" xfId="1" applyFont="1" applyFill="1" applyBorder="1" applyAlignment="1">
      <alignment horizontal="right" vertical="center" wrapText="1"/>
    </xf>
    <xf numFmtId="43" fontId="9" fillId="8" borderId="86" xfId="1" applyFont="1" applyFill="1" applyBorder="1" applyAlignment="1">
      <alignment horizontal="right" vertical="top" wrapText="1"/>
    </xf>
    <xf numFmtId="43" fontId="0" fillId="8" borderId="86" xfId="1" applyFont="1" applyFill="1" applyBorder="1" applyAlignment="1">
      <alignment vertical="center"/>
    </xf>
    <xf numFmtId="43" fontId="0" fillId="8" borderId="62" xfId="0" applyNumberFormat="1" applyFill="1" applyBorder="1" applyAlignment="1">
      <alignment vertical="center"/>
    </xf>
    <xf numFmtId="43" fontId="13" fillId="0" borderId="76" xfId="1" applyFont="1" applyBorder="1" applyAlignment="1">
      <alignment horizontal="center" vertical="center" wrapText="1"/>
    </xf>
    <xf numFmtId="43" fontId="0" fillId="7" borderId="76" xfId="1" applyFont="1" applyFill="1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43" fontId="10" fillId="15" borderId="52" xfId="1" applyFont="1" applyFill="1" applyBorder="1" applyAlignment="1">
      <alignment vertical="center" wrapText="1"/>
    </xf>
    <xf numFmtId="0" fontId="0" fillId="0" borderId="91" xfId="0" applyBorder="1" applyAlignment="1">
      <alignment horizontal="center" vertical="center"/>
    </xf>
    <xf numFmtId="0" fontId="0" fillId="8" borderId="74" xfId="4" applyFont="1" applyFill="1" applyBorder="1" applyAlignment="1">
      <alignment horizontal="left" vertical="center" wrapText="1"/>
    </xf>
    <xf numFmtId="43" fontId="0" fillId="6" borderId="86" xfId="0" applyNumberFormat="1" applyFill="1" applyBorder="1" applyAlignment="1">
      <alignment horizontal="center" vertical="center" wrapText="1"/>
    </xf>
    <xf numFmtId="43" fontId="2" fillId="0" borderId="86" xfId="1" applyFont="1" applyBorder="1" applyAlignment="1">
      <alignment vertical="center" wrapText="1"/>
    </xf>
    <xf numFmtId="43" fontId="0" fillId="0" borderId="87" xfId="1" applyFont="1" applyBorder="1" applyAlignment="1">
      <alignment horizontal="center" vertical="center" wrapText="1"/>
    </xf>
    <xf numFmtId="9" fontId="0" fillId="0" borderId="52" xfId="2" applyFont="1" applyBorder="1" applyAlignment="1">
      <alignment horizontal="center" vertical="center" wrapText="1"/>
    </xf>
    <xf numFmtId="43" fontId="0" fillId="6" borderId="52" xfId="0" applyNumberFormat="1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14" fontId="6" fillId="6" borderId="87" xfId="0" applyNumberFormat="1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43" fontId="0" fillId="0" borderId="87" xfId="0" applyNumberFormat="1" applyBorder="1" applyAlignment="1">
      <alignment vertical="center"/>
    </xf>
    <xf numFmtId="43" fontId="0" fillId="0" borderId="87" xfId="1" applyFont="1" applyBorder="1" applyAlignment="1">
      <alignment vertical="center"/>
    </xf>
    <xf numFmtId="43" fontId="9" fillId="0" borderId="87" xfId="1" applyFont="1" applyBorder="1" applyAlignment="1">
      <alignment horizontal="right" vertical="center" wrapText="1"/>
    </xf>
    <xf numFmtId="43" fontId="0" fillId="0" borderId="101" xfId="0" applyNumberFormat="1" applyBorder="1" applyAlignment="1">
      <alignment vertical="center"/>
    </xf>
    <xf numFmtId="0" fontId="2" fillId="4" borderId="88" xfId="0" applyFont="1" applyFill="1" applyBorder="1" applyAlignment="1">
      <alignment vertical="center" wrapText="1"/>
    </xf>
    <xf numFmtId="43" fontId="0" fillId="0" borderId="40" xfId="1" applyFont="1" applyBorder="1" applyAlignment="1">
      <alignment horizontal="right" vertical="center" wrapText="1"/>
    </xf>
    <xf numFmtId="43" fontId="10" fillId="4" borderId="102" xfId="1" applyFont="1" applyFill="1" applyBorder="1" applyAlignment="1">
      <alignment vertical="center" wrapText="1"/>
    </xf>
    <xf numFmtId="43" fontId="2" fillId="4" borderId="102" xfId="1" applyFont="1" applyFill="1" applyBorder="1" applyAlignment="1">
      <alignment vertical="center" wrapText="1"/>
    </xf>
    <xf numFmtId="43" fontId="0" fillId="0" borderId="103" xfId="0" applyNumberFormat="1" applyBorder="1" applyAlignment="1">
      <alignment vertical="center"/>
    </xf>
    <xf numFmtId="43" fontId="0" fillId="0" borderId="104" xfId="0" applyNumberFormat="1" applyBorder="1" applyAlignment="1">
      <alignment vertical="center"/>
    </xf>
    <xf numFmtId="43" fontId="0" fillId="11" borderId="104" xfId="0" applyNumberFormat="1" applyFill="1" applyBorder="1" applyAlignment="1">
      <alignment vertical="center"/>
    </xf>
    <xf numFmtId="43" fontId="0" fillId="8" borderId="104" xfId="0" applyNumberFormat="1" applyFill="1" applyBorder="1" applyAlignment="1">
      <alignment vertical="center"/>
    </xf>
    <xf numFmtId="43" fontId="2" fillId="4" borderId="35" xfId="1" applyFont="1" applyFill="1" applyBorder="1" applyAlignment="1">
      <alignment vertical="center" wrapText="1"/>
    </xf>
    <xf numFmtId="43" fontId="0" fillId="0" borderId="105" xfId="0" applyNumberFormat="1" applyBorder="1" applyAlignment="1">
      <alignment vertical="center"/>
    </xf>
    <xf numFmtId="43" fontId="2" fillId="15" borderId="2" xfId="1" applyFont="1" applyFill="1" applyBorder="1" applyAlignment="1">
      <alignment vertical="center" wrapText="1"/>
    </xf>
    <xf numFmtId="43" fontId="0" fillId="0" borderId="106" xfId="0" applyNumberFormat="1" applyBorder="1" applyAlignment="1">
      <alignment vertical="center"/>
    </xf>
    <xf numFmtId="43" fontId="10" fillId="15" borderId="102" xfId="1" applyFont="1" applyFill="1" applyBorder="1" applyAlignment="1">
      <alignment vertical="center" wrapText="1"/>
    </xf>
    <xf numFmtId="43" fontId="2" fillId="15" borderId="102" xfId="1" applyFont="1" applyFill="1" applyBorder="1" applyAlignment="1">
      <alignment vertical="center" wrapText="1"/>
    </xf>
    <xf numFmtId="43" fontId="0" fillId="8" borderId="106" xfId="0" applyNumberFormat="1" applyFill="1" applyBorder="1" applyAlignment="1">
      <alignment vertical="center"/>
    </xf>
    <xf numFmtId="43" fontId="0" fillId="11" borderId="103" xfId="0" applyNumberFormat="1" applyFill="1" applyBorder="1" applyAlignment="1">
      <alignment vertical="center"/>
    </xf>
    <xf numFmtId="43" fontId="0" fillId="0" borderId="107" xfId="0" applyNumberFormat="1" applyBorder="1" applyAlignment="1">
      <alignment vertical="center"/>
    </xf>
    <xf numFmtId="43" fontId="0" fillId="8" borderId="108" xfId="0" applyNumberFormat="1" applyFill="1" applyBorder="1" applyAlignment="1">
      <alignment vertical="center"/>
    </xf>
    <xf numFmtId="43" fontId="0" fillId="0" borderId="109" xfId="1" applyFont="1" applyBorder="1" applyAlignment="1">
      <alignment vertical="center"/>
    </xf>
    <xf numFmtId="43" fontId="0" fillId="0" borderId="57" xfId="1" applyFont="1" applyBorder="1" applyAlignment="1">
      <alignment vertical="center"/>
    </xf>
    <xf numFmtId="43" fontId="0" fillId="11" borderId="57" xfId="1" applyFont="1" applyFill="1" applyBorder="1" applyAlignment="1">
      <alignment vertical="center"/>
    </xf>
    <xf numFmtId="43" fontId="0" fillId="8" borderId="57" xfId="1" applyFont="1" applyFill="1" applyBorder="1" applyAlignment="1">
      <alignment vertical="center"/>
    </xf>
    <xf numFmtId="43" fontId="0" fillId="0" borderId="78" xfId="1" applyFont="1" applyBorder="1" applyAlignment="1">
      <alignment vertical="center"/>
    </xf>
    <xf numFmtId="43" fontId="2" fillId="15" borderId="110" xfId="1" applyFont="1" applyFill="1" applyBorder="1" applyAlignment="1">
      <alignment vertical="center" wrapText="1"/>
    </xf>
    <xf numFmtId="43" fontId="0" fillId="0" borderId="111" xfId="1" applyFont="1" applyBorder="1" applyAlignment="1">
      <alignment vertical="center"/>
    </xf>
    <xf numFmtId="43" fontId="0" fillId="8" borderId="111" xfId="1" applyFont="1" applyFill="1" applyBorder="1" applyAlignment="1">
      <alignment vertical="center"/>
    </xf>
    <xf numFmtId="43" fontId="0" fillId="11" borderId="109" xfId="1" applyFont="1" applyFill="1" applyBorder="1" applyAlignment="1">
      <alignment vertical="center"/>
    </xf>
    <xf numFmtId="43" fontId="0" fillId="0" borderId="112" xfId="1" applyFont="1" applyBorder="1" applyAlignment="1">
      <alignment vertical="center"/>
    </xf>
    <xf numFmtId="43" fontId="2" fillId="2" borderId="98" xfId="1" applyFont="1" applyFill="1" applyBorder="1" applyAlignment="1">
      <alignment horizontal="center" vertical="center" wrapText="1"/>
    </xf>
    <xf numFmtId="43" fontId="2" fillId="6" borderId="94" xfId="1" applyFont="1" applyFill="1" applyBorder="1" applyAlignment="1">
      <alignment horizontal="center" vertical="center" wrapText="1"/>
    </xf>
    <xf numFmtId="43" fontId="2" fillId="6" borderId="98" xfId="1" applyFont="1" applyFill="1" applyBorder="1" applyAlignment="1">
      <alignment horizontal="center" vertical="center" wrapText="1"/>
    </xf>
    <xf numFmtId="43" fontId="0" fillId="6" borderId="79" xfId="1" applyFont="1" applyFill="1" applyBorder="1" applyAlignment="1">
      <alignment vertical="center"/>
    </xf>
    <xf numFmtId="43" fontId="0" fillId="6" borderId="47" xfId="1" applyFont="1" applyFill="1" applyBorder="1" applyAlignment="1">
      <alignment vertical="center"/>
    </xf>
    <xf numFmtId="43" fontId="0" fillId="6" borderId="69" xfId="0" applyNumberFormat="1" applyFill="1" applyBorder="1" applyAlignment="1">
      <alignment vertical="center"/>
    </xf>
    <xf numFmtId="43" fontId="11" fillId="16" borderId="86" xfId="0" applyNumberFormat="1" applyFont="1" applyFill="1" applyBorder="1" applyAlignment="1">
      <alignment vertical="center"/>
    </xf>
    <xf numFmtId="43" fontId="10" fillId="16" borderId="52" xfId="1" applyFont="1" applyFill="1" applyBorder="1" applyAlignment="1">
      <alignment vertical="center" wrapText="1"/>
    </xf>
    <xf numFmtId="43" fontId="2" fillId="16" borderId="52" xfId="1" applyFont="1" applyFill="1" applyBorder="1" applyAlignment="1">
      <alignment vertical="center" wrapText="1"/>
    </xf>
    <xf numFmtId="43" fontId="0" fillId="16" borderId="87" xfId="0" applyNumberFormat="1" applyFill="1" applyBorder="1" applyAlignment="1">
      <alignment vertical="center"/>
    </xf>
    <xf numFmtId="43" fontId="11" fillId="16" borderId="76" xfId="0" applyNumberFormat="1" applyFont="1" applyFill="1" applyBorder="1" applyAlignment="1">
      <alignment vertical="center"/>
    </xf>
    <xf numFmtId="43" fontId="0" fillId="16" borderId="76" xfId="0" applyNumberFormat="1" applyFill="1" applyBorder="1" applyAlignment="1">
      <alignment vertical="center"/>
    </xf>
    <xf numFmtId="43" fontId="0" fillId="16" borderId="40" xfId="0" applyNumberFormat="1" applyFill="1" applyBorder="1" applyAlignment="1">
      <alignment vertical="center"/>
    </xf>
    <xf numFmtId="43" fontId="11" fillId="16" borderId="40" xfId="0" applyNumberFormat="1" applyFont="1" applyFill="1" applyBorder="1" applyAlignment="1">
      <alignment vertical="center"/>
    </xf>
    <xf numFmtId="43" fontId="2" fillId="16" borderId="88" xfId="1" applyFont="1" applyFill="1" applyBorder="1" applyAlignment="1">
      <alignment vertical="center" wrapText="1"/>
    </xf>
    <xf numFmtId="43" fontId="2" fillId="16" borderId="4" xfId="1" applyFont="1" applyFill="1" applyBorder="1" applyAlignment="1">
      <alignment vertical="center" wrapText="1"/>
    </xf>
    <xf numFmtId="9" fontId="0" fillId="8" borderId="40" xfId="2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 wrapText="1"/>
    </xf>
    <xf numFmtId="14" fontId="19" fillId="6" borderId="47" xfId="0" applyNumberFormat="1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43" fontId="16" fillId="0" borderId="47" xfId="1" applyFont="1" applyBorder="1" applyAlignment="1">
      <alignment horizontal="center" vertical="center" wrapText="1"/>
    </xf>
    <xf numFmtId="43" fontId="16" fillId="0" borderId="40" xfId="1" applyFont="1" applyBorder="1" applyAlignment="1">
      <alignment horizontal="center" vertical="center" wrapText="1"/>
    </xf>
    <xf numFmtId="9" fontId="16" fillId="0" borderId="47" xfId="2" applyFont="1" applyBorder="1" applyAlignment="1">
      <alignment horizontal="center" vertical="center" wrapText="1"/>
    </xf>
    <xf numFmtId="43" fontId="16" fillId="0" borderId="40" xfId="0" applyNumberFormat="1" applyFont="1" applyBorder="1" applyAlignment="1">
      <alignment vertical="center"/>
    </xf>
    <xf numFmtId="43" fontId="16" fillId="0" borderId="47" xfId="1" applyFont="1" applyBorder="1" applyAlignment="1">
      <alignment horizontal="right" vertical="center" wrapText="1"/>
    </xf>
    <xf numFmtId="43" fontId="16" fillId="7" borderId="47" xfId="1" applyFont="1" applyFill="1" applyBorder="1" applyAlignment="1">
      <alignment horizontal="center" vertical="center" wrapText="1"/>
    </xf>
    <xf numFmtId="43" fontId="21" fillId="0" borderId="47" xfId="1" applyFont="1" applyBorder="1" applyAlignment="1">
      <alignment horizontal="right" vertical="center" wrapText="1"/>
    </xf>
    <xf numFmtId="43" fontId="16" fillId="0" borderId="47" xfId="0" applyNumberFormat="1" applyFont="1" applyBorder="1" applyAlignment="1">
      <alignment vertical="center"/>
    </xf>
    <xf numFmtId="43" fontId="16" fillId="16" borderId="40" xfId="0" applyNumberFormat="1" applyFont="1" applyFill="1" applyBorder="1" applyAlignment="1">
      <alignment vertical="center"/>
    </xf>
    <xf numFmtId="43" fontId="16" fillId="8" borderId="40" xfId="1" applyFont="1" applyFill="1" applyBorder="1" applyAlignment="1">
      <alignment vertical="center"/>
    </xf>
    <xf numFmtId="43" fontId="16" fillId="8" borderId="104" xfId="0" applyNumberFormat="1" applyFont="1" applyFill="1" applyBorder="1" applyAlignment="1">
      <alignment vertical="center"/>
    </xf>
    <xf numFmtId="43" fontId="16" fillId="8" borderId="57" xfId="1" applyFont="1" applyFill="1" applyBorder="1" applyAlignment="1">
      <alignment vertical="center"/>
    </xf>
    <xf numFmtId="43" fontId="16" fillId="8" borderId="58" xfId="0" applyNumberFormat="1" applyFont="1" applyFill="1" applyBorder="1" applyAlignment="1">
      <alignment vertical="center"/>
    </xf>
    <xf numFmtId="0" fontId="16" fillId="11" borderId="0" xfId="0" applyFont="1" applyFill="1"/>
    <xf numFmtId="0" fontId="16" fillId="0" borderId="0" xfId="0" applyFont="1"/>
    <xf numFmtId="9" fontId="22" fillId="0" borderId="40" xfId="2" applyFont="1" applyBorder="1" applyAlignment="1">
      <alignment horizontal="center" vertical="center" wrapText="1"/>
    </xf>
    <xf numFmtId="43" fontId="18" fillId="0" borderId="40" xfId="1" applyFont="1" applyBorder="1" applyAlignment="1">
      <alignment horizontal="center" vertical="center" wrapText="1"/>
    </xf>
    <xf numFmtId="43" fontId="11" fillId="0" borderId="40" xfId="1" applyFont="1" applyBorder="1" applyAlignment="1">
      <alignment horizontal="center" vertical="center" wrapText="1"/>
    </xf>
    <xf numFmtId="9" fontId="11" fillId="0" borderId="40" xfId="2" applyFont="1" applyBorder="1" applyAlignment="1">
      <alignment horizontal="center" vertical="center" wrapText="1"/>
    </xf>
    <xf numFmtId="3" fontId="0" fillId="8" borderId="26" xfId="0" applyNumberFormat="1" applyFill="1" applyBorder="1" applyAlignment="1">
      <alignment horizontal="center" vertical="center"/>
    </xf>
    <xf numFmtId="0" fontId="23" fillId="11" borderId="0" xfId="0" applyFont="1" applyFill="1"/>
    <xf numFmtId="0" fontId="0" fillId="11" borderId="0" xfId="0" applyFill="1" applyAlignment="1">
      <alignment horizontal="left" vertical="center"/>
    </xf>
    <xf numFmtId="43" fontId="0" fillId="2" borderId="40" xfId="1" applyFont="1" applyFill="1" applyBorder="1" applyAlignment="1">
      <alignment vertical="center"/>
    </xf>
    <xf numFmtId="43" fontId="0" fillId="2" borderId="57" xfId="1" applyFont="1" applyFill="1" applyBorder="1" applyAlignment="1">
      <alignment vertical="center"/>
    </xf>
    <xf numFmtId="43" fontId="11" fillId="0" borderId="57" xfId="1" applyFont="1" applyBorder="1" applyAlignment="1">
      <alignment vertical="center"/>
    </xf>
    <xf numFmtId="43" fontId="11" fillId="0" borderId="111" xfId="1" applyFont="1" applyBorder="1" applyAlignment="1">
      <alignment vertical="center"/>
    </xf>
    <xf numFmtId="43" fontId="0" fillId="2" borderId="40" xfId="0" applyNumberFormat="1" applyFill="1" applyBorder="1" applyAlignment="1">
      <alignment vertical="center"/>
    </xf>
    <xf numFmtId="43" fontId="13" fillId="2" borderId="40" xfId="1" applyFont="1" applyFill="1" applyBorder="1" applyAlignment="1">
      <alignment horizontal="right" vertical="center" wrapText="1"/>
    </xf>
    <xf numFmtId="43" fontId="4" fillId="8" borderId="44" xfId="1" applyFont="1" applyFill="1" applyBorder="1" applyAlignment="1">
      <alignment horizontal="left" vertical="center" wrapText="1"/>
    </xf>
    <xf numFmtId="43" fontId="4" fillId="8" borderId="40" xfId="1" applyFont="1" applyFill="1" applyBorder="1" applyAlignment="1">
      <alignment horizontal="left" vertical="center" wrapText="1"/>
    </xf>
    <xf numFmtId="43" fontId="4" fillId="8" borderId="45" xfId="1" applyFont="1" applyFill="1" applyBorder="1" applyAlignment="1">
      <alignment horizontal="left" vertical="center" wrapText="1"/>
    </xf>
    <xf numFmtId="0" fontId="25" fillId="18" borderId="0" xfId="4" applyFont="1" applyFill="1" applyAlignment="1">
      <alignment vertical="center"/>
    </xf>
    <xf numFmtId="0" fontId="25" fillId="0" borderId="0" xfId="4" applyFont="1" applyAlignment="1">
      <alignment vertical="center"/>
    </xf>
    <xf numFmtId="0" fontId="0" fillId="11" borderId="115" xfId="0" applyFill="1" applyBorder="1" applyAlignment="1">
      <alignment horizontal="center" vertical="center"/>
    </xf>
    <xf numFmtId="0" fontId="8" fillId="0" borderId="81" xfId="4" applyFont="1" applyBorder="1" applyAlignment="1">
      <alignment horizontal="center" vertical="center" wrapText="1"/>
    </xf>
    <xf numFmtId="0" fontId="8" fillId="11" borderId="81" xfId="4" applyFont="1" applyFill="1" applyBorder="1" applyAlignment="1">
      <alignment horizontal="center" vertical="center" wrapText="1"/>
    </xf>
    <xf numFmtId="0" fontId="26" fillId="0" borderId="81" xfId="4" applyFont="1" applyBorder="1" applyAlignment="1">
      <alignment horizontal="left" vertical="center" wrapText="1"/>
    </xf>
    <xf numFmtId="0" fontId="8" fillId="11" borderId="81" xfId="4" applyFont="1" applyFill="1" applyBorder="1" applyAlignment="1">
      <alignment horizontal="left" vertical="center" wrapText="1"/>
    </xf>
    <xf numFmtId="0" fontId="8" fillId="0" borderId="38" xfId="4" applyFont="1" applyBorder="1" applyAlignment="1">
      <alignment horizontal="center" vertical="center" wrapText="1"/>
    </xf>
    <xf numFmtId="43" fontId="27" fillId="0" borderId="52" xfId="10" applyFont="1" applyBorder="1" applyAlignment="1">
      <alignment horizontal="right" vertical="center"/>
    </xf>
    <xf numFmtId="43" fontId="0" fillId="0" borderId="52" xfId="1" applyFont="1" applyBorder="1" applyAlignment="1">
      <alignment vertical="center"/>
    </xf>
    <xf numFmtId="9" fontId="15" fillId="11" borderId="52" xfId="2" applyFont="1" applyFill="1" applyBorder="1" applyAlignment="1">
      <alignment horizontal="center" vertical="center"/>
    </xf>
    <xf numFmtId="0" fontId="8" fillId="0" borderId="98" xfId="4" applyFont="1" applyBorder="1" applyAlignment="1">
      <alignment horizontal="center" vertical="center" wrapText="1"/>
    </xf>
    <xf numFmtId="0" fontId="8" fillId="11" borderId="98" xfId="4" applyFont="1" applyFill="1" applyBorder="1" applyAlignment="1">
      <alignment horizontal="center" vertical="center" wrapText="1"/>
    </xf>
    <xf numFmtId="0" fontId="26" fillId="0" borderId="98" xfId="4" applyFont="1" applyBorder="1" applyAlignment="1">
      <alignment horizontal="left" vertical="center" wrapText="1"/>
    </xf>
    <xf numFmtId="0" fontId="8" fillId="11" borderId="98" xfId="4" applyFont="1" applyFill="1" applyBorder="1" applyAlignment="1">
      <alignment horizontal="left" vertical="center" wrapText="1"/>
    </xf>
    <xf numFmtId="0" fontId="8" fillId="0" borderId="102" xfId="4" applyFont="1" applyBorder="1" applyAlignment="1">
      <alignment horizontal="center" vertical="center" wrapText="1"/>
    </xf>
    <xf numFmtId="43" fontId="27" fillId="11" borderId="52" xfId="10" applyFont="1" applyFill="1" applyBorder="1" applyAlignment="1">
      <alignment horizontal="right" vertical="center"/>
    </xf>
    <xf numFmtId="9" fontId="15" fillId="11" borderId="52" xfId="2" applyFont="1" applyFill="1" applyBorder="1" applyAlignment="1">
      <alignment horizontal="center"/>
    </xf>
    <xf numFmtId="0" fontId="8" fillId="0" borderId="30" xfId="4" applyFont="1" applyBorder="1" applyAlignment="1">
      <alignment horizontal="center" vertical="center" wrapText="1"/>
    </xf>
    <xf numFmtId="0" fontId="26" fillId="0" borderId="30" xfId="11" applyFont="1" applyBorder="1" applyAlignment="1">
      <alignment horizontal="left" vertical="center"/>
    </xf>
    <xf numFmtId="0" fontId="8" fillId="0" borderId="124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8" fillId="11" borderId="31" xfId="4" applyFont="1" applyFill="1" applyBorder="1" applyAlignment="1">
      <alignment horizontal="center" vertical="center" wrapText="1"/>
    </xf>
    <xf numFmtId="0" fontId="26" fillId="0" borderId="12" xfId="4" applyFont="1" applyBorder="1" applyAlignment="1">
      <alignment horizontal="left" vertical="center" wrapText="1"/>
    </xf>
    <xf numFmtId="0" fontId="8" fillId="11" borderId="31" xfId="4" applyFont="1" applyFill="1" applyBorder="1" applyAlignment="1">
      <alignment horizontal="left" vertical="center" wrapText="1"/>
    </xf>
    <xf numFmtId="165" fontId="8" fillId="0" borderId="125" xfId="4" applyNumberFormat="1" applyFont="1" applyBorder="1" applyAlignment="1">
      <alignment horizontal="center" vertical="center" wrapText="1"/>
    </xf>
    <xf numFmtId="0" fontId="28" fillId="4" borderId="2" xfId="4" applyFont="1" applyFill="1" applyBorder="1" applyAlignment="1">
      <alignment vertical="center" wrapText="1"/>
    </xf>
    <xf numFmtId="0" fontId="28" fillId="4" borderId="1" xfId="4" applyFont="1" applyFill="1" applyBorder="1" applyAlignment="1">
      <alignment vertical="center" wrapText="1"/>
    </xf>
    <xf numFmtId="43" fontId="29" fillId="4" borderId="88" xfId="1" applyFont="1" applyFill="1" applyBorder="1" applyAlignment="1">
      <alignment horizontal="right"/>
    </xf>
    <xf numFmtId="9" fontId="29" fillId="4" borderId="110" xfId="2" applyFont="1" applyFill="1" applyBorder="1" applyAlignment="1">
      <alignment horizontal="center"/>
    </xf>
    <xf numFmtId="0" fontId="8" fillId="0" borderId="30" xfId="11" applyBorder="1" applyAlignment="1">
      <alignment horizontal="center" vertical="center"/>
    </xf>
    <xf numFmtId="0" fontId="8" fillId="0" borderId="30" xfId="11" applyBorder="1" applyAlignment="1">
      <alignment horizontal="left" vertical="center"/>
    </xf>
    <xf numFmtId="0" fontId="8" fillId="0" borderId="32" xfId="11" applyBorder="1" applyAlignment="1">
      <alignment horizontal="center" vertical="center"/>
    </xf>
    <xf numFmtId="43" fontId="27" fillId="0" borderId="81" xfId="10" applyFont="1" applyBorder="1" applyAlignment="1">
      <alignment horizontal="right" vertical="center"/>
    </xf>
    <xf numFmtId="43" fontId="0" fillId="0" borderId="33" xfId="1" applyFont="1" applyBorder="1" applyAlignment="1">
      <alignment vertical="center"/>
    </xf>
    <xf numFmtId="43" fontId="0" fillId="0" borderId="38" xfId="1" applyFont="1" applyBorder="1" applyAlignment="1">
      <alignment vertical="center"/>
    </xf>
    <xf numFmtId="43" fontId="0" fillId="0" borderId="94" xfId="1" applyFont="1" applyBorder="1" applyAlignment="1">
      <alignment vertical="center"/>
    </xf>
    <xf numFmtId="9" fontId="15" fillId="11" borderId="30" xfId="2" applyFont="1" applyFill="1" applyBorder="1" applyAlignment="1">
      <alignment horizontal="center" vertical="center"/>
    </xf>
    <xf numFmtId="43" fontId="29" fillId="4" borderId="110" xfId="1" applyFont="1" applyFill="1" applyBorder="1" applyAlignment="1">
      <alignment horizontal="right"/>
    </xf>
    <xf numFmtId="0" fontId="28" fillId="11" borderId="3" xfId="4" applyFont="1" applyFill="1" applyBorder="1" applyAlignment="1">
      <alignment vertical="center" wrapText="1"/>
    </xf>
    <xf numFmtId="4" fontId="30" fillId="0" borderId="131" xfId="12" applyNumberFormat="1" applyFont="1" applyBorder="1" applyAlignment="1">
      <alignment horizontal="right" vertical="center" wrapText="1"/>
    </xf>
    <xf numFmtId="4" fontId="30" fillId="0" borderId="132" xfId="12" applyNumberFormat="1" applyFont="1" applyBorder="1" applyAlignment="1">
      <alignment horizontal="right" vertical="center" wrapText="1"/>
    </xf>
    <xf numFmtId="9" fontId="30" fillId="0" borderId="132" xfId="2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11" borderId="0" xfId="0" applyFont="1" applyFill="1"/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wrapText="1"/>
    </xf>
    <xf numFmtId="0" fontId="5" fillId="11" borderId="0" xfId="0" applyFont="1" applyFill="1" applyAlignment="1">
      <alignment vertical="top"/>
    </xf>
    <xf numFmtId="0" fontId="31" fillId="11" borderId="0" xfId="4" applyFont="1" applyFill="1" applyAlignment="1">
      <alignment horizontal="center" vertical="center" wrapText="1"/>
    </xf>
    <xf numFmtId="0" fontId="31" fillId="18" borderId="0" xfId="4" applyFont="1" applyFill="1" applyAlignment="1">
      <alignment horizontal="center" vertical="center" wrapText="1"/>
    </xf>
    <xf numFmtId="167" fontId="8" fillId="18" borderId="0" xfId="7" applyNumberFormat="1" applyFont="1" applyFill="1" applyAlignment="1">
      <alignment horizontal="center" vertical="center"/>
    </xf>
    <xf numFmtId="0" fontId="0" fillId="18" borderId="0" xfId="0" applyFill="1"/>
    <xf numFmtId="0" fontId="0" fillId="11" borderId="0" xfId="0" applyFill="1" applyAlignment="1">
      <alignment horizontal="right"/>
    </xf>
    <xf numFmtId="0" fontId="0" fillId="11" borderId="0" xfId="0" applyFill="1" applyAlignment="1">
      <alignment horizontal="left"/>
    </xf>
    <xf numFmtId="0" fontId="8" fillId="0" borderId="80" xfId="4" applyFont="1" applyBorder="1" applyAlignment="1">
      <alignment horizontal="center" vertical="center" wrapText="1"/>
    </xf>
    <xf numFmtId="0" fontId="8" fillId="0" borderId="81" xfId="4" applyFont="1" applyBorder="1" applyAlignment="1">
      <alignment horizontal="left" vertical="center" wrapText="1"/>
    </xf>
    <xf numFmtId="9" fontId="15" fillId="11" borderId="134" xfId="2" applyFont="1" applyFill="1" applyBorder="1" applyAlignment="1">
      <alignment horizontal="center" vertical="center"/>
    </xf>
    <xf numFmtId="0" fontId="8" fillId="0" borderId="135" xfId="4" applyFont="1" applyBorder="1" applyAlignment="1">
      <alignment horizontal="center" vertical="center" wrapText="1"/>
    </xf>
    <xf numFmtId="0" fontId="8" fillId="0" borderId="98" xfId="4" applyFont="1" applyBorder="1" applyAlignment="1">
      <alignment horizontal="left" vertical="center" wrapText="1"/>
    </xf>
    <xf numFmtId="9" fontId="15" fillId="11" borderId="134" xfId="2" applyFont="1" applyFill="1" applyBorder="1" applyAlignment="1">
      <alignment horizontal="center"/>
    </xf>
    <xf numFmtId="0" fontId="8" fillId="0" borderId="136" xfId="4" applyFont="1" applyBorder="1" applyAlignment="1">
      <alignment horizontal="center" vertical="center" wrapText="1"/>
    </xf>
    <xf numFmtId="0" fontId="8" fillId="0" borderId="137" xfId="4" applyFont="1" applyBorder="1" applyAlignment="1">
      <alignment horizontal="center" vertical="center" wrapText="1"/>
    </xf>
    <xf numFmtId="0" fontId="8" fillId="0" borderId="31" xfId="4" applyFont="1" applyBorder="1" applyAlignment="1">
      <alignment horizontal="left" vertical="center" wrapText="1"/>
    </xf>
    <xf numFmtId="165" fontId="8" fillId="0" borderId="124" xfId="4" applyNumberFormat="1" applyFont="1" applyBorder="1" applyAlignment="1">
      <alignment horizontal="center" vertical="center" wrapText="1"/>
    </xf>
    <xf numFmtId="43" fontId="27" fillId="11" borderId="31" xfId="10" applyFont="1" applyFill="1" applyBorder="1" applyAlignment="1">
      <alignment horizontal="right" vertical="center"/>
    </xf>
    <xf numFmtId="43" fontId="27" fillId="0" borderId="31" xfId="10" applyFont="1" applyBorder="1" applyAlignment="1">
      <alignment horizontal="right" vertical="center"/>
    </xf>
    <xf numFmtId="43" fontId="0" fillId="0" borderId="31" xfId="1" applyFont="1" applyBorder="1" applyAlignment="1">
      <alignment vertical="center"/>
    </xf>
    <xf numFmtId="9" fontId="15" fillId="11" borderId="138" xfId="2" applyFont="1" applyFill="1" applyBorder="1" applyAlignment="1">
      <alignment horizontal="center" vertical="center"/>
    </xf>
    <xf numFmtId="0" fontId="28" fillId="0" borderId="3" xfId="4" applyFont="1" applyBorder="1" applyAlignment="1">
      <alignment vertical="center" wrapText="1"/>
    </xf>
    <xf numFmtId="0" fontId="9" fillId="0" borderId="29" xfId="4" applyFont="1" applyBorder="1" applyAlignment="1">
      <alignment horizontal="center" vertical="center" wrapText="1"/>
    </xf>
    <xf numFmtId="43" fontId="27" fillId="2" borderId="52" xfId="10" applyFont="1" applyFill="1" applyBorder="1" applyAlignment="1">
      <alignment horizontal="right"/>
    </xf>
    <xf numFmtId="4" fontId="27" fillId="11" borderId="98" xfId="10" applyNumberFormat="1" applyFont="1" applyFill="1" applyBorder="1" applyAlignment="1">
      <alignment horizontal="right"/>
    </xf>
    <xf numFmtId="4" fontId="27" fillId="0" borderId="139" xfId="10" applyNumberFormat="1" applyFont="1" applyBorder="1" applyAlignment="1">
      <alignment horizontal="right"/>
    </xf>
    <xf numFmtId="4" fontId="27" fillId="0" borderId="97" xfId="10" applyNumberFormat="1" applyFont="1" applyBorder="1" applyAlignment="1">
      <alignment horizontal="right"/>
    </xf>
    <xf numFmtId="4" fontId="27" fillId="0" borderId="98" xfId="10" applyNumberFormat="1" applyFont="1" applyBorder="1" applyAlignment="1">
      <alignment horizontal="right"/>
    </xf>
    <xf numFmtId="4" fontId="27" fillId="0" borderId="140" xfId="10" applyNumberFormat="1" applyFont="1" applyBorder="1" applyAlignment="1">
      <alignment horizontal="center"/>
    </xf>
    <xf numFmtId="4" fontId="27" fillId="16" borderId="141" xfId="10" applyNumberFormat="1" applyFont="1" applyFill="1" applyBorder="1" applyAlignment="1">
      <alignment horizontal="right"/>
    </xf>
    <xf numFmtId="43" fontId="0" fillId="2" borderId="134" xfId="1" applyFont="1" applyFill="1" applyBorder="1"/>
    <xf numFmtId="43" fontId="0" fillId="0" borderId="142" xfId="1" applyFont="1" applyBorder="1"/>
    <xf numFmtId="0" fontId="9" fillId="0" borderId="144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left" vertical="center" wrapText="1"/>
    </xf>
    <xf numFmtId="43" fontId="27" fillId="2" borderId="12" xfId="10" applyFont="1" applyFill="1" applyBorder="1" applyAlignment="1">
      <alignment horizontal="right" vertical="center"/>
    </xf>
    <xf numFmtId="4" fontId="27" fillId="11" borderId="84" xfId="10" applyNumberFormat="1" applyFont="1" applyFill="1" applyBorder="1" applyAlignment="1">
      <alignment horizontal="right"/>
    </xf>
    <xf numFmtId="4" fontId="27" fillId="11" borderId="12" xfId="10" applyNumberFormat="1" applyFont="1" applyFill="1" applyBorder="1" applyAlignment="1">
      <alignment horizontal="right"/>
    </xf>
    <xf numFmtId="4" fontId="27" fillId="0" borderId="145" xfId="10" applyNumberFormat="1" applyFont="1" applyBorder="1" applyAlignment="1">
      <alignment horizontal="right"/>
    </xf>
    <xf numFmtId="4" fontId="27" fillId="0" borderId="144" xfId="10" applyNumberFormat="1" applyFont="1" applyBorder="1" applyAlignment="1">
      <alignment horizontal="right"/>
    </xf>
    <xf numFmtId="4" fontId="27" fillId="0" borderId="146" xfId="10" applyNumberFormat="1" applyFont="1" applyBorder="1" applyAlignment="1">
      <alignment horizontal="center"/>
    </xf>
    <xf numFmtId="4" fontId="27" fillId="16" borderId="130" xfId="10" applyNumberFormat="1" applyFont="1" applyFill="1" applyBorder="1" applyAlignment="1">
      <alignment horizontal="right"/>
    </xf>
    <xf numFmtId="43" fontId="0" fillId="2" borderId="27" xfId="1" applyFont="1" applyFill="1" applyBorder="1"/>
    <xf numFmtId="43" fontId="0" fillId="0" borderId="131" xfId="1" applyFont="1" applyBorder="1"/>
    <xf numFmtId="4" fontId="29" fillId="4" borderId="88" xfId="10" applyNumberFormat="1" applyFont="1" applyFill="1" applyBorder="1" applyAlignment="1">
      <alignment horizontal="right"/>
    </xf>
    <xf numFmtId="4" fontId="29" fillId="4" borderId="129" xfId="10" applyNumberFormat="1" applyFont="1" applyFill="1" applyBorder="1" applyAlignment="1">
      <alignment horizontal="right"/>
    </xf>
    <xf numFmtId="4" fontId="29" fillId="4" borderId="146" xfId="10" applyNumberFormat="1" applyFont="1" applyFill="1" applyBorder="1" applyAlignment="1">
      <alignment horizontal="right"/>
    </xf>
    <xf numFmtId="4" fontId="29" fillId="4" borderId="146" xfId="10" applyNumberFormat="1" applyFont="1" applyFill="1" applyBorder="1" applyAlignment="1">
      <alignment horizontal="center"/>
    </xf>
    <xf numFmtId="4" fontId="29" fillId="16" borderId="130" xfId="10" applyNumberFormat="1" applyFont="1" applyFill="1" applyBorder="1" applyAlignment="1">
      <alignment horizontal="right"/>
    </xf>
    <xf numFmtId="4" fontId="8" fillId="0" borderId="129" xfId="11" applyNumberFormat="1" applyBorder="1" applyAlignment="1">
      <alignment horizontal="center" vertical="center"/>
    </xf>
    <xf numFmtId="17" fontId="8" fillId="4" borderId="35" xfId="11" applyNumberFormat="1" applyFill="1" applyBorder="1" applyAlignment="1">
      <alignment horizontal="center" vertical="center"/>
    </xf>
    <xf numFmtId="0" fontId="8" fillId="0" borderId="136" xfId="11" applyBorder="1" applyAlignment="1">
      <alignment horizontal="center" vertical="center" wrapText="1"/>
    </xf>
    <xf numFmtId="0" fontId="8" fillId="0" borderId="29" xfId="11" applyBorder="1" applyAlignment="1">
      <alignment horizontal="center" vertical="center" wrapText="1"/>
    </xf>
    <xf numFmtId="0" fontId="8" fillId="2" borderId="30" xfId="11" applyFill="1" applyBorder="1" applyAlignment="1">
      <alignment horizontal="center" vertical="center"/>
    </xf>
    <xf numFmtId="4" fontId="8" fillId="2" borderId="30" xfId="12" applyNumberFormat="1" applyFill="1" applyBorder="1" applyAlignment="1">
      <alignment horizontal="center" vertical="center"/>
    </xf>
    <xf numFmtId="4" fontId="8" fillId="2" borderId="147" xfId="12" applyNumberFormat="1" applyFill="1" applyBorder="1" applyAlignment="1">
      <alignment horizontal="right" vertical="center"/>
    </xf>
    <xf numFmtId="4" fontId="8" fillId="2" borderId="29" xfId="12" applyNumberFormat="1" applyFill="1" applyBorder="1" applyAlignment="1">
      <alignment horizontal="right" vertical="center"/>
    </xf>
    <xf numFmtId="4" fontId="8" fillId="2" borderId="30" xfId="12" applyNumberFormat="1" applyFill="1" applyBorder="1" applyAlignment="1">
      <alignment horizontal="right" vertical="center"/>
    </xf>
    <xf numFmtId="4" fontId="8" fillId="2" borderId="147" xfId="12" applyNumberFormat="1" applyFill="1" applyBorder="1" applyAlignment="1">
      <alignment horizontal="center" vertical="center"/>
    </xf>
    <xf numFmtId="4" fontId="8" fillId="2" borderId="72" xfId="12" applyNumberFormat="1" applyFill="1" applyBorder="1" applyAlignment="1">
      <alignment horizontal="right" vertical="center"/>
    </xf>
    <xf numFmtId="4" fontId="8" fillId="2" borderId="29" xfId="11" applyNumberFormat="1" applyFill="1" applyBorder="1" applyAlignment="1">
      <alignment horizontal="center" vertical="center"/>
    </xf>
    <xf numFmtId="17" fontId="8" fillId="2" borderId="32" xfId="11" applyNumberFormat="1" applyFill="1" applyBorder="1" applyAlignment="1">
      <alignment horizontal="center" vertical="center"/>
    </xf>
    <xf numFmtId="43" fontId="0" fillId="2" borderId="33" xfId="1" applyFont="1" applyFill="1" applyBorder="1"/>
    <xf numFmtId="4" fontId="30" fillId="4" borderId="129" xfId="12" applyNumberFormat="1" applyFont="1" applyFill="1" applyBorder="1" applyAlignment="1">
      <alignment horizontal="right" vertical="center"/>
    </xf>
    <xf numFmtId="4" fontId="30" fillId="4" borderId="88" xfId="12" applyNumberFormat="1" applyFont="1" applyFill="1" applyBorder="1" applyAlignment="1">
      <alignment horizontal="right" vertical="center"/>
    </xf>
    <xf numFmtId="4" fontId="8" fillId="16" borderId="130" xfId="12" applyNumberFormat="1" applyFill="1" applyBorder="1" applyAlignment="1">
      <alignment horizontal="right" vertical="center"/>
    </xf>
    <xf numFmtId="4" fontId="8" fillId="4" borderId="129" xfId="11" applyNumberFormat="1" applyFill="1" applyBorder="1" applyAlignment="1">
      <alignment horizontal="center" vertical="center"/>
    </xf>
    <xf numFmtId="4" fontId="30" fillId="0" borderId="145" xfId="12" applyNumberFormat="1" applyFont="1" applyBorder="1" applyAlignment="1">
      <alignment horizontal="right" vertical="center" wrapText="1"/>
    </xf>
    <xf numFmtId="4" fontId="30" fillId="0" borderId="3" xfId="12" applyNumberFormat="1" applyFont="1" applyBorder="1" applyAlignment="1">
      <alignment horizontal="right" vertical="center" wrapText="1"/>
    </xf>
    <xf numFmtId="4" fontId="30" fillId="0" borderId="145" xfId="12" applyNumberFormat="1" applyFont="1" applyBorder="1" applyAlignment="1">
      <alignment horizontal="center" vertical="center" wrapText="1"/>
    </xf>
    <xf numFmtId="4" fontId="30" fillId="16" borderId="113" xfId="12" applyNumberFormat="1" applyFont="1" applyFill="1" applyBorder="1" applyAlignment="1">
      <alignment horizontal="right" vertical="center" wrapText="1"/>
    </xf>
    <xf numFmtId="4" fontId="8" fillId="0" borderId="144" xfId="4" applyNumberFormat="1" applyFont="1" applyBorder="1" applyAlignment="1">
      <alignment horizontal="right" vertical="center" wrapText="1"/>
    </xf>
    <xf numFmtId="167" fontId="8" fillId="0" borderId="132" xfId="7" applyNumberFormat="1" applyFont="1" applyBorder="1" applyAlignment="1">
      <alignment horizontal="center" vertical="center"/>
    </xf>
    <xf numFmtId="0" fontId="31" fillId="0" borderId="0" xfId="4" applyFont="1" applyAlignment="1">
      <alignment horizontal="center" vertical="center" wrapText="1"/>
    </xf>
    <xf numFmtId="167" fontId="8" fillId="0" borderId="0" xfId="7" applyNumberFormat="1" applyFont="1" applyAlignment="1">
      <alignment horizontal="center" vertical="center"/>
    </xf>
    <xf numFmtId="0" fontId="8" fillId="0" borderId="129" xfId="11" applyBorder="1" applyAlignment="1">
      <alignment horizontal="center" vertical="center" wrapText="1"/>
    </xf>
    <xf numFmtId="4" fontId="8" fillId="0" borderId="88" xfId="12" applyNumberFormat="1" applyBorder="1" applyAlignment="1">
      <alignment horizontal="center" vertical="center"/>
    </xf>
    <xf numFmtId="4" fontId="29" fillId="4" borderId="84" xfId="10" applyNumberFormat="1" applyFont="1" applyFill="1" applyBorder="1" applyAlignment="1">
      <alignment horizontal="right"/>
    </xf>
    <xf numFmtId="0" fontId="28" fillId="11" borderId="0" xfId="4" applyFont="1" applyFill="1" applyAlignment="1">
      <alignment horizontal="center" vertical="center" wrapText="1"/>
    </xf>
    <xf numFmtId="4" fontId="29" fillId="11" borderId="0" xfId="10" applyNumberFormat="1" applyFont="1" applyFill="1" applyAlignment="1">
      <alignment horizontal="right"/>
    </xf>
    <xf numFmtId="4" fontId="30" fillId="11" borderId="0" xfId="12" applyNumberFormat="1" applyFont="1" applyFill="1" applyAlignment="1">
      <alignment horizontal="center" vertical="center"/>
    </xf>
    <xf numFmtId="4" fontId="30" fillId="2" borderId="131" xfId="1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11" borderId="52" xfId="0" applyFill="1" applyBorder="1"/>
    <xf numFmtId="4" fontId="0" fillId="0" borderId="149" xfId="0" applyNumberFormat="1" applyBorder="1" applyAlignment="1">
      <alignment horizontal="center" vertical="center"/>
    </xf>
    <xf numFmtId="0" fontId="36" fillId="0" borderId="150" xfId="13" applyFont="1" applyBorder="1" applyAlignment="1">
      <alignment vertical="center"/>
    </xf>
    <xf numFmtId="4" fontId="0" fillId="0" borderId="52" xfId="0" applyNumberFormat="1" applyBorder="1" applyAlignment="1">
      <alignment vertical="center" wrapText="1"/>
    </xf>
    <xf numFmtId="4" fontId="0" fillId="0" borderId="52" xfId="0" applyNumberFormat="1" applyBorder="1" applyAlignment="1">
      <alignment horizontal="center" vertical="center"/>
    </xf>
    <xf numFmtId="4" fontId="1" fillId="0" borderId="52" xfId="1" applyNumberFormat="1" applyBorder="1" applyAlignment="1">
      <alignment horizontal="right" vertical="center"/>
    </xf>
    <xf numFmtId="4" fontId="1" fillId="11" borderId="52" xfId="9" applyNumberFormat="1" applyFill="1" applyBorder="1" applyAlignment="1">
      <alignment vertical="center"/>
    </xf>
    <xf numFmtId="4" fontId="1" fillId="11" borderId="102" xfId="9" applyNumberFormat="1" applyFill="1" applyBorder="1" applyAlignment="1">
      <alignment vertical="center"/>
    </xf>
    <xf numFmtId="0" fontId="0" fillId="11" borderId="52" xfId="0" applyFill="1" applyBorder="1" applyAlignment="1">
      <alignment vertical="center" wrapText="1"/>
    </xf>
    <xf numFmtId="4" fontId="0" fillId="0" borderId="52" xfId="0" applyNumberFormat="1" applyBorder="1" applyAlignment="1">
      <alignment horizontal="right" vertical="center"/>
    </xf>
    <xf numFmtId="4" fontId="0" fillId="0" borderId="150" xfId="0" applyNumberFormat="1" applyBorder="1" applyAlignment="1">
      <alignment horizontal="center" vertical="center"/>
    </xf>
    <xf numFmtId="0" fontId="11" fillId="11" borderId="0" xfId="0" applyFont="1" applyFill="1"/>
    <xf numFmtId="4" fontId="0" fillId="0" borderId="83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1" fillId="11" borderId="12" xfId="9" applyNumberFormat="1" applyFill="1" applyBorder="1" applyAlignment="1">
      <alignment vertical="center"/>
    </xf>
    <xf numFmtId="4" fontId="1" fillId="11" borderId="124" xfId="9" applyNumberFormat="1" applyFill="1" applyBorder="1" applyAlignment="1">
      <alignment vertical="center"/>
    </xf>
    <xf numFmtId="4" fontId="2" fillId="20" borderId="88" xfId="9" applyNumberFormat="1" applyFont="1" applyFill="1" applyBorder="1" applyAlignment="1">
      <alignment horizontal="center" vertical="center"/>
    </xf>
    <xf numFmtId="4" fontId="2" fillId="20" borderId="88" xfId="9" applyNumberFormat="1" applyFont="1" applyFill="1" applyBorder="1" applyAlignment="1">
      <alignment vertical="center"/>
    </xf>
    <xf numFmtId="9" fontId="37" fillId="4" borderId="35" xfId="2" applyFont="1" applyFill="1" applyBorder="1" applyAlignment="1">
      <alignment horizontal="center" vertical="center"/>
    </xf>
    <xf numFmtId="4" fontId="2" fillId="20" borderId="110" xfId="9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1" fillId="0" borderId="0" xfId="0" applyFont="1"/>
    <xf numFmtId="0" fontId="5" fillId="11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0" fillId="11" borderId="0" xfId="0" applyFill="1" applyAlignment="1">
      <alignment wrapText="1"/>
    </xf>
    <xf numFmtId="0" fontId="0" fillId="11" borderId="0" xfId="0" applyFill="1" applyAlignment="1">
      <alignment vertical="top"/>
    </xf>
    <xf numFmtId="0" fontId="0" fillId="11" borderId="0" xfId="0" applyFill="1" applyAlignment="1">
      <alignment horizontal="center"/>
    </xf>
    <xf numFmtId="0" fontId="0" fillId="0" borderId="0" xfId="0" applyAlignment="1">
      <alignment wrapText="1"/>
    </xf>
    <xf numFmtId="43" fontId="0" fillId="6" borderId="114" xfId="1" applyFont="1" applyFill="1" applyBorder="1" applyAlignment="1">
      <alignment horizontal="center"/>
    </xf>
    <xf numFmtId="0" fontId="3" fillId="12" borderId="52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6" borderId="52" xfId="0" applyFont="1" applyFill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14" fontId="6" fillId="2" borderId="40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9" fontId="11" fillId="2" borderId="40" xfId="2" applyFont="1" applyFill="1" applyBorder="1" applyAlignment="1">
      <alignment horizontal="center" vertical="center" wrapText="1"/>
    </xf>
    <xf numFmtId="0" fontId="0" fillId="2" borderId="0" xfId="0" applyFill="1"/>
    <xf numFmtId="43" fontId="0" fillId="2" borderId="44" xfId="1" applyFont="1" applyFill="1" applyBorder="1" applyAlignment="1">
      <alignment vertical="center"/>
    </xf>
    <xf numFmtId="43" fontId="0" fillId="2" borderId="45" xfId="0" applyNumberForma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14" fontId="38" fillId="2" borderId="40" xfId="0" applyNumberFormat="1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43" fontId="15" fillId="2" borderId="40" xfId="1" applyFont="1" applyFill="1" applyBorder="1" applyAlignment="1">
      <alignment horizontal="center" vertical="center" wrapText="1"/>
    </xf>
    <xf numFmtId="9" fontId="15" fillId="2" borderId="40" xfId="2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43" fontId="11" fillId="0" borderId="40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/>
    <xf numFmtId="0" fontId="42" fillId="0" borderId="0" xfId="0" applyFont="1" applyAlignment="1">
      <alignment horizontal="center" vertical="center" wrapText="1"/>
    </xf>
    <xf numFmtId="43" fontId="43" fillId="0" borderId="0" xfId="1" applyFont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7" fillId="17" borderId="156" xfId="0" applyFont="1" applyFill="1" applyBorder="1" applyAlignment="1">
      <alignment horizontal="center" vertical="center"/>
    </xf>
    <xf numFmtId="0" fontId="47" fillId="17" borderId="88" xfId="0" applyFont="1" applyFill="1" applyBorder="1" applyAlignment="1">
      <alignment horizontal="center" vertical="center"/>
    </xf>
    <xf numFmtId="0" fontId="47" fillId="17" borderId="157" xfId="0" applyFont="1" applyFill="1" applyBorder="1" applyAlignment="1">
      <alignment horizontal="center" vertical="center"/>
    </xf>
    <xf numFmtId="0" fontId="47" fillId="17" borderId="35" xfId="0" applyFont="1" applyFill="1" applyBorder="1" applyAlignment="1">
      <alignment horizontal="center" vertical="center"/>
    </xf>
    <xf numFmtId="0" fontId="47" fillId="19" borderId="156" xfId="0" applyFont="1" applyFill="1" applyBorder="1" applyAlignment="1">
      <alignment horizontal="center" vertical="center"/>
    </xf>
    <xf numFmtId="0" fontId="47" fillId="19" borderId="88" xfId="0" applyFont="1" applyFill="1" applyBorder="1" applyAlignment="1">
      <alignment horizontal="center" vertical="center"/>
    </xf>
    <xf numFmtId="0" fontId="47" fillId="19" borderId="157" xfId="0" applyFont="1" applyFill="1" applyBorder="1" applyAlignment="1">
      <alignment horizontal="center" vertical="center"/>
    </xf>
    <xf numFmtId="0" fontId="47" fillId="6" borderId="158" xfId="0" applyFont="1" applyFill="1" applyBorder="1" applyAlignment="1">
      <alignment horizontal="center" vertical="center"/>
    </xf>
    <xf numFmtId="0" fontId="47" fillId="6" borderId="88" xfId="0" applyFont="1" applyFill="1" applyBorder="1" applyAlignment="1">
      <alignment horizontal="center" vertical="center"/>
    </xf>
    <xf numFmtId="0" fontId="47" fillId="6" borderId="157" xfId="0" applyFont="1" applyFill="1" applyBorder="1" applyAlignment="1">
      <alignment horizontal="center" vertical="center"/>
    </xf>
    <xf numFmtId="0" fontId="47" fillId="16" borderId="158" xfId="0" applyFont="1" applyFill="1" applyBorder="1" applyAlignment="1">
      <alignment horizontal="center" vertical="center"/>
    </xf>
    <xf numFmtId="0" fontId="47" fillId="16" borderId="88" xfId="0" applyFont="1" applyFill="1" applyBorder="1" applyAlignment="1">
      <alignment horizontal="center" vertical="center"/>
    </xf>
    <xf numFmtId="0" fontId="47" fillId="16" borderId="157" xfId="0" applyFont="1" applyFill="1" applyBorder="1" applyAlignment="1">
      <alignment horizontal="center" vertical="center"/>
    </xf>
    <xf numFmtId="0" fontId="45" fillId="16" borderId="159" xfId="0" applyFont="1" applyFill="1" applyBorder="1" applyAlignment="1">
      <alignment horizontal="justify" vertical="center"/>
    </xf>
    <xf numFmtId="169" fontId="45" fillId="16" borderId="160" xfId="0" applyNumberFormat="1" applyFont="1" applyFill="1" applyBorder="1" applyAlignment="1">
      <alignment horizontal="right" vertical="center"/>
    </xf>
    <xf numFmtId="169" fontId="45" fillId="16" borderId="81" xfId="0" applyNumberFormat="1" applyFont="1" applyFill="1" applyBorder="1" applyAlignment="1">
      <alignment horizontal="right" vertical="center"/>
    </xf>
    <xf numFmtId="169" fontId="45" fillId="16" borderId="161" xfId="0" applyNumberFormat="1" applyFont="1" applyFill="1" applyBorder="1" applyAlignment="1">
      <alignment horizontal="right" vertical="center"/>
    </xf>
    <xf numFmtId="169" fontId="45" fillId="16" borderId="38" xfId="0" applyNumberFormat="1" applyFont="1" applyFill="1" applyBorder="1" applyAlignment="1">
      <alignment horizontal="right" vertical="center"/>
    </xf>
    <xf numFmtId="0" fontId="48" fillId="11" borderId="162" xfId="0" applyFont="1" applyFill="1" applyBorder="1" applyAlignment="1">
      <alignment horizontal="left" vertical="center" indent="1"/>
    </xf>
    <xf numFmtId="169" fontId="48" fillId="11" borderId="163" xfId="0" applyNumberFormat="1" applyFont="1" applyFill="1" applyBorder="1" applyAlignment="1">
      <alignment horizontal="right" vertical="center"/>
    </xf>
    <xf numFmtId="169" fontId="48" fillId="11" borderId="52" xfId="0" applyNumberFormat="1" applyFont="1" applyFill="1" applyBorder="1" applyAlignment="1">
      <alignment horizontal="right" vertical="center"/>
    </xf>
    <xf numFmtId="169" fontId="48" fillId="11" borderId="164" xfId="0" applyNumberFormat="1" applyFont="1" applyFill="1" applyBorder="1" applyAlignment="1">
      <alignment horizontal="right" vertical="center"/>
    </xf>
    <xf numFmtId="169" fontId="48" fillId="11" borderId="102" xfId="0" applyNumberFormat="1" applyFont="1" applyFill="1" applyBorder="1" applyAlignment="1">
      <alignment horizontal="right" vertical="center"/>
    </xf>
    <xf numFmtId="0" fontId="48" fillId="11" borderId="162" xfId="0" applyFont="1" applyFill="1" applyBorder="1" applyAlignment="1">
      <alignment horizontal="left" vertical="center" wrapText="1" indent="1"/>
    </xf>
    <xf numFmtId="0" fontId="45" fillId="16" borderId="162" xfId="0" applyFont="1" applyFill="1" applyBorder="1" applyAlignment="1">
      <alignment horizontal="justify" vertical="center"/>
    </xf>
    <xf numFmtId="169" fontId="45" fillId="16" borderId="163" xfId="0" applyNumberFormat="1" applyFont="1" applyFill="1" applyBorder="1" applyAlignment="1">
      <alignment horizontal="right" vertical="center"/>
    </xf>
    <xf numFmtId="169" fontId="45" fillId="16" borderId="52" xfId="0" applyNumberFormat="1" applyFont="1" applyFill="1" applyBorder="1" applyAlignment="1">
      <alignment horizontal="right" vertical="center"/>
    </xf>
    <xf numFmtId="169" fontId="45" fillId="16" borderId="164" xfId="0" applyNumberFormat="1" applyFont="1" applyFill="1" applyBorder="1" applyAlignment="1">
      <alignment horizontal="right" vertical="center"/>
    </xf>
    <xf numFmtId="169" fontId="45" fillId="16" borderId="102" xfId="0" applyNumberFormat="1" applyFont="1" applyFill="1" applyBorder="1" applyAlignment="1">
      <alignment horizontal="right" vertical="center"/>
    </xf>
    <xf numFmtId="43" fontId="41" fillId="0" borderId="0" xfId="1" applyFont="1"/>
    <xf numFmtId="0" fontId="48" fillId="11" borderId="162" xfId="0" applyFont="1" applyFill="1" applyBorder="1" applyAlignment="1">
      <alignment horizontal="justify" vertical="center"/>
    </xf>
    <xf numFmtId="169" fontId="45" fillId="16" borderId="162" xfId="0" applyNumberFormat="1" applyFont="1" applyFill="1" applyBorder="1" applyAlignment="1">
      <alignment horizontal="right" vertical="center"/>
    </xf>
    <xf numFmtId="0" fontId="48" fillId="0" borderId="165" xfId="0" applyFont="1" applyBorder="1" applyAlignment="1">
      <alignment horizontal="justify" vertical="center"/>
    </xf>
    <xf numFmtId="169" fontId="45" fillId="0" borderId="166" xfId="0" applyNumberFormat="1" applyFont="1" applyBorder="1" applyAlignment="1">
      <alignment horizontal="right" vertical="center"/>
    </xf>
    <xf numFmtId="169" fontId="48" fillId="0" borderId="31" xfId="0" applyNumberFormat="1" applyFont="1" applyBorder="1" applyAlignment="1">
      <alignment horizontal="right" vertical="center"/>
    </xf>
    <xf numFmtId="169" fontId="45" fillId="0" borderId="164" xfId="0" applyNumberFormat="1" applyFont="1" applyBorder="1" applyAlignment="1">
      <alignment horizontal="right" vertical="center"/>
    </xf>
    <xf numFmtId="169" fontId="45" fillId="0" borderId="102" xfId="0" applyNumberFormat="1" applyFont="1" applyBorder="1" applyAlignment="1">
      <alignment horizontal="right" vertical="center"/>
    </xf>
    <xf numFmtId="0" fontId="45" fillId="16" borderId="165" xfId="0" applyFont="1" applyFill="1" applyBorder="1" applyAlignment="1">
      <alignment horizontal="justify" vertical="center"/>
    </xf>
    <xf numFmtId="169" fontId="49" fillId="16" borderId="167" xfId="0" applyNumberFormat="1" applyFont="1" applyFill="1" applyBorder="1" applyAlignment="1">
      <alignment horizontal="right" vertical="center"/>
    </xf>
    <xf numFmtId="169" fontId="49" fillId="16" borderId="12" xfId="0" applyNumberFormat="1" applyFont="1" applyFill="1" applyBorder="1" applyAlignment="1">
      <alignment horizontal="right" vertical="center"/>
    </xf>
    <xf numFmtId="0" fontId="45" fillId="4" borderId="168" xfId="0" applyFont="1" applyFill="1" applyBorder="1" applyAlignment="1">
      <alignment horizontal="center" vertical="center"/>
    </xf>
    <xf numFmtId="169" fontId="45" fillId="4" borderId="169" xfId="0" applyNumberFormat="1" applyFont="1" applyFill="1" applyBorder="1" applyAlignment="1">
      <alignment horizontal="right" vertical="center"/>
    </xf>
    <xf numFmtId="169" fontId="45" fillId="4" borderId="170" xfId="0" applyNumberFormat="1" applyFont="1" applyFill="1" applyBorder="1" applyAlignment="1">
      <alignment horizontal="right" vertical="center"/>
    </xf>
    <xf numFmtId="169" fontId="45" fillId="4" borderId="171" xfId="0" applyNumberFormat="1" applyFont="1" applyFill="1" applyBorder="1" applyAlignment="1">
      <alignment horizontal="right" vertical="center"/>
    </xf>
    <xf numFmtId="169" fontId="45" fillId="4" borderId="172" xfId="0" applyNumberFormat="1" applyFont="1" applyFill="1" applyBorder="1" applyAlignment="1">
      <alignment horizontal="right" vertical="center"/>
    </xf>
    <xf numFmtId="9" fontId="45" fillId="4" borderId="168" xfId="2" applyFont="1" applyFill="1" applyBorder="1" applyAlignment="1">
      <alignment horizontal="center" vertical="center"/>
    </xf>
    <xf numFmtId="9" fontId="45" fillId="4" borderId="173" xfId="2" applyFont="1" applyFill="1" applyBorder="1" applyAlignment="1">
      <alignment horizontal="center" vertical="center"/>
    </xf>
    <xf numFmtId="9" fontId="45" fillId="4" borderId="171" xfId="2" applyFont="1" applyFill="1" applyBorder="1" applyAlignment="1">
      <alignment horizontal="center" vertical="center"/>
    </xf>
    <xf numFmtId="9" fontId="45" fillId="4" borderId="172" xfId="2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3" fontId="42" fillId="0" borderId="0" xfId="0" applyNumberFormat="1" applyFont="1" applyAlignment="1">
      <alignment horizontal="center" vertical="center" wrapText="1"/>
    </xf>
    <xf numFmtId="43" fontId="48" fillId="11" borderId="163" xfId="1" applyFont="1" applyFill="1" applyBorder="1" applyAlignment="1">
      <alignment horizontal="right" vertical="center"/>
    </xf>
    <xf numFmtId="43" fontId="48" fillId="11" borderId="52" xfId="1" applyFont="1" applyFill="1" applyBorder="1" applyAlignment="1">
      <alignment horizontal="right" vertical="center"/>
    </xf>
    <xf numFmtId="43" fontId="48" fillId="11" borderId="164" xfId="1" applyFont="1" applyFill="1" applyBorder="1" applyAlignment="1">
      <alignment horizontal="right" vertical="center"/>
    </xf>
    <xf numFmtId="43" fontId="45" fillId="16" borderId="163" xfId="1" applyFont="1" applyFill="1" applyBorder="1" applyAlignment="1">
      <alignment horizontal="right" vertical="center"/>
    </xf>
    <xf numFmtId="43" fontId="45" fillId="16" borderId="52" xfId="1" applyFont="1" applyFill="1" applyBorder="1" applyAlignment="1">
      <alignment horizontal="right" vertical="center"/>
    </xf>
    <xf numFmtId="43" fontId="45" fillId="16" borderId="164" xfId="1" applyFont="1" applyFill="1" applyBorder="1" applyAlignment="1">
      <alignment horizontal="right" vertical="center"/>
    </xf>
    <xf numFmtId="43" fontId="45" fillId="16" borderId="162" xfId="1" applyFont="1" applyFill="1" applyBorder="1" applyAlignment="1">
      <alignment horizontal="right" vertical="center"/>
    </xf>
    <xf numFmtId="43" fontId="45" fillId="0" borderId="166" xfId="1" applyFont="1" applyBorder="1" applyAlignment="1">
      <alignment horizontal="right" vertical="center"/>
    </xf>
    <xf numFmtId="43" fontId="48" fillId="0" borderId="31" xfId="1" applyFont="1" applyBorder="1" applyAlignment="1">
      <alignment horizontal="right" vertical="center"/>
    </xf>
    <xf numFmtId="43" fontId="45" fillId="0" borderId="164" xfId="1" applyFont="1" applyBorder="1" applyAlignment="1">
      <alignment horizontal="right" vertical="center"/>
    </xf>
    <xf numFmtId="43" fontId="49" fillId="16" borderId="167" xfId="1" applyFont="1" applyFill="1" applyBorder="1" applyAlignment="1">
      <alignment horizontal="right" vertical="center"/>
    </xf>
    <xf numFmtId="43" fontId="49" fillId="16" borderId="12" xfId="1" applyFont="1" applyFill="1" applyBorder="1" applyAlignment="1">
      <alignment horizontal="right" vertical="center"/>
    </xf>
    <xf numFmtId="43" fontId="45" fillId="4" borderId="169" xfId="1" applyFont="1" applyFill="1" applyBorder="1" applyAlignment="1">
      <alignment horizontal="right" vertical="center"/>
    </xf>
    <xf numFmtId="43" fontId="45" fillId="4" borderId="170" xfId="1" applyFont="1" applyFill="1" applyBorder="1" applyAlignment="1">
      <alignment horizontal="right" vertical="center"/>
    </xf>
    <xf numFmtId="43" fontId="45" fillId="4" borderId="171" xfId="1" applyFont="1" applyFill="1" applyBorder="1" applyAlignment="1">
      <alignment horizontal="right" vertical="center"/>
    </xf>
    <xf numFmtId="169" fontId="48" fillId="11" borderId="163" xfId="1" applyNumberFormat="1" applyFont="1" applyFill="1" applyBorder="1" applyAlignment="1">
      <alignment horizontal="right" vertical="center"/>
    </xf>
    <xf numFmtId="169" fontId="48" fillId="11" borderId="52" xfId="1" applyNumberFormat="1" applyFont="1" applyFill="1" applyBorder="1" applyAlignment="1">
      <alignment horizontal="right" vertical="center"/>
    </xf>
    <xf numFmtId="169" fontId="48" fillId="11" borderId="164" xfId="1" applyNumberFormat="1" applyFont="1" applyFill="1" applyBorder="1" applyAlignment="1">
      <alignment horizontal="right" vertical="center"/>
    </xf>
    <xf numFmtId="169" fontId="45" fillId="16" borderId="163" xfId="1" applyNumberFormat="1" applyFont="1" applyFill="1" applyBorder="1" applyAlignment="1">
      <alignment horizontal="right" vertical="center"/>
    </xf>
    <xf numFmtId="169" fontId="45" fillId="16" borderId="52" xfId="1" applyNumberFormat="1" applyFont="1" applyFill="1" applyBorder="1" applyAlignment="1">
      <alignment horizontal="right" vertical="center"/>
    </xf>
    <xf numFmtId="169" fontId="45" fillId="16" borderId="164" xfId="1" applyNumberFormat="1" applyFont="1" applyFill="1" applyBorder="1" applyAlignment="1">
      <alignment horizontal="right" vertical="center"/>
    </xf>
    <xf numFmtId="169" fontId="45" fillId="16" borderId="162" xfId="1" applyNumberFormat="1" applyFont="1" applyFill="1" applyBorder="1" applyAlignment="1">
      <alignment horizontal="right" vertical="center"/>
    </xf>
    <xf numFmtId="169" fontId="45" fillId="0" borderId="166" xfId="1" applyNumberFormat="1" applyFont="1" applyBorder="1" applyAlignment="1">
      <alignment horizontal="right" vertical="center"/>
    </xf>
    <xf numFmtId="169" fontId="48" fillId="0" borderId="31" xfId="1" applyNumberFormat="1" applyFont="1" applyBorder="1" applyAlignment="1">
      <alignment horizontal="right" vertical="center"/>
    </xf>
    <xf numFmtId="169" fontId="45" fillId="0" borderId="164" xfId="1" applyNumberFormat="1" applyFont="1" applyBorder="1" applyAlignment="1">
      <alignment horizontal="right" vertical="center"/>
    </xf>
    <xf numFmtId="169" fontId="49" fillId="16" borderId="167" xfId="1" applyNumberFormat="1" applyFont="1" applyFill="1" applyBorder="1" applyAlignment="1">
      <alignment horizontal="right" vertical="center"/>
    </xf>
    <xf numFmtId="169" fontId="49" fillId="16" borderId="12" xfId="1" applyNumberFormat="1" applyFont="1" applyFill="1" applyBorder="1" applyAlignment="1">
      <alignment horizontal="right" vertical="center"/>
    </xf>
    <xf numFmtId="169" fontId="45" fillId="4" borderId="169" xfId="1" applyNumberFormat="1" applyFont="1" applyFill="1" applyBorder="1" applyAlignment="1">
      <alignment horizontal="right" vertical="center"/>
    </xf>
    <xf numFmtId="169" fontId="45" fillId="4" borderId="170" xfId="1" applyNumberFormat="1" applyFont="1" applyFill="1" applyBorder="1" applyAlignment="1">
      <alignment horizontal="right" vertical="center"/>
    </xf>
    <xf numFmtId="169" fontId="45" fillId="4" borderId="171" xfId="1" applyNumberFormat="1" applyFont="1" applyFill="1" applyBorder="1" applyAlignment="1">
      <alignment horizontal="right" vertical="center"/>
    </xf>
    <xf numFmtId="43" fontId="0" fillId="0" borderId="76" xfId="1" applyFont="1" applyBorder="1" applyAlignment="1">
      <alignment horizontal="center" vertical="center"/>
    </xf>
    <xf numFmtId="43" fontId="0" fillId="0" borderId="40" xfId="1" applyFont="1" applyBorder="1" applyAlignment="1">
      <alignment horizontal="center" vertical="center"/>
    </xf>
    <xf numFmtId="43" fontId="9" fillId="0" borderId="40" xfId="1" applyFont="1" applyBorder="1" applyAlignment="1">
      <alignment horizontal="center" vertical="center" wrapText="1"/>
    </xf>
    <xf numFmtId="43" fontId="17" fillId="16" borderId="40" xfId="1" applyFont="1" applyFill="1" applyBorder="1" applyAlignment="1">
      <alignment vertical="center"/>
    </xf>
    <xf numFmtId="43" fontId="0" fillId="0" borderId="103" xfId="1" applyFont="1" applyBorder="1" applyAlignment="1">
      <alignment vertical="center"/>
    </xf>
    <xf numFmtId="43" fontId="11" fillId="16" borderId="40" xfId="1" applyFont="1" applyFill="1" applyBorder="1" applyAlignment="1">
      <alignment vertical="center"/>
    </xf>
    <xf numFmtId="9" fontId="22" fillId="0" borderId="40" xfId="2" applyFont="1" applyBorder="1" applyAlignment="1">
      <alignment vertical="center" wrapText="1"/>
    </xf>
    <xf numFmtId="43" fontId="2" fillId="16" borderId="81" xfId="1" applyFont="1" applyFill="1" applyBorder="1" applyAlignment="1">
      <alignment horizontal="center" vertical="center" wrapText="1"/>
    </xf>
    <xf numFmtId="0" fontId="50" fillId="8" borderId="44" xfId="0" applyFont="1" applyFill="1" applyBorder="1" applyAlignment="1">
      <alignment horizontal="left" vertical="center" wrapText="1"/>
    </xf>
    <xf numFmtId="0" fontId="50" fillId="0" borderId="7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10" fontId="0" fillId="0" borderId="0" xfId="2" applyNumberFormat="1" applyFont="1"/>
    <xf numFmtId="43" fontId="45" fillId="16" borderId="150" xfId="1" applyFont="1" applyFill="1" applyBorder="1" applyAlignment="1">
      <alignment horizontal="right" vertical="center"/>
    </xf>
    <xf numFmtId="43" fontId="41" fillId="0" borderId="0" xfId="0" applyNumberFormat="1" applyFont="1"/>
    <xf numFmtId="0" fontId="47" fillId="6" borderId="156" xfId="0" applyFont="1" applyFill="1" applyBorder="1" applyAlignment="1">
      <alignment horizontal="center" vertical="center"/>
    </xf>
    <xf numFmtId="9" fontId="45" fillId="4" borderId="169" xfId="2" applyFont="1" applyFill="1" applyBorder="1" applyAlignment="1">
      <alignment horizontal="center" vertical="center"/>
    </xf>
    <xf numFmtId="169" fontId="41" fillId="0" borderId="0" xfId="0" applyNumberFormat="1" applyFont="1"/>
    <xf numFmtId="43" fontId="11" fillId="8" borderId="46" xfId="1" applyFont="1" applyFill="1" applyBorder="1" applyAlignment="1">
      <alignment vertical="center"/>
    </xf>
    <xf numFmtId="43" fontId="11" fillId="8" borderId="47" xfId="1" applyFont="1" applyFill="1" applyBorder="1" applyAlignment="1">
      <alignment vertical="center"/>
    </xf>
    <xf numFmtId="43" fontId="11" fillId="8" borderId="48" xfId="0" applyNumberFormat="1" applyFont="1" applyFill="1" applyBorder="1" applyAlignment="1">
      <alignment vertical="center"/>
    </xf>
    <xf numFmtId="43" fontId="52" fillId="0" borderId="104" xfId="0" applyNumberFormat="1" applyFont="1" applyBorder="1" applyAlignment="1">
      <alignment vertical="center"/>
    </xf>
    <xf numFmtId="43" fontId="52" fillId="0" borderId="40" xfId="1" applyFont="1" applyBorder="1" applyAlignment="1">
      <alignment vertical="center"/>
    </xf>
    <xf numFmtId="43" fontId="52" fillId="0" borderId="58" xfId="0" applyNumberFormat="1" applyFont="1" applyBorder="1" applyAlignment="1">
      <alignment vertical="center"/>
    </xf>
    <xf numFmtId="0" fontId="50" fillId="11" borderId="44" xfId="0" applyFont="1" applyFill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3" fillId="8" borderId="44" xfId="0" applyFont="1" applyFill="1" applyBorder="1" applyAlignment="1">
      <alignment horizontal="left" vertical="center" wrapText="1"/>
    </xf>
    <xf numFmtId="0" fontId="50" fillId="8" borderId="74" xfId="0" applyFont="1" applyFill="1" applyBorder="1" applyAlignment="1">
      <alignment horizontal="left" vertical="center" wrapText="1"/>
    </xf>
    <xf numFmtId="0" fontId="5" fillId="11" borderId="44" xfId="0" applyFont="1" applyFill="1" applyBorder="1" applyAlignment="1">
      <alignment horizontal="left" vertical="center" wrapText="1"/>
    </xf>
    <xf numFmtId="0" fontId="5" fillId="8" borderId="44" xfId="0" applyFont="1" applyFill="1" applyBorder="1" applyAlignment="1">
      <alignment horizontal="left" vertical="center" wrapText="1"/>
    </xf>
    <xf numFmtId="0" fontId="5" fillId="11" borderId="73" xfId="3" applyFont="1" applyFill="1" applyBorder="1" applyAlignment="1">
      <alignment horizontal="left" vertical="center" wrapText="1"/>
    </xf>
    <xf numFmtId="0" fontId="5" fillId="8" borderId="44" xfId="4" applyFont="1" applyFill="1" applyBorder="1" applyAlignment="1">
      <alignment horizontal="left" vertical="center" wrapText="1"/>
    </xf>
    <xf numFmtId="0" fontId="50" fillId="0" borderId="100" xfId="0" applyFont="1" applyBorder="1" applyAlignment="1">
      <alignment horizontal="left" vertical="center" wrapText="1"/>
    </xf>
    <xf numFmtId="43" fontId="54" fillId="11" borderId="52" xfId="1" applyFont="1" applyFill="1" applyBorder="1" applyAlignment="1">
      <alignment horizontal="right" vertical="center"/>
    </xf>
    <xf numFmtId="169" fontId="48" fillId="12" borderId="164" xfId="0" applyNumberFormat="1" applyFont="1" applyFill="1" applyBorder="1" applyAlignment="1">
      <alignment horizontal="right" vertical="center"/>
    </xf>
    <xf numFmtId="169" fontId="48" fillId="12" borderId="163" xfId="1" applyNumberFormat="1" applyFont="1" applyFill="1" applyBorder="1" applyAlignment="1">
      <alignment horizontal="right" vertical="center"/>
    </xf>
    <xf numFmtId="169" fontId="48" fillId="12" borderId="52" xfId="1" applyNumberFormat="1" applyFont="1" applyFill="1" applyBorder="1" applyAlignment="1">
      <alignment horizontal="right" vertical="center"/>
    </xf>
    <xf numFmtId="169" fontId="48" fillId="12" borderId="164" xfId="1" applyNumberFormat="1" applyFont="1" applyFill="1" applyBorder="1" applyAlignment="1">
      <alignment horizontal="right" vertical="center"/>
    </xf>
    <xf numFmtId="0" fontId="50" fillId="21" borderId="44" xfId="0" applyFont="1" applyFill="1" applyBorder="1" applyAlignment="1">
      <alignment horizontal="left" vertical="center" wrapText="1"/>
    </xf>
    <xf numFmtId="169" fontId="48" fillId="6" borderId="164" xfId="0" applyNumberFormat="1" applyFont="1" applyFill="1" applyBorder="1" applyAlignment="1">
      <alignment horizontal="right" vertical="center"/>
    </xf>
    <xf numFmtId="169" fontId="55" fillId="11" borderId="164" xfId="0" applyNumberFormat="1" applyFont="1" applyFill="1" applyBorder="1" applyAlignment="1">
      <alignment horizontal="right" vertical="center"/>
    </xf>
    <xf numFmtId="43" fontId="56" fillId="6" borderId="0" xfId="0" applyNumberFormat="1" applyFont="1" applyFill="1" applyAlignment="1">
      <alignment vertical="center" wrapText="1"/>
    </xf>
    <xf numFmtId="169" fontId="48" fillId="2" borderId="163" xfId="1" applyNumberFormat="1" applyFont="1" applyFill="1" applyBorder="1" applyAlignment="1">
      <alignment horizontal="right" vertical="center"/>
    </xf>
    <xf numFmtId="169" fontId="48" fillId="2" borderId="52" xfId="1" applyNumberFormat="1" applyFont="1" applyFill="1" applyBorder="1" applyAlignment="1">
      <alignment horizontal="right" vertical="center"/>
    </xf>
    <xf numFmtId="169" fontId="48" fillId="2" borderId="164" xfId="1" applyNumberFormat="1" applyFont="1" applyFill="1" applyBorder="1" applyAlignment="1">
      <alignment horizontal="right" vertical="center"/>
    </xf>
    <xf numFmtId="169" fontId="45" fillId="16" borderId="174" xfId="0" applyNumberFormat="1" applyFont="1" applyFill="1" applyBorder="1" applyAlignment="1">
      <alignment horizontal="right" vertical="center"/>
    </xf>
    <xf numFmtId="43" fontId="48" fillId="11" borderId="162" xfId="1" applyFont="1" applyFill="1" applyBorder="1" applyAlignment="1">
      <alignment horizontal="right" vertical="center"/>
    </xf>
    <xf numFmtId="169" fontId="45" fillId="16" borderId="175" xfId="0" applyNumberFormat="1" applyFont="1" applyFill="1" applyBorder="1" applyAlignment="1">
      <alignment horizontal="right" vertical="center"/>
    </xf>
    <xf numFmtId="43" fontId="54" fillId="12" borderId="176" xfId="1" applyFont="1" applyFill="1" applyBorder="1" applyAlignment="1">
      <alignment horizontal="right" vertical="center"/>
    </xf>
    <xf numFmtId="43" fontId="48" fillId="11" borderId="176" xfId="1" applyFont="1" applyFill="1" applyBorder="1" applyAlignment="1">
      <alignment horizontal="right" vertical="center"/>
    </xf>
    <xf numFmtId="43" fontId="48" fillId="11" borderId="150" xfId="1" applyFont="1" applyFill="1" applyBorder="1" applyAlignment="1">
      <alignment horizontal="right" vertical="center"/>
    </xf>
    <xf numFmtId="43" fontId="48" fillId="2" borderId="162" xfId="1" applyFont="1" applyFill="1" applyBorder="1" applyAlignment="1">
      <alignment horizontal="right" vertical="center"/>
    </xf>
    <xf numFmtId="43" fontId="48" fillId="2" borderId="52" xfId="1" applyFont="1" applyFill="1" applyBorder="1" applyAlignment="1">
      <alignment horizontal="right" vertical="center"/>
    </xf>
    <xf numFmtId="43" fontId="48" fillId="2" borderId="150" xfId="1" applyFont="1" applyFill="1" applyBorder="1" applyAlignment="1">
      <alignment horizontal="right" vertical="center"/>
    </xf>
    <xf numFmtId="169" fontId="48" fillId="2" borderId="163" xfId="0" applyNumberFormat="1" applyFont="1" applyFill="1" applyBorder="1" applyAlignment="1">
      <alignment horizontal="right" vertical="center"/>
    </xf>
    <xf numFmtId="169" fontId="48" fillId="2" borderId="52" xfId="0" applyNumberFormat="1" applyFont="1" applyFill="1" applyBorder="1" applyAlignment="1">
      <alignment horizontal="right" vertical="center"/>
    </xf>
    <xf numFmtId="169" fontId="48" fillId="2" borderId="102" xfId="0" applyNumberFormat="1" applyFont="1" applyFill="1" applyBorder="1" applyAlignment="1">
      <alignment horizontal="right" vertical="center"/>
    </xf>
    <xf numFmtId="169" fontId="48" fillId="2" borderId="164" xfId="0" applyNumberFormat="1" applyFont="1" applyFill="1" applyBorder="1" applyAlignment="1">
      <alignment horizontal="right" vertical="center"/>
    </xf>
    <xf numFmtId="43" fontId="45" fillId="0" borderId="162" xfId="1" applyFont="1" applyBorder="1" applyAlignment="1">
      <alignment horizontal="right" vertical="center"/>
    </xf>
    <xf numFmtId="43" fontId="45" fillId="0" borderId="52" xfId="1" applyFont="1" applyBorder="1" applyAlignment="1">
      <alignment horizontal="right" vertical="center"/>
    </xf>
    <xf numFmtId="43" fontId="48" fillId="0" borderId="162" xfId="1" applyFont="1" applyBorder="1" applyAlignment="1">
      <alignment horizontal="right" vertical="center"/>
    </xf>
    <xf numFmtId="43" fontId="48" fillId="0" borderId="52" xfId="1" applyFont="1" applyBorder="1" applyAlignment="1">
      <alignment horizontal="right" vertical="center"/>
    </xf>
    <xf numFmtId="43" fontId="48" fillId="0" borderId="150" xfId="1" applyFont="1" applyBorder="1" applyAlignment="1">
      <alignment horizontal="right" vertical="center"/>
    </xf>
    <xf numFmtId="169" fontId="48" fillId="0" borderId="163" xfId="0" applyNumberFormat="1" applyFont="1" applyBorder="1" applyAlignment="1">
      <alignment horizontal="right" vertical="center"/>
    </xf>
    <xf numFmtId="169" fontId="48" fillId="0" borderId="52" xfId="0" applyNumberFormat="1" applyFont="1" applyBorder="1" applyAlignment="1">
      <alignment horizontal="right" vertical="center"/>
    </xf>
    <xf numFmtId="169" fontId="48" fillId="0" borderId="164" xfId="0" applyNumberFormat="1" applyFont="1" applyBorder="1" applyAlignment="1">
      <alignment horizontal="right" vertical="center"/>
    </xf>
    <xf numFmtId="43" fontId="18" fillId="2" borderId="40" xfId="1" applyFont="1" applyFill="1" applyBorder="1" applyAlignment="1">
      <alignment horizontal="center" vertical="center" wrapText="1"/>
    </xf>
    <xf numFmtId="43" fontId="0" fillId="2" borderId="103" xfId="0" applyNumberFormat="1" applyFill="1" applyBorder="1" applyAlignment="1">
      <alignment vertical="center"/>
    </xf>
    <xf numFmtId="43" fontId="57" fillId="0" borderId="0" xfId="1" applyFont="1" applyAlignment="1">
      <alignment vertical="center"/>
    </xf>
    <xf numFmtId="43" fontId="52" fillId="2" borderId="57" xfId="1" applyFont="1" applyFill="1" applyBorder="1" applyAlignment="1">
      <alignment vertical="center"/>
    </xf>
    <xf numFmtId="0" fontId="18" fillId="8" borderId="44" xfId="0" applyFont="1" applyFill="1" applyBorder="1" applyAlignment="1">
      <alignment horizontal="left" vertical="center" wrapText="1"/>
    </xf>
    <xf numFmtId="43" fontId="0" fillId="22" borderId="76" xfId="0" applyNumberFormat="1" applyFill="1" applyBorder="1" applyAlignment="1">
      <alignment vertical="center"/>
    </xf>
    <xf numFmtId="43" fontId="0" fillId="8" borderId="177" xfId="0" applyNumberForma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50" fillId="2" borderId="74" xfId="0" applyFont="1" applyFill="1" applyBorder="1" applyAlignment="1">
      <alignment horizontal="left" vertical="center" wrapText="1"/>
    </xf>
    <xf numFmtId="0" fontId="0" fillId="2" borderId="86" xfId="0" applyFill="1" applyBorder="1" applyAlignment="1">
      <alignment horizontal="center" vertical="center" wrapText="1"/>
    </xf>
    <xf numFmtId="14" fontId="6" fillId="2" borderId="86" xfId="0" applyNumberFormat="1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43" fontId="0" fillId="2" borderId="86" xfId="1" applyFont="1" applyFill="1" applyBorder="1" applyAlignment="1">
      <alignment horizontal="center" vertical="center" wrapText="1"/>
    </xf>
    <xf numFmtId="43" fontId="0" fillId="2" borderId="86" xfId="0" applyNumberFormat="1" applyFill="1" applyBorder="1" applyAlignment="1">
      <alignment vertical="center"/>
    </xf>
    <xf numFmtId="43" fontId="13" fillId="2" borderId="86" xfId="1" applyFont="1" applyFill="1" applyBorder="1" applyAlignment="1">
      <alignment horizontal="right" vertical="center" wrapText="1"/>
    </xf>
    <xf numFmtId="43" fontId="9" fillId="2" borderId="86" xfId="1" applyFont="1" applyFill="1" applyBorder="1" applyAlignment="1">
      <alignment horizontal="right" vertical="top" wrapText="1"/>
    </xf>
    <xf numFmtId="43" fontId="0" fillId="2" borderId="86" xfId="1" applyFont="1" applyFill="1" applyBorder="1" applyAlignment="1">
      <alignment vertical="center"/>
    </xf>
    <xf numFmtId="43" fontId="11" fillId="2" borderId="40" xfId="0" applyNumberFormat="1" applyFont="1" applyFill="1" applyBorder="1" applyAlignment="1">
      <alignment vertical="center"/>
    </xf>
    <xf numFmtId="43" fontId="59" fillId="0" borderId="0" xfId="0" applyNumberFormat="1" applyFont="1"/>
    <xf numFmtId="43" fontId="42" fillId="0" borderId="0" xfId="1" applyFont="1"/>
    <xf numFmtId="169" fontId="45" fillId="2" borderId="169" xfId="0" applyNumberFormat="1" applyFont="1" applyFill="1" applyBorder="1" applyAlignment="1">
      <alignment horizontal="right" vertical="center"/>
    </xf>
    <xf numFmtId="169" fontId="45" fillId="2" borderId="170" xfId="0" applyNumberFormat="1" applyFont="1" applyFill="1" applyBorder="1" applyAlignment="1">
      <alignment horizontal="right" vertical="center"/>
    </xf>
    <xf numFmtId="169" fontId="45" fillId="2" borderId="171" xfId="0" applyNumberFormat="1" applyFont="1" applyFill="1" applyBorder="1" applyAlignment="1">
      <alignment horizontal="right" vertical="center"/>
    </xf>
    <xf numFmtId="7" fontId="15" fillId="0" borderId="0" xfId="1" applyNumberFormat="1" applyFont="1" applyAlignment="1">
      <alignment vertical="center"/>
    </xf>
    <xf numFmtId="43" fontId="15" fillId="0" borderId="0" xfId="1" quotePrefix="1" applyFont="1" applyAlignment="1">
      <alignment vertical="center"/>
    </xf>
    <xf numFmtId="9" fontId="16" fillId="0" borderId="0" xfId="0" applyNumberFormat="1" applyFont="1"/>
    <xf numFmtId="9" fontId="58" fillId="0" borderId="0" xfId="0" applyNumberFormat="1" applyFont="1" applyAlignment="1">
      <alignment vertical="center"/>
    </xf>
    <xf numFmtId="9" fontId="22" fillId="2" borderId="40" xfId="2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43" fontId="9" fillId="2" borderId="40" xfId="1" applyFont="1" applyFill="1" applyBorder="1" applyAlignment="1">
      <alignment horizontal="right" vertical="top" wrapText="1"/>
    </xf>
    <xf numFmtId="9" fontId="0" fillId="2" borderId="40" xfId="2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left" vertical="center" wrapText="1"/>
    </xf>
    <xf numFmtId="43" fontId="11" fillId="2" borderId="86" xfId="0" applyNumberFormat="1" applyFont="1" applyFill="1" applyBorder="1" applyAlignment="1">
      <alignment vertical="center"/>
    </xf>
    <xf numFmtId="9" fontId="0" fillId="2" borderId="86" xfId="2" applyFont="1" applyFill="1" applyBorder="1" applyAlignment="1">
      <alignment horizontal="center" vertical="center" wrapText="1"/>
    </xf>
    <xf numFmtId="43" fontId="0" fillId="2" borderId="76" xfId="0" applyNumberForma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5" fillId="2" borderId="44" xfId="3" applyFont="1" applyFill="1" applyBorder="1" applyAlignment="1">
      <alignment horizontal="left" vertical="center" wrapText="1"/>
    </xf>
    <xf numFmtId="43" fontId="11" fillId="2" borderId="40" xfId="0" applyNumberFormat="1" applyFont="1" applyFill="1" applyBorder="1" applyAlignment="1">
      <alignment horizontal="center" vertical="center" wrapText="1"/>
    </xf>
    <xf numFmtId="14" fontId="60" fillId="2" borderId="40" xfId="0" applyNumberFormat="1" applyFont="1" applyFill="1" applyBorder="1" applyAlignment="1">
      <alignment horizontal="center" vertical="center" wrapText="1"/>
    </xf>
    <xf numFmtId="0" fontId="53" fillId="2" borderId="40" xfId="0" applyFont="1" applyFill="1" applyBorder="1" applyAlignment="1">
      <alignment horizontal="center" vertical="center" wrapText="1"/>
    </xf>
    <xf numFmtId="43" fontId="15" fillId="2" borderId="40" xfId="1" applyFont="1" applyFill="1" applyBorder="1" applyAlignment="1">
      <alignment vertical="center" wrapText="1"/>
    </xf>
    <xf numFmtId="43" fontId="11" fillId="2" borderId="76" xfId="1" applyFont="1" applyFill="1" applyBorder="1" applyAlignment="1">
      <alignment horizontal="center" vertical="center" wrapText="1"/>
    </xf>
    <xf numFmtId="43" fontId="11" fillId="2" borderId="76" xfId="0" applyNumberFormat="1" applyFont="1" applyFill="1" applyBorder="1" applyAlignment="1">
      <alignment vertical="center"/>
    </xf>
    <xf numFmtId="0" fontId="0" fillId="2" borderId="73" xfId="4" applyFont="1" applyFill="1" applyBorder="1" applyAlignment="1">
      <alignment horizontal="left" vertical="center" wrapText="1"/>
    </xf>
    <xf numFmtId="0" fontId="0" fillId="2" borderId="76" xfId="0" applyFill="1" applyBorder="1" applyAlignment="1">
      <alignment horizontal="center" vertical="center" wrapText="1"/>
    </xf>
    <xf numFmtId="14" fontId="6" fillId="2" borderId="76" xfId="0" applyNumberFormat="1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43" fontId="0" fillId="2" borderId="76" xfId="1" applyFont="1" applyFill="1" applyBorder="1" applyAlignment="1">
      <alignment vertical="center"/>
    </xf>
    <xf numFmtId="43" fontId="9" fillId="2" borderId="76" xfId="1" applyFont="1" applyFill="1" applyBorder="1" applyAlignment="1">
      <alignment horizontal="right" vertical="center" wrapText="1"/>
    </xf>
    <xf numFmtId="9" fontId="0" fillId="2" borderId="76" xfId="2" applyFont="1" applyFill="1" applyBorder="1" applyAlignment="1">
      <alignment horizontal="center" vertical="center" wrapText="1"/>
    </xf>
    <xf numFmtId="43" fontId="11" fillId="2" borderId="109" xfId="1" applyFont="1" applyFill="1" applyBorder="1" applyAlignment="1">
      <alignment vertical="center"/>
    </xf>
    <xf numFmtId="43" fontId="11" fillId="2" borderId="76" xfId="1" applyFont="1" applyFill="1" applyBorder="1" applyAlignment="1">
      <alignment vertical="center"/>
    </xf>
    <xf numFmtId="43" fontId="11" fillId="2" borderId="92" xfId="0" applyNumberFormat="1" applyFont="1" applyFill="1" applyBorder="1" applyAlignment="1">
      <alignment vertical="center"/>
    </xf>
    <xf numFmtId="43" fontId="0" fillId="11" borderId="0" xfId="1" applyFont="1" applyFill="1" applyAlignment="1">
      <alignment horizontal="right"/>
    </xf>
    <xf numFmtId="0" fontId="2" fillId="0" borderId="178" xfId="0" applyFont="1" applyBorder="1"/>
    <xf numFmtId="43" fontId="0" fillId="0" borderId="179" xfId="1" applyFont="1" applyBorder="1"/>
    <xf numFmtId="43" fontId="0" fillId="2" borderId="180" xfId="0" applyNumberFormat="1" applyFill="1" applyBorder="1"/>
    <xf numFmtId="43" fontId="0" fillId="0" borderId="182" xfId="1" applyFont="1" applyBorder="1"/>
    <xf numFmtId="43" fontId="0" fillId="0" borderId="183" xfId="0" applyNumberFormat="1" applyBorder="1"/>
    <xf numFmtId="43" fontId="2" fillId="0" borderId="182" xfId="1" applyFont="1" applyBorder="1"/>
    <xf numFmtId="43" fontId="2" fillId="2" borderId="183" xfId="0" applyNumberFormat="1" applyFont="1" applyFill="1" applyBorder="1"/>
    <xf numFmtId="43" fontId="0" fillId="6" borderId="0" xfId="1" applyFont="1" applyFill="1" applyAlignment="1">
      <alignment horizontal="center"/>
    </xf>
    <xf numFmtId="0" fontId="2" fillId="0" borderId="184" xfId="0" applyFont="1" applyBorder="1"/>
    <xf numFmtId="43" fontId="0" fillId="0" borderId="31" xfId="1" applyFont="1" applyBorder="1"/>
    <xf numFmtId="43" fontId="0" fillId="0" borderId="124" xfId="0" applyNumberFormat="1" applyBorder="1"/>
    <xf numFmtId="0" fontId="2" fillId="0" borderId="181" xfId="0" applyFont="1" applyBorder="1" applyAlignment="1">
      <alignment wrapText="1"/>
    </xf>
    <xf numFmtId="43" fontId="11" fillId="2" borderId="52" xfId="1" applyFont="1" applyFill="1" applyBorder="1" applyAlignment="1">
      <alignment vertical="center"/>
    </xf>
    <xf numFmtId="43" fontId="1" fillId="2" borderId="52" xfId="1" applyFill="1" applyBorder="1" applyAlignment="1">
      <alignment vertical="center"/>
    </xf>
    <xf numFmtId="170" fontId="1" fillId="2" borderId="52" xfId="1" applyNumberFormat="1" applyFill="1" applyBorder="1" applyAlignment="1">
      <alignment vertical="center"/>
    </xf>
    <xf numFmtId="170" fontId="36" fillId="2" borderId="52" xfId="0" applyNumberFormat="1" applyFont="1" applyFill="1" applyBorder="1" applyAlignment="1">
      <alignment vertical="center"/>
    </xf>
    <xf numFmtId="171" fontId="0" fillId="0" borderId="0" xfId="1" applyNumberFormat="1" applyFont="1"/>
    <xf numFmtId="0" fontId="3" fillId="4" borderId="52" xfId="0" applyFont="1" applyFill="1" applyBorder="1" applyAlignment="1">
      <alignment horizontal="center" vertical="center" wrapText="1"/>
    </xf>
    <xf numFmtId="0" fontId="44" fillId="11" borderId="0" xfId="0" applyFont="1" applyFill="1"/>
    <xf numFmtId="0" fontId="41" fillId="0" borderId="0" xfId="0" applyFont="1" applyAlignment="1">
      <alignment vertical="center"/>
    </xf>
    <xf numFmtId="43" fontId="41" fillId="0" borderId="0" xfId="1" applyFont="1" applyAlignment="1">
      <alignment vertical="center"/>
    </xf>
    <xf numFmtId="0" fontId="61" fillId="0" borderId="0" xfId="0" applyFont="1" applyAlignment="1">
      <alignment horizontal="right"/>
    </xf>
    <xf numFmtId="43" fontId="41" fillId="0" borderId="0" xfId="1" applyFont="1" applyAlignment="1">
      <alignment horizontal="right"/>
    </xf>
    <xf numFmtId="0" fontId="41" fillId="11" borderId="0" xfId="0" applyFont="1" applyFill="1"/>
    <xf numFmtId="43" fontId="44" fillId="11" borderId="0" xfId="1" applyFont="1" applyFill="1" applyAlignment="1">
      <alignment vertical="center" wrapText="1"/>
    </xf>
    <xf numFmtId="43" fontId="44" fillId="4" borderId="44" xfId="1" applyFont="1" applyFill="1" applyBorder="1" applyAlignment="1">
      <alignment vertical="center" wrapText="1"/>
    </xf>
    <xf numFmtId="43" fontId="44" fillId="4" borderId="45" xfId="1" applyFont="1" applyFill="1" applyBorder="1" applyAlignment="1">
      <alignment vertical="center" wrapText="1"/>
    </xf>
    <xf numFmtId="43" fontId="44" fillId="0" borderId="0" xfId="1" applyFont="1" applyAlignment="1">
      <alignment vertical="center" wrapText="1"/>
    </xf>
    <xf numFmtId="0" fontId="44" fillId="9" borderId="40" xfId="0" applyFont="1" applyFill="1" applyBorder="1" applyAlignment="1">
      <alignment vertical="center" wrapText="1"/>
    </xf>
    <xf numFmtId="0" fontId="63" fillId="9" borderId="40" xfId="0" applyFont="1" applyFill="1" applyBorder="1" applyAlignment="1">
      <alignment vertical="center" wrapText="1"/>
    </xf>
    <xf numFmtId="43" fontId="44" fillId="9" borderId="44" xfId="1" applyFont="1" applyFill="1" applyBorder="1" applyAlignment="1">
      <alignment vertical="center" wrapText="1"/>
    </xf>
    <xf numFmtId="43" fontId="44" fillId="9" borderId="45" xfId="1" applyFont="1" applyFill="1" applyBorder="1" applyAlignment="1">
      <alignment vertical="center" wrapText="1"/>
    </xf>
    <xf numFmtId="14" fontId="66" fillId="0" borderId="40" xfId="0" applyNumberFormat="1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43" fontId="41" fillId="0" borderId="40" xfId="1" applyFont="1" applyBorder="1" applyAlignment="1">
      <alignment vertical="center"/>
    </xf>
    <xf numFmtId="9" fontId="41" fillId="0" borderId="0" xfId="0" applyNumberFormat="1" applyFont="1"/>
    <xf numFmtId="0" fontId="68" fillId="0" borderId="40" xfId="0" applyFont="1" applyBorder="1" applyAlignment="1">
      <alignment horizontal="left" vertical="center" wrapText="1"/>
    </xf>
    <xf numFmtId="43" fontId="41" fillId="0" borderId="44" xfId="1" applyFont="1" applyBorder="1" applyAlignment="1">
      <alignment vertical="center"/>
    </xf>
    <xf numFmtId="43" fontId="41" fillId="0" borderId="45" xfId="0" applyNumberFormat="1" applyFont="1" applyBorder="1" applyAlignment="1">
      <alignment vertical="center"/>
    </xf>
    <xf numFmtId="43" fontId="41" fillId="11" borderId="44" xfId="1" applyFont="1" applyFill="1" applyBorder="1" applyAlignment="1">
      <alignment vertical="center"/>
    </xf>
    <xf numFmtId="43" fontId="41" fillId="11" borderId="45" xfId="0" applyNumberFormat="1" applyFont="1" applyFill="1" applyBorder="1" applyAlignment="1">
      <alignment vertical="center"/>
    </xf>
    <xf numFmtId="43" fontId="44" fillId="23" borderId="186" xfId="1" applyFont="1" applyFill="1" applyBorder="1" applyAlignment="1">
      <alignment vertical="center" wrapText="1"/>
    </xf>
    <xf numFmtId="43" fontId="44" fillId="23" borderId="45" xfId="1" applyFont="1" applyFill="1" applyBorder="1" applyAlignment="1">
      <alignment vertical="center" wrapText="1"/>
    </xf>
    <xf numFmtId="43" fontId="41" fillId="0" borderId="41" xfId="1" applyFont="1" applyBorder="1" applyAlignment="1">
      <alignment vertical="center"/>
    </xf>
    <xf numFmtId="43" fontId="41" fillId="0" borderId="43" xfId="0" applyNumberFormat="1" applyFont="1" applyBorder="1" applyAlignment="1">
      <alignment vertical="center"/>
    </xf>
    <xf numFmtId="0" fontId="68" fillId="11" borderId="40" xfId="0" applyFont="1" applyFill="1" applyBorder="1" applyAlignment="1">
      <alignment horizontal="left" vertical="center" wrapText="1"/>
    </xf>
    <xf numFmtId="0" fontId="67" fillId="11" borderId="40" xfId="0" applyFont="1" applyFill="1" applyBorder="1" applyAlignment="1">
      <alignment horizontal="left" vertical="center" wrapText="1"/>
    </xf>
    <xf numFmtId="43" fontId="44" fillId="24" borderId="186" xfId="1" applyFont="1" applyFill="1" applyBorder="1" applyAlignment="1">
      <alignment horizontal="center" vertical="center" wrapText="1"/>
    </xf>
    <xf numFmtId="43" fontId="44" fillId="24" borderId="45" xfId="1" applyFont="1" applyFill="1" applyBorder="1" applyAlignment="1">
      <alignment horizontal="center" vertical="center" wrapText="1"/>
    </xf>
    <xf numFmtId="43" fontId="67" fillId="8" borderId="44" xfId="1" applyFont="1" applyFill="1" applyBorder="1" applyAlignment="1">
      <alignment horizontal="left" vertical="center" wrapText="1"/>
    </xf>
    <xf numFmtId="43" fontId="67" fillId="8" borderId="45" xfId="1" applyFont="1" applyFill="1" applyBorder="1" applyAlignment="1">
      <alignment horizontal="left" vertical="center" wrapText="1"/>
    </xf>
    <xf numFmtId="43" fontId="44" fillId="24" borderId="44" xfId="1" applyFont="1" applyFill="1" applyBorder="1" applyAlignment="1">
      <alignment horizontal="center" vertical="center" wrapText="1"/>
    </xf>
    <xf numFmtId="43" fontId="41" fillId="8" borderId="44" xfId="1" applyFont="1" applyFill="1" applyBorder="1" applyAlignment="1">
      <alignment vertical="center"/>
    </xf>
    <xf numFmtId="43" fontId="41" fillId="8" borderId="45" xfId="0" applyNumberFormat="1" applyFont="1" applyFill="1" applyBorder="1" applyAlignment="1">
      <alignment vertical="center"/>
    </xf>
    <xf numFmtId="7" fontId="72" fillId="0" borderId="0" xfId="1" applyNumberFormat="1" applyFont="1" applyAlignment="1">
      <alignment vertical="center"/>
    </xf>
    <xf numFmtId="43" fontId="72" fillId="0" borderId="0" xfId="1" quotePrefix="1" applyFont="1" applyAlignment="1">
      <alignment vertical="center"/>
    </xf>
    <xf numFmtId="39" fontId="41" fillId="0" borderId="0" xfId="0" applyNumberFormat="1" applyFont="1"/>
    <xf numFmtId="0" fontId="65" fillId="15" borderId="40" xfId="0" applyFont="1" applyFill="1" applyBorder="1" applyAlignment="1">
      <alignment vertical="center" wrapText="1"/>
    </xf>
    <xf numFmtId="43" fontId="44" fillId="15" borderId="44" xfId="1" applyFont="1" applyFill="1" applyBorder="1" applyAlignment="1">
      <alignment vertical="center" wrapText="1"/>
    </xf>
    <xf numFmtId="43" fontId="44" fillId="15" borderId="45" xfId="1" applyFont="1" applyFill="1" applyBorder="1" applyAlignment="1">
      <alignment vertical="center" wrapText="1"/>
    </xf>
    <xf numFmtId="14" fontId="66" fillId="15" borderId="40" xfId="0" applyNumberFormat="1" applyFont="1" applyFill="1" applyBorder="1" applyAlignment="1">
      <alignment horizontal="center" vertical="center" wrapText="1"/>
    </xf>
    <xf numFmtId="0" fontId="43" fillId="15" borderId="40" xfId="0" applyFont="1" applyFill="1" applyBorder="1" applyAlignment="1">
      <alignment horizontal="center" vertical="center" wrapText="1"/>
    </xf>
    <xf numFmtId="43" fontId="64" fillId="15" borderId="44" xfId="1" applyFont="1" applyFill="1" applyBorder="1" applyAlignment="1">
      <alignment vertical="center" wrapText="1"/>
    </xf>
    <xf numFmtId="43" fontId="64" fillId="15" borderId="45" xfId="1" applyFont="1" applyFill="1" applyBorder="1" applyAlignment="1">
      <alignment vertical="center" wrapText="1"/>
    </xf>
    <xf numFmtId="0" fontId="44" fillId="15" borderId="40" xfId="0" applyFont="1" applyFill="1" applyBorder="1" applyAlignment="1">
      <alignment vertical="center" wrapText="1"/>
    </xf>
    <xf numFmtId="43" fontId="44" fillId="23" borderId="44" xfId="1" applyFont="1" applyFill="1" applyBorder="1" applyAlignment="1">
      <alignment vertical="center" wrapText="1"/>
    </xf>
    <xf numFmtId="0" fontId="43" fillId="11" borderId="40" xfId="0" applyFont="1" applyFill="1" applyBorder="1" applyAlignment="1">
      <alignment horizontal="left" vertical="center" wrapText="1"/>
    </xf>
    <xf numFmtId="171" fontId="41" fillId="0" borderId="0" xfId="1" applyNumberFormat="1" applyFont="1"/>
    <xf numFmtId="9" fontId="74" fillId="0" borderId="0" xfId="0" applyNumberFormat="1" applyFont="1" applyAlignment="1">
      <alignment vertical="center"/>
    </xf>
    <xf numFmtId="43" fontId="75" fillId="0" borderId="0" xfId="1" applyFont="1" applyAlignment="1">
      <alignment vertical="center"/>
    </xf>
    <xf numFmtId="10" fontId="41" fillId="0" borderId="0" xfId="2" applyNumberFormat="1" applyFont="1"/>
    <xf numFmtId="0" fontId="67" fillId="0" borderId="40" xfId="0" applyFont="1" applyBorder="1" applyAlignment="1">
      <alignment horizontal="left" vertical="center" wrapText="1"/>
    </xf>
    <xf numFmtId="0" fontId="43" fillId="11" borderId="40" xfId="3" applyFont="1" applyFill="1" applyBorder="1" applyAlignment="1">
      <alignment horizontal="left" vertical="center" wrapText="1"/>
    </xf>
    <xf numFmtId="43" fontId="44" fillId="0" borderId="40" xfId="1" applyFont="1" applyBorder="1" applyAlignment="1">
      <alignment vertical="center" wrapText="1"/>
    </xf>
    <xf numFmtId="43" fontId="41" fillId="11" borderId="41" xfId="1" applyFont="1" applyFill="1" applyBorder="1" applyAlignment="1">
      <alignment vertical="center"/>
    </xf>
    <xf numFmtId="43" fontId="41" fillId="11" borderId="43" xfId="0" applyNumberFormat="1" applyFont="1" applyFill="1" applyBorder="1" applyAlignment="1">
      <alignment vertical="center"/>
    </xf>
    <xf numFmtId="43" fontId="41" fillId="0" borderId="49" xfId="1" applyFont="1" applyBorder="1" applyAlignment="1">
      <alignment vertical="center"/>
    </xf>
    <xf numFmtId="43" fontId="41" fillId="0" borderId="51" xfId="0" applyNumberFormat="1" applyFont="1" applyBorder="1" applyAlignment="1">
      <alignment vertical="center"/>
    </xf>
    <xf numFmtId="43" fontId="41" fillId="8" borderId="41" xfId="1" applyFont="1" applyFill="1" applyBorder="1" applyAlignment="1">
      <alignment vertical="center"/>
    </xf>
    <xf numFmtId="43" fontId="41" fillId="8" borderId="43" xfId="0" applyNumberFormat="1" applyFont="1" applyFill="1" applyBorder="1" applyAlignment="1">
      <alignment vertical="center"/>
    </xf>
    <xf numFmtId="0" fontId="44" fillId="0" borderId="60" xfId="0" applyFont="1" applyBorder="1" applyAlignment="1">
      <alignment horizontal="center" vertical="center" wrapText="1"/>
    </xf>
    <xf numFmtId="43" fontId="44" fillId="0" borderId="143" xfId="1" applyFont="1" applyBorder="1" applyAlignment="1">
      <alignment horizontal="center" vertical="center" wrapText="1"/>
    </xf>
    <xf numFmtId="0" fontId="44" fillId="0" borderId="0" xfId="0" applyFont="1"/>
    <xf numFmtId="0" fontId="41" fillId="6" borderId="0" xfId="0" applyFont="1" applyFill="1"/>
    <xf numFmtId="43" fontId="41" fillId="6" borderId="114" xfId="1" applyFont="1" applyFill="1" applyBorder="1" applyAlignment="1">
      <alignment horizontal="center"/>
    </xf>
    <xf numFmtId="0" fontId="63" fillId="8" borderId="52" xfId="0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vertical="center"/>
    </xf>
    <xf numFmtId="43" fontId="41" fillId="0" borderId="52" xfId="1" applyFont="1" applyBorder="1" applyAlignment="1">
      <alignment vertical="center"/>
    </xf>
    <xf numFmtId="0" fontId="44" fillId="0" borderId="52" xfId="0" applyFont="1" applyBorder="1" applyAlignment="1">
      <alignment vertical="center" wrapText="1"/>
    </xf>
    <xf numFmtId="43" fontId="44" fillId="0" borderId="52" xfId="1" applyFont="1" applyBorder="1" applyAlignment="1">
      <alignment vertical="center"/>
    </xf>
    <xf numFmtId="43" fontId="67" fillId="8" borderId="44" xfId="1" applyFont="1" applyFill="1" applyBorder="1" applyAlignment="1">
      <alignment horizontal="left" wrapText="1"/>
    </xf>
    <xf numFmtId="43" fontId="41" fillId="6" borderId="0" xfId="0" applyNumberFormat="1" applyFont="1" applyFill="1"/>
    <xf numFmtId="43" fontId="41" fillId="6" borderId="45" xfId="0" applyNumberFormat="1" applyFont="1" applyFill="1" applyBorder="1" applyAlignment="1">
      <alignment vertical="center"/>
    </xf>
    <xf numFmtId="0" fontId="62" fillId="21" borderId="0" xfId="0" applyFont="1" applyFill="1"/>
    <xf numFmtId="14" fontId="66" fillId="8" borderId="40" xfId="0" applyNumberFormat="1" applyFont="1" applyFill="1" applyBorder="1" applyAlignment="1">
      <alignment horizontal="center" vertical="center" wrapText="1"/>
    </xf>
    <xf numFmtId="0" fontId="43" fillId="8" borderId="40" xfId="0" applyFont="1" applyFill="1" applyBorder="1" applyAlignment="1">
      <alignment horizontal="center" vertical="center" wrapText="1"/>
    </xf>
    <xf numFmtId="0" fontId="41" fillId="8" borderId="0" xfId="0" applyFont="1" applyFill="1"/>
    <xf numFmtId="43" fontId="67" fillId="11" borderId="44" xfId="1" applyFont="1" applyFill="1" applyBorder="1" applyAlignment="1">
      <alignment horizontal="left" wrapText="1"/>
    </xf>
    <xf numFmtId="0" fontId="44" fillId="7" borderId="40" xfId="0" applyFont="1" applyFill="1" applyBorder="1" applyAlignment="1">
      <alignment vertical="center" wrapText="1"/>
    </xf>
    <xf numFmtId="0" fontId="63" fillId="7" borderId="40" xfId="0" applyFont="1" applyFill="1" applyBorder="1" applyAlignment="1">
      <alignment vertical="center" wrapText="1"/>
    </xf>
    <xf numFmtId="14" fontId="66" fillId="11" borderId="40" xfId="0" applyNumberFormat="1" applyFont="1" applyFill="1" applyBorder="1" applyAlignment="1">
      <alignment horizontal="center" vertical="center" wrapText="1"/>
    </xf>
    <xf numFmtId="0" fontId="43" fillId="11" borderId="40" xfId="0" applyFont="1" applyFill="1" applyBorder="1" applyAlignment="1">
      <alignment horizontal="center" vertical="center" wrapText="1"/>
    </xf>
    <xf numFmtId="14" fontId="77" fillId="11" borderId="40" xfId="0" applyNumberFormat="1" applyFont="1" applyFill="1" applyBorder="1" applyAlignment="1">
      <alignment horizontal="center" vertical="center" wrapText="1"/>
    </xf>
    <xf numFmtId="0" fontId="68" fillId="11" borderId="40" xfId="0" applyFont="1" applyFill="1" applyBorder="1" applyAlignment="1">
      <alignment horizontal="center" vertical="center" wrapText="1"/>
    </xf>
    <xf numFmtId="0" fontId="44" fillId="25" borderId="40" xfId="0" applyFont="1" applyFill="1" applyBorder="1" applyAlignment="1">
      <alignment horizontal="left" vertical="center" wrapText="1"/>
    </xf>
    <xf numFmtId="14" fontId="66" fillId="25" borderId="40" xfId="0" applyNumberFormat="1" applyFont="1" applyFill="1" applyBorder="1" applyAlignment="1">
      <alignment horizontal="center" vertical="center" wrapText="1"/>
    </xf>
    <xf numFmtId="0" fontId="43" fillId="25" borderId="40" xfId="0" applyFont="1" applyFill="1" applyBorder="1" applyAlignment="1">
      <alignment horizontal="center" vertical="center" wrapText="1"/>
    </xf>
    <xf numFmtId="43" fontId="72" fillId="25" borderId="44" xfId="1" applyFont="1" applyFill="1" applyBorder="1" applyAlignment="1">
      <alignment horizontal="center" vertical="center" wrapText="1"/>
    </xf>
    <xf numFmtId="43" fontId="72" fillId="25" borderId="45" xfId="1" applyFont="1" applyFill="1" applyBorder="1" applyAlignment="1">
      <alignment horizontal="center" vertical="center" wrapText="1"/>
    </xf>
    <xf numFmtId="43" fontId="41" fillId="25" borderId="0" xfId="0" applyNumberFormat="1" applyFont="1" applyFill="1"/>
    <xf numFmtId="43" fontId="65" fillId="11" borderId="40" xfId="1" applyFont="1" applyFill="1" applyBorder="1" applyAlignment="1">
      <alignment horizontal="center" vertical="center" wrapText="1"/>
    </xf>
    <xf numFmtId="0" fontId="67" fillId="11" borderId="40" xfId="4" applyFont="1" applyFill="1" applyBorder="1" applyAlignment="1">
      <alignment horizontal="left" vertical="center" wrapText="1"/>
    </xf>
    <xf numFmtId="43" fontId="41" fillId="11" borderId="0" xfId="0" applyNumberFormat="1" applyFont="1" applyFill="1"/>
    <xf numFmtId="43" fontId="43" fillId="0" borderId="0" xfId="1" applyFont="1"/>
    <xf numFmtId="43" fontId="43" fillId="0" borderId="0" xfId="0" applyNumberFormat="1" applyFont="1"/>
    <xf numFmtId="43" fontId="71" fillId="6" borderId="0" xfId="1" applyFont="1" applyFill="1" applyAlignment="1">
      <alignment vertical="center"/>
    </xf>
    <xf numFmtId="43" fontId="49" fillId="2" borderId="52" xfId="1" applyFont="1" applyFill="1" applyBorder="1" applyAlignment="1">
      <alignment vertical="center"/>
    </xf>
    <xf numFmtId="43" fontId="44" fillId="0" borderId="0" xfId="1" applyFont="1"/>
    <xf numFmtId="43" fontId="81" fillId="11" borderId="0" xfId="0" applyNumberFormat="1" applyFont="1" applyFill="1"/>
    <xf numFmtId="43" fontId="65" fillId="9" borderId="40" xfId="1" applyFont="1" applyFill="1" applyBorder="1" applyAlignment="1">
      <alignment vertical="center" wrapText="1"/>
    </xf>
    <xf numFmtId="43" fontId="81" fillId="6" borderId="40" xfId="0" applyNumberFormat="1" applyFont="1" applyFill="1" applyBorder="1" applyAlignment="1">
      <alignment vertical="center"/>
    </xf>
    <xf numFmtId="43" fontId="65" fillId="7" borderId="40" xfId="1" applyFont="1" applyFill="1" applyBorder="1" applyAlignment="1">
      <alignment vertical="center" wrapText="1"/>
    </xf>
    <xf numFmtId="43" fontId="65" fillId="8" borderId="40" xfId="1" applyFont="1" applyFill="1" applyBorder="1" applyAlignment="1">
      <alignment horizontal="center" vertical="center" wrapText="1"/>
    </xf>
    <xf numFmtId="43" fontId="65" fillId="4" borderId="40" xfId="1" applyFont="1" applyFill="1" applyBorder="1" applyAlignment="1">
      <alignment vertical="center" wrapText="1"/>
    </xf>
    <xf numFmtId="43" fontId="82" fillId="15" borderId="40" xfId="1" applyFont="1" applyFill="1" applyBorder="1" applyAlignment="1">
      <alignment vertical="center" wrapText="1"/>
    </xf>
    <xf numFmtId="43" fontId="65" fillId="15" borderId="40" xfId="1" applyFont="1" applyFill="1" applyBorder="1" applyAlignment="1">
      <alignment vertical="center" wrapText="1"/>
    </xf>
    <xf numFmtId="43" fontId="65" fillId="2" borderId="40" xfId="1" applyFont="1" applyFill="1" applyBorder="1" applyAlignment="1">
      <alignment horizontal="center" vertical="center" wrapText="1"/>
    </xf>
    <xf numFmtId="43" fontId="65" fillId="25" borderId="40" xfId="1" applyFont="1" applyFill="1" applyBorder="1" applyAlignment="1">
      <alignment horizontal="center" vertical="center" wrapText="1"/>
    </xf>
    <xf numFmtId="43" fontId="81" fillId="8" borderId="40" xfId="1" applyFont="1" applyFill="1" applyBorder="1" applyAlignment="1">
      <alignment horizontal="center" vertical="center" wrapText="1"/>
    </xf>
    <xf numFmtId="43" fontId="65" fillId="6" borderId="60" xfId="1" applyFont="1" applyFill="1" applyBorder="1" applyAlignment="1">
      <alignment horizontal="center" vertical="center" wrapText="1"/>
    </xf>
    <xf numFmtId="0" fontId="81" fillId="6" borderId="0" xfId="0" applyFont="1" applyFill="1"/>
    <xf numFmtId="0" fontId="81" fillId="11" borderId="0" xfId="0" applyFont="1" applyFill="1"/>
    <xf numFmtId="0" fontId="81" fillId="0" borderId="0" xfId="0" applyFont="1"/>
    <xf numFmtId="0" fontId="49" fillId="4" borderId="83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43" fontId="82" fillId="4" borderId="41" xfId="1" applyFont="1" applyFill="1" applyBorder="1" applyAlignment="1">
      <alignment vertical="center" wrapText="1"/>
    </xf>
    <xf numFmtId="43" fontId="82" fillId="4" borderId="43" xfId="1" applyFont="1" applyFill="1" applyBorder="1" applyAlignment="1">
      <alignment vertical="center" wrapText="1"/>
    </xf>
    <xf numFmtId="43" fontId="81" fillId="0" borderId="0" xfId="1" applyFont="1"/>
    <xf numFmtId="43" fontId="81" fillId="0" borderId="0" xfId="0" applyNumberFormat="1" applyFont="1"/>
    <xf numFmtId="43" fontId="65" fillId="11" borderId="0" xfId="1" applyFont="1" applyFill="1" applyAlignment="1">
      <alignment vertical="center" wrapText="1"/>
    </xf>
    <xf numFmtId="43" fontId="65" fillId="4" borderId="44" xfId="1" applyFont="1" applyFill="1" applyBorder="1" applyAlignment="1">
      <alignment vertical="center" wrapText="1"/>
    </xf>
    <xf numFmtId="43" fontId="65" fillId="0" borderId="0" xfId="1" applyFont="1" applyAlignment="1">
      <alignment vertical="center" wrapText="1"/>
    </xf>
    <xf numFmtId="43" fontId="65" fillId="9" borderId="58" xfId="1" applyFont="1" applyFill="1" applyBorder="1" applyAlignment="1">
      <alignment vertical="center" wrapText="1"/>
    </xf>
    <xf numFmtId="43" fontId="81" fillId="11" borderId="40" xfId="0" applyNumberFormat="1" applyFont="1" applyFill="1" applyBorder="1" applyAlignment="1">
      <alignment vertical="center"/>
    </xf>
    <xf numFmtId="43" fontId="81" fillId="11" borderId="40" xfId="1" applyFont="1" applyFill="1" applyBorder="1" applyAlignment="1">
      <alignment vertical="center"/>
    </xf>
    <xf numFmtId="43" fontId="81" fillId="11" borderId="58" xfId="0" applyNumberFormat="1" applyFont="1" applyFill="1" applyBorder="1" applyAlignment="1">
      <alignment vertical="center"/>
    </xf>
    <xf numFmtId="0" fontId="49" fillId="7" borderId="40" xfId="0" applyFont="1" applyFill="1" applyBorder="1" applyAlignment="1">
      <alignment vertical="center" wrapText="1"/>
    </xf>
    <xf numFmtId="43" fontId="65" fillId="7" borderId="58" xfId="1" applyFont="1" applyFill="1" applyBorder="1" applyAlignment="1">
      <alignment vertical="center" wrapText="1"/>
    </xf>
    <xf numFmtId="43" fontId="65" fillId="8" borderId="58" xfId="1" applyFont="1" applyFill="1" applyBorder="1" applyAlignment="1">
      <alignment horizontal="center" vertical="center" wrapText="1"/>
    </xf>
    <xf numFmtId="43" fontId="81" fillId="0" borderId="40" xfId="0" applyNumberFormat="1" applyFont="1" applyBorder="1" applyAlignment="1">
      <alignment vertical="center"/>
    </xf>
    <xf numFmtId="43" fontId="81" fillId="0" borderId="40" xfId="1" applyFont="1" applyBorder="1" applyAlignment="1">
      <alignment vertical="center"/>
    </xf>
    <xf numFmtId="43" fontId="81" fillId="0" borderId="58" xfId="0" applyNumberFormat="1" applyFont="1" applyBorder="1" applyAlignment="1">
      <alignment vertical="center"/>
    </xf>
    <xf numFmtId="43" fontId="65" fillId="15" borderId="58" xfId="1" applyFont="1" applyFill="1" applyBorder="1" applyAlignment="1">
      <alignment vertical="center" wrapText="1"/>
    </xf>
    <xf numFmtId="43" fontId="73" fillId="25" borderId="40" xfId="1" applyFont="1" applyFill="1" applyBorder="1" applyAlignment="1">
      <alignment horizontal="center" vertical="center" wrapText="1"/>
    </xf>
    <xf numFmtId="43" fontId="65" fillId="25" borderId="58" xfId="1" applyFont="1" applyFill="1" applyBorder="1" applyAlignment="1">
      <alignment horizontal="center" vertical="center" wrapText="1"/>
    </xf>
    <xf numFmtId="43" fontId="83" fillId="11" borderId="40" xfId="0" applyNumberFormat="1" applyFont="1" applyFill="1" applyBorder="1" applyAlignment="1">
      <alignment vertical="center"/>
    </xf>
    <xf numFmtId="43" fontId="83" fillId="11" borderId="40" xfId="1" applyFont="1" applyFill="1" applyBorder="1" applyAlignment="1">
      <alignment vertical="center"/>
    </xf>
    <xf numFmtId="43" fontId="83" fillId="11" borderId="58" xfId="0" applyNumberFormat="1" applyFont="1" applyFill="1" applyBorder="1" applyAlignment="1">
      <alignment vertical="center"/>
    </xf>
    <xf numFmtId="43" fontId="81" fillId="8" borderId="40" xfId="1" applyFont="1" applyFill="1" applyBorder="1" applyAlignment="1">
      <alignment vertical="center"/>
    </xf>
    <xf numFmtId="43" fontId="81" fillId="8" borderId="40" xfId="0" applyNumberFormat="1" applyFont="1" applyFill="1" applyBorder="1" applyAlignment="1">
      <alignment vertical="center"/>
    </xf>
    <xf numFmtId="43" fontId="81" fillId="8" borderId="58" xfId="0" applyNumberFormat="1" applyFont="1" applyFill="1" applyBorder="1" applyAlignment="1">
      <alignment vertical="center"/>
    </xf>
    <xf numFmtId="43" fontId="65" fillId="0" borderId="60" xfId="1" applyFont="1" applyBorder="1" applyAlignment="1">
      <alignment horizontal="center" vertical="center" wrapText="1"/>
    </xf>
    <xf numFmtId="43" fontId="65" fillId="6" borderId="61" xfId="1" applyFont="1" applyFill="1" applyBorder="1" applyAlignment="1">
      <alignment horizontal="center" vertical="center" wrapText="1"/>
    </xf>
    <xf numFmtId="43" fontId="81" fillId="11" borderId="40" xfId="1" applyFont="1" applyFill="1" applyBorder="1" applyAlignment="1">
      <alignment horizontal="center" vertical="center" wrapText="1"/>
    </xf>
    <xf numFmtId="43" fontId="83" fillId="11" borderId="40" xfId="1" applyFont="1" applyFill="1" applyBorder="1" applyAlignment="1">
      <alignment horizontal="right" vertical="center" wrapText="1"/>
    </xf>
    <xf numFmtId="43" fontId="83" fillId="11" borderId="40" xfId="1" applyFont="1" applyFill="1" applyBorder="1" applyAlignment="1">
      <alignment horizontal="right" vertical="top" wrapText="1"/>
    </xf>
    <xf numFmtId="43" fontId="48" fillId="11" borderId="40" xfId="1" applyFont="1" applyFill="1" applyBorder="1" applyAlignment="1">
      <alignment horizontal="right" vertical="top" wrapText="1"/>
    </xf>
    <xf numFmtId="43" fontId="48" fillId="11" borderId="40" xfId="1" applyFont="1" applyFill="1" applyBorder="1" applyAlignment="1">
      <alignment horizontal="right" vertical="center" wrapText="1"/>
    </xf>
    <xf numFmtId="43" fontId="81" fillId="11" borderId="40" xfId="1" applyFont="1" applyFill="1" applyBorder="1" applyAlignment="1">
      <alignment horizontal="right" vertical="top" wrapText="1"/>
    </xf>
    <xf numFmtId="43" fontId="81" fillId="0" borderId="40" xfId="1" applyFont="1" applyBorder="1" applyAlignment="1">
      <alignment horizontal="center" vertical="center" wrapText="1"/>
    </xf>
    <xf numFmtId="43" fontId="48" fillId="0" borderId="40" xfId="1" applyFont="1" applyBorder="1" applyAlignment="1">
      <alignment horizontal="right" vertical="center" wrapText="1"/>
    </xf>
    <xf numFmtId="43" fontId="81" fillId="7" borderId="40" xfId="1" applyFont="1" applyFill="1" applyBorder="1" applyAlignment="1">
      <alignment horizontal="center" vertical="center" wrapText="1"/>
    </xf>
    <xf numFmtId="43" fontId="48" fillId="0" borderId="40" xfId="1" applyFont="1" applyBorder="1" applyAlignment="1">
      <alignment horizontal="right" vertical="top" wrapText="1"/>
    </xf>
    <xf numFmtId="43" fontId="81" fillId="11" borderId="40" xfId="1" applyFont="1" applyFill="1" applyBorder="1" applyAlignment="1">
      <alignment horizontal="right" vertical="center" wrapText="1"/>
    </xf>
    <xf numFmtId="43" fontId="54" fillId="0" borderId="40" xfId="0" applyNumberFormat="1" applyFont="1" applyBorder="1" applyAlignment="1">
      <alignment vertical="center"/>
    </xf>
    <xf numFmtId="43" fontId="54" fillId="11" borderId="40" xfId="0" applyNumberFormat="1" applyFont="1" applyFill="1" applyBorder="1" applyAlignment="1">
      <alignment vertical="center"/>
    </xf>
    <xf numFmtId="43" fontId="48" fillId="8" borderId="40" xfId="1" applyFont="1" applyFill="1" applyBorder="1" applyAlignment="1">
      <alignment horizontal="right" vertical="top" wrapText="1"/>
    </xf>
    <xf numFmtId="43" fontId="83" fillId="11" borderId="40" xfId="1" applyFont="1" applyFill="1" applyBorder="1" applyAlignment="1">
      <alignment horizontal="center" vertical="center" wrapText="1"/>
    </xf>
    <xf numFmtId="43" fontId="65" fillId="0" borderId="40" xfId="1" applyFont="1" applyBorder="1" applyAlignment="1">
      <alignment vertical="center" wrapText="1"/>
    </xf>
    <xf numFmtId="173" fontId="41" fillId="0" borderId="0" xfId="1" applyNumberFormat="1" applyFont="1"/>
    <xf numFmtId="0" fontId="49" fillId="0" borderId="12" xfId="0" applyFont="1" applyBorder="1" applyAlignment="1">
      <alignment horizontal="center" vertical="center" wrapText="1"/>
    </xf>
    <xf numFmtId="43" fontId="82" fillId="0" borderId="42" xfId="1" applyFont="1" applyBorder="1" applyAlignment="1">
      <alignment vertical="center" wrapText="1"/>
    </xf>
    <xf numFmtId="43" fontId="44" fillId="0" borderId="58" xfId="1" applyFont="1" applyBorder="1" applyAlignment="1">
      <alignment vertical="center" wrapText="1"/>
    </xf>
    <xf numFmtId="43" fontId="41" fillId="0" borderId="42" xfId="1" applyFont="1" applyBorder="1" applyAlignment="1">
      <alignment vertical="center"/>
    </xf>
    <xf numFmtId="43" fontId="67" fillId="0" borderId="40" xfId="1" applyFont="1" applyBorder="1" applyAlignment="1">
      <alignment horizontal="left" wrapText="1"/>
    </xf>
    <xf numFmtId="43" fontId="44" fillId="0" borderId="58" xfId="1" applyFont="1" applyBorder="1" applyAlignment="1">
      <alignment horizontal="center" vertical="center" wrapText="1"/>
    </xf>
    <xf numFmtId="43" fontId="67" fillId="0" borderId="40" xfId="1" applyFont="1" applyBorder="1" applyAlignment="1">
      <alignment horizontal="left" vertical="center" wrapText="1"/>
    </xf>
    <xf numFmtId="43" fontId="44" fillId="0" borderId="40" xfId="1" applyFont="1" applyBorder="1" applyAlignment="1">
      <alignment horizontal="center" vertical="center" wrapText="1"/>
    </xf>
    <xf numFmtId="43" fontId="64" fillId="0" borderId="40" xfId="1" applyFont="1" applyBorder="1" applyAlignment="1">
      <alignment vertical="center" wrapText="1"/>
    </xf>
    <xf numFmtId="43" fontId="41" fillId="0" borderId="50" xfId="1" applyFont="1" applyBorder="1" applyAlignment="1">
      <alignment vertical="center"/>
    </xf>
    <xf numFmtId="0" fontId="63" fillId="8" borderId="40" xfId="0" applyFont="1" applyFill="1" applyBorder="1" applyAlignment="1">
      <alignment horizontal="left" vertical="center" wrapText="1"/>
    </xf>
    <xf numFmtId="43" fontId="82" fillId="15" borderId="58" xfId="1" applyFont="1" applyFill="1" applyBorder="1" applyAlignment="1">
      <alignment vertical="center" wrapText="1"/>
    </xf>
    <xf numFmtId="43" fontId="73" fillId="0" borderId="0" xfId="1" applyFont="1"/>
    <xf numFmtId="43" fontId="83" fillId="0" borderId="40" xfId="0" applyNumberFormat="1" applyFont="1" applyBorder="1" applyAlignment="1">
      <alignment vertical="center"/>
    </xf>
    <xf numFmtId="43" fontId="67" fillId="0" borderId="52" xfId="1" applyFont="1" applyBorder="1" applyAlignment="1">
      <alignment vertical="center"/>
    </xf>
    <xf numFmtId="0" fontId="41" fillId="11" borderId="0" xfId="0" applyFont="1" applyFill="1" applyAlignment="1">
      <alignment vertical="center"/>
    </xf>
    <xf numFmtId="9" fontId="41" fillId="0" borderId="0" xfId="0" applyNumberFormat="1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81" fillId="7" borderId="40" xfId="0" applyNumberFormat="1" applyFont="1" applyFill="1" applyBorder="1" applyAlignment="1">
      <alignment vertical="center"/>
    </xf>
    <xf numFmtId="43" fontId="48" fillId="7" borderId="40" xfId="1" applyFont="1" applyFill="1" applyBorder="1" applyAlignment="1">
      <alignment horizontal="right" vertical="center" wrapText="1"/>
    </xf>
    <xf numFmtId="43" fontId="41" fillId="7" borderId="0" xfId="1" applyFont="1" applyFill="1" applyAlignment="1">
      <alignment vertical="center"/>
    </xf>
    <xf numFmtId="43" fontId="44" fillId="0" borderId="0" xfId="1" applyFont="1" applyAlignment="1">
      <alignment vertical="center"/>
    </xf>
    <xf numFmtId="43" fontId="41" fillId="11" borderId="0" xfId="1" applyFont="1" applyFill="1"/>
    <xf numFmtId="4" fontId="41" fillId="0" borderId="0" xfId="0" applyNumberFormat="1" applyFont="1"/>
    <xf numFmtId="43" fontId="61" fillId="0" borderId="0" xfId="0" applyNumberFormat="1" applyFont="1" applyAlignment="1">
      <alignment horizontal="right"/>
    </xf>
    <xf numFmtId="43" fontId="41" fillId="11" borderId="0" xfId="1" applyFont="1" applyFill="1" applyAlignment="1">
      <alignment vertical="center"/>
    </xf>
    <xf numFmtId="0" fontId="43" fillId="0" borderId="40" xfId="0" applyFont="1" applyBorder="1" applyAlignment="1">
      <alignment horizontal="left" vertical="center" wrapText="1"/>
    </xf>
    <xf numFmtId="43" fontId="83" fillId="0" borderId="40" xfId="1" applyFont="1" applyBorder="1" applyAlignment="1">
      <alignment vertical="center"/>
    </xf>
    <xf numFmtId="43" fontId="83" fillId="0" borderId="58" xfId="0" applyNumberFormat="1" applyFont="1" applyBorder="1" applyAlignment="1">
      <alignment vertical="center"/>
    </xf>
    <xf numFmtId="43" fontId="67" fillId="11" borderId="44" xfId="1" applyFont="1" applyFill="1" applyBorder="1" applyAlignment="1">
      <alignment horizontal="left" vertical="center" wrapText="1"/>
    </xf>
    <xf numFmtId="43" fontId="65" fillId="2" borderId="58" xfId="1" applyFont="1" applyFill="1" applyBorder="1" applyAlignment="1">
      <alignment horizontal="center" vertical="center" wrapText="1"/>
    </xf>
    <xf numFmtId="43" fontId="81" fillId="8" borderId="58" xfId="1" applyFont="1" applyFill="1" applyBorder="1" applyAlignment="1">
      <alignment horizontal="center" vertical="center" wrapText="1"/>
    </xf>
    <xf numFmtId="43" fontId="83" fillId="0" borderId="40" xfId="1" applyFont="1" applyBorder="1" applyAlignment="1">
      <alignment horizontal="center" vertical="center" wrapText="1"/>
    </xf>
    <xf numFmtId="43" fontId="65" fillId="4" borderId="45" xfId="1" applyFont="1" applyFill="1" applyBorder="1" applyAlignment="1">
      <alignment vertical="center" wrapText="1"/>
    </xf>
    <xf numFmtId="43" fontId="44" fillId="0" borderId="187" xfId="1" applyFont="1" applyBorder="1" applyAlignment="1">
      <alignment horizontal="center" vertical="center" wrapText="1"/>
    </xf>
    <xf numFmtId="43" fontId="41" fillId="0" borderId="104" xfId="1" applyFont="1" applyBorder="1" applyAlignment="1">
      <alignment vertical="center"/>
    </xf>
    <xf numFmtId="43" fontId="44" fillId="24" borderId="177" xfId="1" applyFont="1" applyFill="1" applyBorder="1" applyAlignment="1">
      <alignment horizontal="center" vertical="center" wrapText="1"/>
    </xf>
    <xf numFmtId="43" fontId="41" fillId="8" borderId="188" xfId="0" applyNumberFormat="1" applyFont="1" applyFill="1" applyBorder="1" applyAlignment="1">
      <alignment vertical="center"/>
    </xf>
    <xf numFmtId="43" fontId="65" fillId="7" borderId="189" xfId="1" applyFont="1" applyFill="1" applyBorder="1" applyAlignment="1">
      <alignment vertical="center" wrapText="1"/>
    </xf>
    <xf numFmtId="43" fontId="65" fillId="7" borderId="190" xfId="1" applyFont="1" applyFill="1" applyBorder="1" applyAlignment="1">
      <alignment vertical="center" wrapText="1"/>
    </xf>
    <xf numFmtId="43" fontId="65" fillId="8" borderId="189" xfId="1" applyFont="1" applyFill="1" applyBorder="1" applyAlignment="1">
      <alignment horizontal="center" vertical="center" wrapText="1"/>
    </xf>
    <xf numFmtId="43" fontId="65" fillId="8" borderId="190" xfId="1" applyFont="1" applyFill="1" applyBorder="1" applyAlignment="1">
      <alignment horizontal="center" vertical="center" wrapText="1"/>
    </xf>
    <xf numFmtId="43" fontId="64" fillId="21" borderId="190" xfId="1" applyFont="1" applyFill="1" applyBorder="1" applyAlignment="1">
      <alignment vertical="center" wrapText="1"/>
    </xf>
    <xf numFmtId="43" fontId="44" fillId="15" borderId="190" xfId="1" applyFont="1" applyFill="1" applyBorder="1" applyAlignment="1">
      <alignment vertical="center" wrapText="1"/>
    </xf>
    <xf numFmtId="0" fontId="44" fillId="12" borderId="52" xfId="0" applyFont="1" applyFill="1" applyBorder="1" applyAlignment="1">
      <alignment vertical="center"/>
    </xf>
    <xf numFmtId="43" fontId="41" fillId="12" borderId="52" xfId="1" applyFont="1" applyFill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11" borderId="57" xfId="0" applyFont="1" applyFill="1" applyBorder="1" applyAlignment="1">
      <alignment horizontal="center" vertical="center"/>
    </xf>
    <xf numFmtId="0" fontId="81" fillId="7" borderId="57" xfId="0" applyFont="1" applyFill="1" applyBorder="1" applyAlignment="1">
      <alignment horizontal="center" vertical="center"/>
    </xf>
    <xf numFmtId="0" fontId="81" fillId="8" borderId="57" xfId="0" applyFont="1" applyFill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3" fontId="81" fillId="11" borderId="57" xfId="0" applyNumberFormat="1" applyFont="1" applyFill="1" applyBorder="1" applyAlignment="1">
      <alignment horizontal="center" vertical="center"/>
    </xf>
    <xf numFmtId="3" fontId="81" fillId="27" borderId="57" xfId="0" applyNumberFormat="1" applyFont="1" applyFill="1" applyBorder="1" applyAlignment="1">
      <alignment horizontal="center" vertical="center"/>
    </xf>
    <xf numFmtId="0" fontId="81" fillId="11" borderId="0" xfId="0" applyFont="1" applyFill="1" applyAlignment="1">
      <alignment horizontal="center" vertical="center"/>
    </xf>
    <xf numFmtId="9" fontId="41" fillId="0" borderId="0" xfId="2" applyFont="1"/>
    <xf numFmtId="0" fontId="69" fillId="11" borderId="40" xfId="0" applyFont="1" applyFill="1" applyBorder="1" applyAlignment="1">
      <alignment horizontal="left" vertical="center" wrapText="1"/>
    </xf>
    <xf numFmtId="0" fontId="86" fillId="11" borderId="40" xfId="0" applyFont="1" applyFill="1" applyBorder="1" applyAlignment="1">
      <alignment horizontal="left" vertical="center" wrapText="1"/>
    </xf>
    <xf numFmtId="14" fontId="77" fillId="0" borderId="40" xfId="0" applyNumberFormat="1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8" fillId="9" borderId="40" xfId="0" applyFont="1" applyFill="1" applyBorder="1" applyAlignment="1">
      <alignment horizontal="center" vertical="center" wrapText="1"/>
    </xf>
    <xf numFmtId="0" fontId="78" fillId="7" borderId="40" xfId="0" applyFont="1" applyFill="1" applyBorder="1" applyAlignment="1">
      <alignment horizontal="center" vertical="center" wrapText="1"/>
    </xf>
    <xf numFmtId="43" fontId="43" fillId="15" borderId="40" xfId="0" applyNumberFormat="1" applyFont="1" applyFill="1" applyBorder="1" applyAlignment="1">
      <alignment horizontal="center" vertical="center" wrapText="1"/>
    </xf>
    <xf numFmtId="0" fontId="68" fillId="11" borderId="63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43" fontId="43" fillId="0" borderId="40" xfId="0" applyNumberFormat="1" applyFont="1" applyBorder="1" applyAlignment="1">
      <alignment horizontal="center" vertical="center" wrapText="1"/>
    </xf>
    <xf numFmtId="0" fontId="70" fillId="15" borderId="40" xfId="0" applyFont="1" applyFill="1" applyBorder="1" applyAlignment="1">
      <alignment vertical="center" wrapText="1"/>
    </xf>
    <xf numFmtId="0" fontId="70" fillId="0" borderId="6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6" borderId="0" xfId="0" applyFont="1" applyFill="1" applyAlignment="1">
      <alignment horizontal="center" vertical="center"/>
    </xf>
    <xf numFmtId="8" fontId="41" fillId="0" borderId="0" xfId="1" applyNumberFormat="1" applyFont="1" applyAlignment="1">
      <alignment vertical="center"/>
    </xf>
    <xf numFmtId="175" fontId="41" fillId="0" borderId="0" xfId="1" applyNumberFormat="1" applyFont="1" applyAlignment="1">
      <alignment vertical="center"/>
    </xf>
    <xf numFmtId="43" fontId="41" fillId="9" borderId="0" xfId="1" applyFont="1" applyFill="1"/>
    <xf numFmtId="43" fontId="41" fillId="29" borderId="0" xfId="0" applyNumberFormat="1" applyFont="1" applyFill="1"/>
    <xf numFmtId="4" fontId="41" fillId="0" borderId="0" xfId="0" applyNumberFormat="1" applyFont="1" applyAlignment="1">
      <alignment horizontal="center"/>
    </xf>
    <xf numFmtId="43" fontId="81" fillId="30" borderId="40" xfId="1" applyFont="1" applyFill="1" applyBorder="1" applyAlignment="1">
      <alignment horizontal="center" vertical="center" wrapText="1"/>
    </xf>
    <xf numFmtId="43" fontId="41" fillId="29" borderId="0" xfId="1" applyFont="1" applyFill="1"/>
    <xf numFmtId="0" fontId="89" fillId="4" borderId="58" xfId="0" applyFont="1" applyFill="1" applyBorder="1" applyAlignment="1">
      <alignment horizontal="center" vertical="center" wrapText="1"/>
    </xf>
    <xf numFmtId="0" fontId="88" fillId="4" borderId="40" xfId="0" applyFont="1" applyFill="1" applyBorder="1" applyAlignment="1">
      <alignment vertical="center" wrapText="1"/>
    </xf>
    <xf numFmtId="0" fontId="91" fillId="4" borderId="40" xfId="0" applyFont="1" applyFill="1" applyBorder="1" applyAlignment="1">
      <alignment horizontal="center" vertical="center" wrapText="1"/>
    </xf>
    <xf numFmtId="14" fontId="91" fillId="4" borderId="40" xfId="0" applyNumberFormat="1" applyFont="1" applyFill="1" applyBorder="1" applyAlignment="1">
      <alignment horizontal="center" vertical="center" wrapText="1"/>
    </xf>
    <xf numFmtId="43" fontId="90" fillId="4" borderId="40" xfId="1" applyFont="1" applyFill="1" applyBorder="1" applyAlignment="1">
      <alignment vertical="center" wrapText="1"/>
    </xf>
    <xf numFmtId="0" fontId="89" fillId="4" borderId="40" xfId="0" applyFont="1" applyFill="1" applyBorder="1" applyAlignment="1">
      <alignment vertical="center" wrapText="1"/>
    </xf>
    <xf numFmtId="43" fontId="90" fillId="4" borderId="58" xfId="1" applyFont="1" applyFill="1" applyBorder="1" applyAlignment="1">
      <alignment vertical="center" wrapText="1"/>
    </xf>
    <xf numFmtId="43" fontId="88" fillId="4" borderId="40" xfId="1" applyFont="1" applyFill="1" applyBorder="1" applyAlignment="1">
      <alignment vertical="center" wrapText="1"/>
    </xf>
    <xf numFmtId="43" fontId="88" fillId="4" borderId="58" xfId="1" applyFont="1" applyFill="1" applyBorder="1" applyAlignment="1">
      <alignment vertical="center" wrapText="1"/>
    </xf>
    <xf numFmtId="0" fontId="88" fillId="9" borderId="40" xfId="0" applyFont="1" applyFill="1" applyBorder="1" applyAlignment="1">
      <alignment vertical="center" wrapText="1"/>
    </xf>
    <xf numFmtId="0" fontId="89" fillId="9" borderId="40" xfId="0" applyFont="1" applyFill="1" applyBorder="1" applyAlignment="1">
      <alignment horizontal="center" vertical="center" wrapText="1"/>
    </xf>
    <xf numFmtId="0" fontId="89" fillId="9" borderId="40" xfId="0" applyFont="1" applyFill="1" applyBorder="1" applyAlignment="1">
      <alignment vertical="center" wrapText="1"/>
    </xf>
    <xf numFmtId="43" fontId="88" fillId="9" borderId="40" xfId="1" applyFont="1" applyFill="1" applyBorder="1" applyAlignment="1">
      <alignment vertical="center" wrapText="1"/>
    </xf>
    <xf numFmtId="43" fontId="88" fillId="9" borderId="58" xfId="1" applyFont="1" applyFill="1" applyBorder="1" applyAlignment="1">
      <alignment vertical="center" wrapText="1"/>
    </xf>
    <xf numFmtId="0" fontId="92" fillId="11" borderId="40" xfId="0" applyFont="1" applyFill="1" applyBorder="1" applyAlignment="1">
      <alignment horizontal="left" vertical="center" wrapText="1"/>
    </xf>
    <xf numFmtId="0" fontId="91" fillId="11" borderId="40" xfId="0" applyFont="1" applyFill="1" applyBorder="1" applyAlignment="1">
      <alignment horizontal="center" vertical="center" wrapText="1"/>
    </xf>
    <xf numFmtId="14" fontId="91" fillId="11" borderId="40" xfId="0" applyNumberFormat="1" applyFont="1" applyFill="1" applyBorder="1" applyAlignment="1">
      <alignment horizontal="center" vertical="center" wrapText="1"/>
    </xf>
    <xf numFmtId="43" fontId="91" fillId="11" borderId="40" xfId="1" applyFont="1" applyFill="1" applyBorder="1" applyAlignment="1">
      <alignment horizontal="center" vertical="center" wrapText="1"/>
    </xf>
    <xf numFmtId="43" fontId="91" fillId="11" borderId="40" xfId="1" applyFont="1" applyFill="1" applyBorder="1" applyAlignment="1">
      <alignment vertical="center"/>
    </xf>
    <xf numFmtId="43" fontId="92" fillId="11" borderId="40" xfId="1" applyFont="1" applyFill="1" applyBorder="1" applyAlignment="1">
      <alignment horizontal="right" vertical="center" wrapText="1"/>
    </xf>
    <xf numFmtId="43" fontId="92" fillId="11" borderId="40" xfId="1" applyFont="1" applyFill="1" applyBorder="1" applyAlignment="1">
      <alignment horizontal="right" vertical="top" wrapText="1"/>
    </xf>
    <xf numFmtId="43" fontId="93" fillId="11" borderId="40" xfId="1" applyFont="1" applyFill="1" applyBorder="1" applyAlignment="1">
      <alignment horizontal="center" vertical="center" wrapText="1"/>
    </xf>
    <xf numFmtId="43" fontId="93" fillId="11" borderId="40" xfId="1" applyFont="1" applyFill="1" applyBorder="1" applyAlignment="1">
      <alignment horizontal="right" vertical="top" wrapText="1"/>
    </xf>
    <xf numFmtId="43" fontId="91" fillId="0" borderId="40" xfId="0" applyNumberFormat="1" applyFont="1" applyBorder="1" applyAlignment="1">
      <alignment vertical="center"/>
    </xf>
    <xf numFmtId="43" fontId="91" fillId="11" borderId="40" xfId="0" applyNumberFormat="1" applyFont="1" applyFill="1" applyBorder="1" applyAlignment="1">
      <alignment vertical="center"/>
    </xf>
    <xf numFmtId="43" fontId="91" fillId="11" borderId="58" xfId="0" applyNumberFormat="1" applyFont="1" applyFill="1" applyBorder="1" applyAlignment="1">
      <alignment vertical="center"/>
    </xf>
    <xf numFmtId="0" fontId="91" fillId="11" borderId="40" xfId="0" applyFont="1" applyFill="1" applyBorder="1" applyAlignment="1">
      <alignment horizontal="left" vertical="center" wrapText="1"/>
    </xf>
    <xf numFmtId="43" fontId="91" fillId="28" borderId="40" xfId="1" applyFont="1" applyFill="1" applyBorder="1" applyAlignment="1">
      <alignment horizontal="center" vertical="center" wrapText="1"/>
    </xf>
    <xf numFmtId="43" fontId="93" fillId="11" borderId="40" xfId="1" applyFont="1" applyFill="1" applyBorder="1" applyAlignment="1">
      <alignment horizontal="right" vertical="center" wrapText="1"/>
    </xf>
    <xf numFmtId="43" fontId="91" fillId="11" borderId="40" xfId="1" applyFont="1" applyFill="1" applyBorder="1" applyAlignment="1">
      <alignment horizontal="center" vertical="center"/>
    </xf>
    <xf numFmtId="0" fontId="89" fillId="11" borderId="40" xfId="0" applyFont="1" applyFill="1" applyBorder="1" applyAlignment="1">
      <alignment horizontal="center" vertical="center" wrapText="1"/>
    </xf>
    <xf numFmtId="0" fontId="91" fillId="11" borderId="40" xfId="0" applyFont="1" applyFill="1" applyBorder="1" applyAlignment="1">
      <alignment horizontal="center" wrapText="1"/>
    </xf>
    <xf numFmtId="14" fontId="91" fillId="11" borderId="104" xfId="0" applyNumberFormat="1" applyFont="1" applyFill="1" applyBorder="1" applyAlignment="1">
      <alignment horizontal="center" vertical="center" wrapText="1"/>
    </xf>
    <xf numFmtId="0" fontId="94" fillId="11" borderId="40" xfId="0" applyFont="1" applyFill="1" applyBorder="1" applyAlignment="1">
      <alignment horizontal="center" vertical="center" wrapText="1"/>
    </xf>
    <xf numFmtId="43" fontId="94" fillId="11" borderId="63" xfId="1" applyFont="1" applyFill="1" applyBorder="1" applyAlignment="1">
      <alignment horizontal="center" vertical="center" wrapText="1"/>
    </xf>
    <xf numFmtId="43" fontId="91" fillId="11" borderId="40" xfId="1" applyFont="1" applyFill="1" applyBorder="1" applyAlignment="1">
      <alignment horizontal="center" wrapText="1"/>
    </xf>
    <xf numFmtId="43" fontId="91" fillId="11" borderId="40" xfId="1" applyFont="1" applyFill="1" applyBorder="1"/>
    <xf numFmtId="43" fontId="93" fillId="11" borderId="40" xfId="1" applyFont="1" applyFill="1" applyBorder="1" applyAlignment="1">
      <alignment horizontal="right" wrapText="1"/>
    </xf>
    <xf numFmtId="43" fontId="91" fillId="11" borderId="40" xfId="0" applyNumberFormat="1" applyFont="1" applyFill="1" applyBorder="1"/>
    <xf numFmtId="43" fontId="95" fillId="11" borderId="40" xfId="0" applyNumberFormat="1" applyFont="1" applyFill="1" applyBorder="1"/>
    <xf numFmtId="43" fontId="91" fillId="11" borderId="58" xfId="0" applyNumberFormat="1" applyFont="1" applyFill="1" applyBorder="1"/>
    <xf numFmtId="0" fontId="88" fillId="7" borderId="40" xfId="0" applyFont="1" applyFill="1" applyBorder="1" applyAlignment="1">
      <alignment vertical="center" wrapText="1"/>
    </xf>
    <xf numFmtId="0" fontId="89" fillId="7" borderId="40" xfId="0" applyFont="1" applyFill="1" applyBorder="1" applyAlignment="1">
      <alignment horizontal="center" vertical="center" wrapText="1"/>
    </xf>
    <xf numFmtId="0" fontId="89" fillId="7" borderId="40" xfId="0" applyFont="1" applyFill="1" applyBorder="1" applyAlignment="1">
      <alignment vertical="center" wrapText="1"/>
    </xf>
    <xf numFmtId="43" fontId="88" fillId="7" borderId="40" xfId="1" applyFont="1" applyFill="1" applyBorder="1" applyAlignment="1">
      <alignment vertical="center" wrapText="1"/>
    </xf>
    <xf numFmtId="43" fontId="88" fillId="7" borderId="58" xfId="1" applyFont="1" applyFill="1" applyBorder="1" applyAlignment="1">
      <alignment vertical="center" wrapText="1"/>
    </xf>
    <xf numFmtId="43" fontId="91" fillId="0" borderId="40" xfId="1" applyFont="1" applyBorder="1" applyAlignment="1">
      <alignment horizontal="center" vertical="center" wrapText="1"/>
    </xf>
    <xf numFmtId="43" fontId="93" fillId="0" borderId="40" xfId="1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43" fontId="95" fillId="11" borderId="40" xfId="0" applyNumberFormat="1" applyFont="1" applyFill="1" applyBorder="1" applyAlignment="1">
      <alignment vertical="center"/>
    </xf>
    <xf numFmtId="4" fontId="94" fillId="0" borderId="0" xfId="0" applyNumberFormat="1" applyFont="1" applyAlignment="1">
      <alignment vertical="center"/>
    </xf>
    <xf numFmtId="0" fontId="89" fillId="8" borderId="40" xfId="0" applyFont="1" applyFill="1" applyBorder="1" applyAlignment="1">
      <alignment horizontal="left" vertical="center" wrapText="1"/>
    </xf>
    <xf numFmtId="0" fontId="91" fillId="8" borderId="40" xfId="0" applyFont="1" applyFill="1" applyBorder="1" applyAlignment="1">
      <alignment horizontal="center" vertical="center" wrapText="1"/>
    </xf>
    <xf numFmtId="14" fontId="91" fillId="8" borderId="40" xfId="0" applyNumberFormat="1" applyFont="1" applyFill="1" applyBorder="1" applyAlignment="1">
      <alignment horizontal="center" vertical="center" wrapText="1"/>
    </xf>
    <xf numFmtId="43" fontId="91" fillId="8" borderId="40" xfId="1" applyFont="1" applyFill="1" applyBorder="1" applyAlignment="1">
      <alignment horizontal="center" vertical="center" wrapText="1"/>
    </xf>
    <xf numFmtId="43" fontId="88" fillId="8" borderId="40" xfId="1" applyFont="1" applyFill="1" applyBorder="1" applyAlignment="1">
      <alignment horizontal="center" vertical="center" wrapText="1"/>
    </xf>
    <xf numFmtId="43" fontId="88" fillId="8" borderId="58" xfId="1" applyFont="1" applyFill="1" applyBorder="1" applyAlignment="1">
      <alignment horizontal="center" vertical="center" wrapText="1"/>
    </xf>
    <xf numFmtId="43" fontId="91" fillId="11" borderId="40" xfId="0" applyNumberFormat="1" applyFont="1" applyFill="1" applyBorder="1" applyAlignment="1">
      <alignment horizontal="center" vertical="center" wrapText="1"/>
    </xf>
    <xf numFmtId="43" fontId="91" fillId="11" borderId="40" xfId="1" applyFont="1" applyFill="1" applyBorder="1" applyAlignment="1">
      <alignment horizontal="right" vertical="top" wrapText="1"/>
    </xf>
    <xf numFmtId="14" fontId="91" fillId="11" borderId="40" xfId="0" applyNumberFormat="1" applyFont="1" applyFill="1" applyBorder="1" applyAlignment="1">
      <alignment horizontal="center" wrapText="1"/>
    </xf>
    <xf numFmtId="43" fontId="91" fillId="11" borderId="40" xfId="1" applyFont="1" applyFill="1" applyBorder="1" applyAlignment="1">
      <alignment horizontal="right" wrapText="1"/>
    </xf>
    <xf numFmtId="0" fontId="92" fillId="0" borderId="40" xfId="0" applyFont="1" applyBorder="1" applyAlignment="1">
      <alignment horizontal="left" vertical="center" wrapText="1"/>
    </xf>
    <xf numFmtId="0" fontId="91" fillId="0" borderId="40" xfId="0" applyFont="1" applyBorder="1" applyAlignment="1">
      <alignment horizontal="center" vertical="center" wrapText="1"/>
    </xf>
    <xf numFmtId="14" fontId="91" fillId="0" borderId="40" xfId="0" applyNumberFormat="1" applyFont="1" applyBorder="1" applyAlignment="1">
      <alignment horizontal="center" vertical="center" wrapText="1"/>
    </xf>
    <xf numFmtId="43" fontId="93" fillId="0" borderId="40" xfId="1" applyFont="1" applyBorder="1" applyAlignment="1">
      <alignment horizontal="right" vertical="center" wrapText="1"/>
    </xf>
    <xf numFmtId="43" fontId="91" fillId="0" borderId="40" xfId="1" applyFont="1" applyBorder="1" applyAlignment="1">
      <alignment vertical="center"/>
    </xf>
    <xf numFmtId="43" fontId="91" fillId="0" borderId="58" xfId="0" applyNumberFormat="1" applyFont="1" applyBorder="1" applyAlignment="1">
      <alignment vertical="center"/>
    </xf>
    <xf numFmtId="43" fontId="91" fillId="11" borderId="40" xfId="1" applyFont="1" applyFill="1" applyBorder="1" applyAlignment="1">
      <alignment horizontal="right" vertical="center" wrapText="1"/>
    </xf>
    <xf numFmtId="43" fontId="88" fillId="11" borderId="40" xfId="1" applyFont="1" applyFill="1" applyBorder="1" applyAlignment="1">
      <alignment vertical="center"/>
    </xf>
    <xf numFmtId="43" fontId="93" fillId="0" borderId="40" xfId="1" applyFont="1" applyBorder="1" applyAlignment="1">
      <alignment horizontal="right" vertical="top" wrapText="1"/>
    </xf>
    <xf numFmtId="43" fontId="95" fillId="0" borderId="40" xfId="0" applyNumberFormat="1" applyFont="1" applyBorder="1" applyAlignment="1">
      <alignment vertical="center"/>
    </xf>
    <xf numFmtId="0" fontId="88" fillId="15" borderId="40" xfId="0" applyFont="1" applyFill="1" applyBorder="1" applyAlignment="1">
      <alignment vertical="center" wrapText="1"/>
    </xf>
    <xf numFmtId="0" fontId="91" fillId="15" borderId="40" xfId="0" applyFont="1" applyFill="1" applyBorder="1" applyAlignment="1">
      <alignment horizontal="center" vertical="center" wrapText="1"/>
    </xf>
    <xf numFmtId="14" fontId="91" fillId="15" borderId="40" xfId="0" applyNumberFormat="1" applyFont="1" applyFill="1" applyBorder="1" applyAlignment="1">
      <alignment horizontal="center" vertical="center" wrapText="1"/>
    </xf>
    <xf numFmtId="43" fontId="90" fillId="15" borderId="40" xfId="1" applyFont="1" applyFill="1" applyBorder="1" applyAlignment="1">
      <alignment vertical="center" wrapText="1"/>
    </xf>
    <xf numFmtId="43" fontId="90" fillId="15" borderId="58" xfId="1" applyFont="1" applyFill="1" applyBorder="1" applyAlignment="1">
      <alignment vertical="center" wrapText="1"/>
    </xf>
    <xf numFmtId="43" fontId="88" fillId="15" borderId="40" xfId="1" applyFont="1" applyFill="1" applyBorder="1" applyAlignment="1">
      <alignment vertical="center" wrapText="1"/>
    </xf>
    <xf numFmtId="43" fontId="88" fillId="15" borderId="58" xfId="1" applyFont="1" applyFill="1" applyBorder="1" applyAlignment="1">
      <alignment vertical="center" wrapText="1"/>
    </xf>
    <xf numFmtId="0" fontId="88" fillId="2" borderId="40" xfId="0" applyFont="1" applyFill="1" applyBorder="1" applyAlignment="1">
      <alignment horizontal="left" vertical="center" wrapText="1"/>
    </xf>
    <xf numFmtId="0" fontId="88" fillId="2" borderId="40" xfId="0" applyFont="1" applyFill="1" applyBorder="1" applyAlignment="1">
      <alignment horizontal="center" vertical="center" wrapText="1"/>
    </xf>
    <xf numFmtId="14" fontId="88" fillId="2" borderId="40" xfId="0" applyNumberFormat="1" applyFont="1" applyFill="1" applyBorder="1" applyAlignment="1">
      <alignment horizontal="center" vertical="center" wrapText="1"/>
    </xf>
    <xf numFmtId="43" fontId="96" fillId="2" borderId="40" xfId="1" applyFont="1" applyFill="1" applyBorder="1" applyAlignment="1">
      <alignment horizontal="center" vertical="center" wrapText="1"/>
    </xf>
    <xf numFmtId="43" fontId="88" fillId="2" borderId="40" xfId="1" applyFont="1" applyFill="1" applyBorder="1" applyAlignment="1">
      <alignment horizontal="center" vertical="center" wrapText="1"/>
    </xf>
    <xf numFmtId="43" fontId="88" fillId="2" borderId="58" xfId="1" applyFont="1" applyFill="1" applyBorder="1" applyAlignment="1">
      <alignment horizontal="center" vertical="center" wrapText="1"/>
    </xf>
    <xf numFmtId="43" fontId="91" fillId="0" borderId="40" xfId="1" applyFont="1" applyBorder="1" applyAlignment="1">
      <alignment horizontal="right" vertical="center" wrapText="1"/>
    </xf>
    <xf numFmtId="0" fontId="65" fillId="7" borderId="40" xfId="0" applyFont="1" applyFill="1" applyBorder="1" applyAlignment="1">
      <alignment vertical="center" wrapText="1"/>
    </xf>
    <xf numFmtId="0" fontId="49" fillId="7" borderId="40" xfId="0" applyFont="1" applyFill="1" applyBorder="1" applyAlignment="1">
      <alignment horizontal="center" vertical="center" wrapText="1"/>
    </xf>
    <xf numFmtId="0" fontId="81" fillId="11" borderId="40" xfId="0" applyFont="1" applyFill="1" applyBorder="1" applyAlignment="1">
      <alignment horizontal="left" vertical="center" wrapText="1"/>
    </xf>
    <xf numFmtId="0" fontId="81" fillId="11" borderId="40" xfId="0" applyFont="1" applyFill="1" applyBorder="1" applyAlignment="1">
      <alignment horizontal="center" vertical="center" wrapText="1"/>
    </xf>
    <xf numFmtId="14" fontId="81" fillId="11" borderId="40" xfId="0" applyNumberFormat="1" applyFont="1" applyFill="1" applyBorder="1" applyAlignment="1">
      <alignment horizontal="center" vertical="center" wrapText="1"/>
    </xf>
    <xf numFmtId="0" fontId="81" fillId="0" borderId="40" xfId="0" applyFont="1" applyBorder="1" applyAlignment="1">
      <alignment horizontal="left" vertical="center" wrapText="1"/>
    </xf>
    <xf numFmtId="0" fontId="49" fillId="8" borderId="40" xfId="0" applyFont="1" applyFill="1" applyBorder="1" applyAlignment="1">
      <alignment horizontal="left" vertical="center" wrapText="1"/>
    </xf>
    <xf numFmtId="0" fontId="81" fillId="8" borderId="40" xfId="0" applyFont="1" applyFill="1" applyBorder="1" applyAlignment="1">
      <alignment horizontal="center" vertical="center" wrapText="1"/>
    </xf>
    <xf numFmtId="14" fontId="81" fillId="8" borderId="40" xfId="0" applyNumberFormat="1" applyFont="1" applyFill="1" applyBorder="1" applyAlignment="1">
      <alignment horizontal="center" vertical="center" wrapText="1"/>
    </xf>
    <xf numFmtId="3" fontId="81" fillId="0" borderId="57" xfId="0" applyNumberFormat="1" applyFont="1" applyBorder="1" applyAlignment="1">
      <alignment horizontal="center" vertical="center"/>
    </xf>
    <xf numFmtId="0" fontId="41" fillId="11" borderId="40" xfId="0" applyFont="1" applyFill="1" applyBorder="1" applyAlignment="1">
      <alignment horizontal="left" vertical="center" wrapText="1"/>
    </xf>
    <xf numFmtId="0" fontId="44" fillId="11" borderId="40" xfId="0" applyFont="1" applyFill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3" fillId="0" borderId="0" xfId="0" applyFont="1"/>
    <xf numFmtId="0" fontId="78" fillId="4" borderId="40" xfId="0" applyFont="1" applyFill="1" applyBorder="1" applyAlignment="1">
      <alignment vertical="center" wrapText="1"/>
    </xf>
    <xf numFmtId="0" fontId="78" fillId="9" borderId="40" xfId="0" applyFont="1" applyFill="1" applyBorder="1" applyAlignment="1">
      <alignment vertical="center" wrapText="1"/>
    </xf>
    <xf numFmtId="9" fontId="43" fillId="11" borderId="40" xfId="2" applyFont="1" applyFill="1" applyBorder="1" applyAlignment="1">
      <alignment horizontal="center" vertical="center" wrapText="1"/>
    </xf>
    <xf numFmtId="0" fontId="70" fillId="11" borderId="40" xfId="0" applyFont="1" applyFill="1" applyBorder="1" applyAlignment="1">
      <alignment horizontal="center" vertical="center" wrapText="1"/>
    </xf>
    <xf numFmtId="0" fontId="78" fillId="7" borderId="40" xfId="0" applyFont="1" applyFill="1" applyBorder="1" applyAlignment="1">
      <alignment vertical="center" wrapText="1"/>
    </xf>
    <xf numFmtId="9" fontId="43" fillId="2" borderId="40" xfId="2" applyFont="1" applyFill="1" applyBorder="1" applyAlignment="1">
      <alignment horizontal="center" vertical="center" wrapText="1"/>
    </xf>
    <xf numFmtId="9" fontId="43" fillId="8" borderId="40" xfId="2" applyFont="1" applyFill="1" applyBorder="1" applyAlignment="1">
      <alignment horizontal="center" vertical="center" wrapText="1"/>
    </xf>
    <xf numFmtId="9" fontId="43" fillId="11" borderId="40" xfId="2" applyFont="1" applyFill="1" applyBorder="1" applyAlignment="1">
      <alignment horizontal="center" wrapText="1"/>
    </xf>
    <xf numFmtId="43" fontId="70" fillId="7" borderId="40" xfId="1" applyFont="1" applyFill="1" applyBorder="1" applyAlignment="1">
      <alignment vertical="center" wrapText="1"/>
    </xf>
    <xf numFmtId="9" fontId="43" fillId="0" borderId="40" xfId="2" applyFont="1" applyBorder="1" applyAlignment="1">
      <alignment horizontal="center" vertical="center" wrapText="1"/>
    </xf>
    <xf numFmtId="9" fontId="43" fillId="0" borderId="40" xfId="2" applyFont="1" applyBorder="1" applyAlignment="1">
      <alignment vertical="center" wrapText="1"/>
    </xf>
    <xf numFmtId="9" fontId="43" fillId="2" borderId="40" xfId="2" applyFont="1" applyFill="1" applyBorder="1" applyAlignment="1">
      <alignment vertical="center" wrapText="1"/>
    </xf>
    <xf numFmtId="9" fontId="43" fillId="11" borderId="40" xfId="2" applyFont="1" applyFill="1" applyBorder="1" applyAlignment="1">
      <alignment vertical="center" wrapText="1"/>
    </xf>
    <xf numFmtId="9" fontId="85" fillId="15" borderId="40" xfId="2" applyFont="1" applyFill="1" applyBorder="1" applyAlignment="1">
      <alignment horizontal="center" vertical="center" wrapText="1"/>
    </xf>
    <xf numFmtId="9" fontId="43" fillId="15" borderId="40" xfId="2" applyFont="1" applyFill="1" applyBorder="1" applyAlignment="1">
      <alignment horizontal="center" vertical="center" wrapText="1"/>
    </xf>
    <xf numFmtId="9" fontId="70" fillId="2" borderId="40" xfId="2" applyFont="1" applyFill="1" applyBorder="1" applyAlignment="1">
      <alignment horizontal="center" vertical="center" wrapText="1"/>
    </xf>
    <xf numFmtId="9" fontId="97" fillId="0" borderId="40" xfId="2" applyFont="1" applyBorder="1" applyAlignment="1">
      <alignment horizontal="center" vertical="center" wrapText="1"/>
    </xf>
    <xf numFmtId="9" fontId="43" fillId="25" borderId="40" xfId="2" applyFont="1" applyFill="1" applyBorder="1" applyAlignment="1">
      <alignment horizontal="center" vertical="center" wrapText="1"/>
    </xf>
    <xf numFmtId="9" fontId="68" fillId="11" borderId="40" xfId="2" applyFont="1" applyFill="1" applyBorder="1" applyAlignment="1">
      <alignment horizontal="center" vertical="center" wrapText="1"/>
    </xf>
    <xf numFmtId="43" fontId="70" fillId="0" borderId="60" xfId="1" applyFont="1" applyBorder="1" applyAlignment="1">
      <alignment horizontal="center" vertical="center" wrapText="1"/>
    </xf>
    <xf numFmtId="0" fontId="88" fillId="4" borderId="55" xfId="0" applyFont="1" applyFill="1" applyBorder="1" applyAlignment="1">
      <alignment horizontal="center" vertical="center" wrapText="1"/>
    </xf>
    <xf numFmtId="0" fontId="88" fillId="4" borderId="40" xfId="0" applyFont="1" applyFill="1" applyBorder="1" applyAlignment="1">
      <alignment horizontal="center" vertical="center" wrapText="1"/>
    </xf>
    <xf numFmtId="0" fontId="89" fillId="4" borderId="40" xfId="0" applyFont="1" applyFill="1" applyBorder="1" applyAlignment="1">
      <alignment horizontal="center" vertical="center" wrapText="1"/>
    </xf>
    <xf numFmtId="43" fontId="41" fillId="0" borderId="0" xfId="0" applyNumberFormat="1" applyFont="1" applyAlignment="1">
      <alignment horizontal="center"/>
    </xf>
    <xf numFmtId="0" fontId="83" fillId="11" borderId="0" xfId="0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7" fillId="6" borderId="0" xfId="0" applyFont="1" applyFill="1"/>
    <xf numFmtId="0" fontId="67" fillId="0" borderId="0" xfId="0" applyFont="1"/>
    <xf numFmtId="43" fontId="67" fillId="0" borderId="0" xfId="1" applyFont="1" applyAlignment="1">
      <alignment vertical="center"/>
    </xf>
    <xf numFmtId="43" fontId="67" fillId="0" borderId="0" xfId="0" applyNumberFormat="1" applyFont="1" applyAlignment="1">
      <alignment vertical="center"/>
    </xf>
    <xf numFmtId="43" fontId="68" fillId="0" borderId="0" xfId="0" applyNumberFormat="1" applyFont="1"/>
    <xf numFmtId="0" fontId="68" fillId="0" borderId="0" xfId="0" applyFont="1"/>
    <xf numFmtId="43" fontId="67" fillId="0" borderId="0" xfId="1" applyFont="1"/>
    <xf numFmtId="0" fontId="67" fillId="11" borderId="0" xfId="0" applyFont="1" applyFill="1"/>
    <xf numFmtId="43" fontId="67" fillId="0" borderId="0" xfId="0" applyNumberFormat="1" applyFont="1"/>
    <xf numFmtId="0" fontId="98" fillId="0" borderId="0" xfId="0" applyFont="1" applyAlignment="1">
      <alignment horizontal="center" vertical="center"/>
    </xf>
    <xf numFmtId="172" fontId="67" fillId="0" borderId="0" xfId="0" applyNumberFormat="1" applyFont="1"/>
    <xf numFmtId="0" fontId="83" fillId="0" borderId="0" xfId="0" applyFont="1"/>
    <xf numFmtId="43" fontId="98" fillId="0" borderId="0" xfId="0" applyNumberFormat="1" applyFont="1" applyAlignment="1">
      <alignment horizontal="center" vertical="center"/>
    </xf>
    <xf numFmtId="0" fontId="83" fillId="6" borderId="0" xfId="0" applyFont="1" applyFill="1"/>
    <xf numFmtId="43" fontId="98" fillId="0" borderId="0" xfId="1" applyFont="1"/>
    <xf numFmtId="43" fontId="67" fillId="11" borderId="0" xfId="0" applyNumberFormat="1" applyFont="1" applyFill="1"/>
    <xf numFmtId="43" fontId="49" fillId="2" borderId="0" xfId="0" applyNumberFormat="1" applyFont="1" applyFill="1"/>
    <xf numFmtId="0" fontId="81" fillId="0" borderId="40" xfId="0" applyFont="1" applyBorder="1" applyAlignment="1">
      <alignment horizontal="center" vertical="center" wrapText="1"/>
    </xf>
    <xf numFmtId="14" fontId="81" fillId="0" borderId="40" xfId="0" applyNumberFormat="1" applyFont="1" applyBorder="1" applyAlignment="1">
      <alignment horizontal="center" vertical="center" wrapText="1"/>
    </xf>
    <xf numFmtId="43" fontId="81" fillId="0" borderId="40" xfId="1" applyFont="1" applyBorder="1" applyAlignment="1">
      <alignment horizontal="right" vertical="center" wrapText="1"/>
    </xf>
    <xf numFmtId="43" fontId="81" fillId="0" borderId="40" xfId="1" applyFont="1" applyBorder="1" applyAlignment="1">
      <alignment horizontal="right" vertical="top" wrapText="1"/>
    </xf>
    <xf numFmtId="43" fontId="65" fillId="0" borderId="40" xfId="1" applyFont="1" applyBorder="1" applyAlignment="1">
      <alignment horizontal="center" vertical="center" wrapText="1"/>
    </xf>
    <xf numFmtId="43" fontId="44" fillId="0" borderId="44" xfId="1" applyFont="1" applyBorder="1" applyAlignment="1">
      <alignment vertical="center" wrapText="1"/>
    </xf>
    <xf numFmtId="43" fontId="44" fillId="0" borderId="190" xfId="1" applyFont="1" applyBorder="1" applyAlignment="1">
      <alignment vertical="center" wrapText="1"/>
    </xf>
    <xf numFmtId="43" fontId="71" fillId="0" borderId="150" xfId="1" applyFont="1" applyBorder="1" applyAlignment="1">
      <alignment vertical="center"/>
    </xf>
    <xf numFmtId="43" fontId="71" fillId="0" borderId="52" xfId="1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9" fontId="97" fillId="2" borderId="40" xfId="2" applyFont="1" applyFill="1" applyBorder="1" applyAlignment="1">
      <alignment horizontal="center" vertical="center" wrapText="1"/>
    </xf>
    <xf numFmtId="43" fontId="90" fillId="0" borderId="40" xfId="1" applyFont="1" applyBorder="1" applyAlignment="1">
      <alignment vertical="center" wrapText="1"/>
    </xf>
    <xf numFmtId="43" fontId="91" fillId="0" borderId="40" xfId="0" applyNumberFormat="1" applyFont="1" applyBorder="1"/>
    <xf numFmtId="43" fontId="92" fillId="0" borderId="40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43" fontId="81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43" fontId="49" fillId="25" borderId="40" xfId="1" applyFont="1" applyFill="1" applyBorder="1" applyAlignment="1">
      <alignment horizontal="center" vertical="center" wrapText="1"/>
    </xf>
    <xf numFmtId="43" fontId="63" fillId="29" borderId="52" xfId="1" applyFont="1" applyFill="1" applyBorder="1" applyAlignment="1">
      <alignment vertical="center"/>
    </xf>
    <xf numFmtId="43" fontId="63" fillId="9" borderId="52" xfId="1" applyFont="1" applyFill="1" applyBorder="1" applyAlignment="1">
      <alignment vertical="center"/>
    </xf>
    <xf numFmtId="43" fontId="63" fillId="2" borderId="52" xfId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4" borderId="57" xfId="0" applyFont="1" applyFill="1" applyBorder="1" applyAlignment="1">
      <alignment horizontal="center" vertical="center"/>
    </xf>
    <xf numFmtId="0" fontId="43" fillId="9" borderId="57" xfId="0" applyFont="1" applyFill="1" applyBorder="1" applyAlignment="1">
      <alignment horizontal="center" vertical="center"/>
    </xf>
    <xf numFmtId="0" fontId="43" fillId="11" borderId="57" xfId="0" applyFont="1" applyFill="1" applyBorder="1" applyAlignment="1">
      <alignment horizontal="center" vertical="center"/>
    </xf>
    <xf numFmtId="0" fontId="43" fillId="7" borderId="57" xfId="0" applyFont="1" applyFill="1" applyBorder="1" applyAlignment="1">
      <alignment horizontal="center" vertical="center"/>
    </xf>
    <xf numFmtId="0" fontId="43" fillId="8" borderId="57" xfId="0" applyFont="1" applyFill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3" fontId="43" fillId="2" borderId="57" xfId="0" applyNumberFormat="1" applyFont="1" applyFill="1" applyBorder="1" applyAlignment="1">
      <alignment horizontal="center" vertical="center"/>
    </xf>
    <xf numFmtId="0" fontId="43" fillId="0" borderId="57" xfId="0" applyFont="1" applyBorder="1" applyAlignment="1">
      <alignment horizontal="center" vertical="center" wrapText="1"/>
    </xf>
    <xf numFmtId="3" fontId="43" fillId="11" borderId="57" xfId="0" applyNumberFormat="1" applyFont="1" applyFill="1" applyBorder="1" applyAlignment="1">
      <alignment horizontal="center" vertical="center"/>
    </xf>
    <xf numFmtId="3" fontId="43" fillId="0" borderId="57" xfId="0" applyNumberFormat="1" applyFont="1" applyBorder="1" applyAlignment="1">
      <alignment horizontal="center" vertical="center"/>
    </xf>
    <xf numFmtId="3" fontId="43" fillId="27" borderId="57" xfId="0" applyNumberFormat="1" applyFont="1" applyFill="1" applyBorder="1" applyAlignment="1">
      <alignment horizontal="center" vertical="center"/>
    </xf>
    <xf numFmtId="3" fontId="43" fillId="25" borderId="57" xfId="0" applyNumberFormat="1" applyFont="1" applyFill="1" applyBorder="1" applyAlignment="1">
      <alignment horizontal="center" vertical="center"/>
    </xf>
    <xf numFmtId="0" fontId="68" fillId="11" borderId="57" xfId="0" applyFont="1" applyFill="1" applyBorder="1" applyAlignment="1">
      <alignment horizontal="center" vertical="center"/>
    </xf>
    <xf numFmtId="0" fontId="68" fillId="11" borderId="57" xfId="0" applyFont="1" applyFill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70" fillId="11" borderId="59" xfId="0" applyFont="1" applyFill="1" applyBorder="1" applyAlignment="1">
      <alignment horizontal="center" vertical="center"/>
    </xf>
    <xf numFmtId="0" fontId="43" fillId="11" borderId="0" xfId="0" applyFont="1" applyFill="1" applyAlignment="1">
      <alignment horizontal="center" vertical="center"/>
    </xf>
    <xf numFmtId="0" fontId="68" fillId="11" borderId="0" xfId="0" applyFont="1" applyFill="1" applyAlignment="1">
      <alignment horizontal="center" vertical="center"/>
    </xf>
    <xf numFmtId="0" fontId="43" fillId="11" borderId="57" xfId="0" applyFont="1" applyFill="1" applyBorder="1" applyAlignment="1">
      <alignment horizontal="center" vertical="center" wrapText="1"/>
    </xf>
    <xf numFmtId="0" fontId="84" fillId="11" borderId="57" xfId="0" applyFont="1" applyFill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3" fontId="43" fillId="11" borderId="57" xfId="0" applyNumberFormat="1" applyFont="1" applyFill="1" applyBorder="1" applyAlignment="1">
      <alignment horizontal="center" vertical="center" wrapText="1"/>
    </xf>
    <xf numFmtId="3" fontId="43" fillId="0" borderId="57" xfId="0" applyNumberFormat="1" applyFont="1" applyBorder="1" applyAlignment="1">
      <alignment horizontal="center" vertical="center" wrapText="1"/>
    </xf>
    <xf numFmtId="0" fontId="83" fillId="11" borderId="4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27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vertical="center"/>
    </xf>
    <xf numFmtId="0" fontId="27" fillId="11" borderId="0" xfId="0" applyFont="1" applyFill="1" applyAlignment="1">
      <alignment horizontal="justify" vertical="center"/>
    </xf>
    <xf numFmtId="4" fontId="27" fillId="11" borderId="0" xfId="0" applyNumberFormat="1" applyFont="1" applyFill="1" applyAlignment="1">
      <alignment horizontal="center" vertical="center"/>
    </xf>
    <xf numFmtId="0" fontId="30" fillId="11" borderId="0" xfId="20" applyFont="1" applyFill="1" applyAlignment="1">
      <alignment horizontal="left" vertical="center"/>
    </xf>
    <xf numFmtId="0" fontId="101" fillId="11" borderId="0" xfId="20" applyFont="1" applyFill="1" applyAlignment="1">
      <alignment vertical="center"/>
    </xf>
    <xf numFmtId="0" fontId="102" fillId="11" borderId="0" xfId="0" applyFont="1" applyFill="1" applyAlignment="1">
      <alignment horizontal="left" vertical="center"/>
    </xf>
    <xf numFmtId="0" fontId="104" fillId="11" borderId="0" xfId="0" applyFont="1" applyFill="1" applyAlignment="1">
      <alignment horizontal="center" vertical="center"/>
    </xf>
    <xf numFmtId="0" fontId="104" fillId="11" borderId="0" xfId="0" applyFont="1" applyFill="1" applyAlignment="1">
      <alignment vertical="center"/>
    </xf>
    <xf numFmtId="0" fontId="103" fillId="11" borderId="0" xfId="0" applyFont="1" applyFill="1" applyAlignment="1">
      <alignment horizontal="center" vertical="center"/>
    </xf>
    <xf numFmtId="43" fontId="103" fillId="11" borderId="0" xfId="1" applyFont="1" applyFill="1" applyAlignment="1">
      <alignment vertical="center"/>
    </xf>
    <xf numFmtId="0" fontId="103" fillId="11" borderId="0" xfId="0" applyFont="1" applyFill="1" applyAlignment="1">
      <alignment vertical="center"/>
    </xf>
    <xf numFmtId="4" fontId="107" fillId="32" borderId="52" xfId="3" applyNumberFormat="1" applyFont="1" applyFill="1" applyBorder="1" applyAlignment="1">
      <alignment horizontal="center" vertical="center" wrapText="1"/>
    </xf>
    <xf numFmtId="4" fontId="105" fillId="32" borderId="52" xfId="3" applyNumberFormat="1" applyFont="1" applyFill="1" applyBorder="1" applyAlignment="1">
      <alignment horizontal="center" vertical="center" wrapText="1"/>
    </xf>
    <xf numFmtId="0" fontId="105" fillId="32" borderId="52" xfId="3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vertical="center"/>
    </xf>
    <xf numFmtId="4" fontId="32" fillId="11" borderId="52" xfId="3" applyNumberFormat="1" applyFont="1" applyFill="1" applyBorder="1" applyAlignment="1">
      <alignment horizontal="center" vertical="center"/>
    </xf>
    <xf numFmtId="0" fontId="32" fillId="11" borderId="52" xfId="0" applyFont="1" applyFill="1" applyBorder="1" applyAlignment="1">
      <alignment horizontal="center" vertical="center"/>
    </xf>
    <xf numFmtId="0" fontId="32" fillId="11" borderId="52" xfId="3" applyFont="1" applyFill="1" applyBorder="1" applyAlignment="1">
      <alignment horizontal="left" vertical="center" wrapText="1"/>
    </xf>
    <xf numFmtId="0" fontId="32" fillId="11" borderId="52" xfId="3" applyFont="1" applyFill="1" applyBorder="1" applyAlignment="1">
      <alignment horizontal="center" vertical="center" wrapText="1"/>
    </xf>
    <xf numFmtId="177" fontId="32" fillId="11" borderId="52" xfId="0" applyNumberFormat="1" applyFont="1" applyFill="1" applyBorder="1" applyAlignment="1">
      <alignment horizontal="center" vertical="center"/>
    </xf>
    <xf numFmtId="0" fontId="109" fillId="11" borderId="0" xfId="0" applyFont="1" applyFill="1" applyAlignment="1">
      <alignment vertical="center"/>
    </xf>
    <xf numFmtId="0" fontId="32" fillId="11" borderId="52" xfId="3" applyFont="1" applyFill="1" applyBorder="1" applyAlignment="1">
      <alignment horizontal="center" vertical="center"/>
    </xf>
    <xf numFmtId="0" fontId="32" fillId="11" borderId="52" xfId="0" applyFont="1" applyFill="1" applyBorder="1" applyAlignment="1">
      <alignment horizontal="center" vertical="center" wrapText="1"/>
    </xf>
    <xf numFmtId="3" fontId="32" fillId="11" borderId="52" xfId="3" quotePrefix="1" applyNumberFormat="1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left" vertical="center" wrapText="1"/>
    </xf>
    <xf numFmtId="0" fontId="32" fillId="11" borderId="150" xfId="5" applyFont="1" applyFill="1" applyBorder="1" applyAlignment="1">
      <alignment horizontal="center" vertical="center" wrapText="1"/>
    </xf>
    <xf numFmtId="4" fontId="32" fillId="11" borderId="52" xfId="5" applyNumberFormat="1" applyFont="1" applyFill="1" applyBorder="1" applyAlignment="1">
      <alignment horizontal="center" vertical="center" wrapText="1"/>
    </xf>
    <xf numFmtId="4" fontId="32" fillId="11" borderId="52" xfId="3" applyNumberFormat="1" applyFont="1" applyFill="1" applyBorder="1" applyAlignment="1">
      <alignment horizontal="center" vertical="center" wrapText="1"/>
    </xf>
    <xf numFmtId="0" fontId="108" fillId="11" borderId="52" xfId="3" applyFont="1" applyFill="1" applyBorder="1" applyAlignment="1">
      <alignment horizontal="center" vertical="center" wrapText="1"/>
    </xf>
    <xf numFmtId="0" fontId="32" fillId="11" borderId="52" xfId="3" applyFont="1" applyFill="1" applyBorder="1" applyAlignment="1">
      <alignment vertical="center" wrapText="1"/>
    </xf>
    <xf numFmtId="0" fontId="32" fillId="11" borderId="52" xfId="3" quotePrefix="1" applyFont="1" applyFill="1" applyBorder="1" applyAlignment="1">
      <alignment horizontal="center" vertical="center" wrapText="1"/>
    </xf>
    <xf numFmtId="4" fontId="32" fillId="11" borderId="52" xfId="0" applyNumberFormat="1" applyFont="1" applyFill="1" applyBorder="1" applyAlignment="1">
      <alignment horizontal="center" vertical="center"/>
    </xf>
    <xf numFmtId="4" fontId="32" fillId="11" borderId="52" xfId="0" quotePrefix="1" applyNumberFormat="1" applyFont="1" applyFill="1" applyBorder="1" applyAlignment="1">
      <alignment horizontal="center" vertical="center"/>
    </xf>
    <xf numFmtId="0" fontId="103" fillId="11" borderId="52" xfId="3" applyFont="1" applyFill="1" applyBorder="1" applyAlignment="1">
      <alignment horizontal="left" vertical="center" wrapText="1"/>
    </xf>
    <xf numFmtId="178" fontId="32" fillId="11" borderId="52" xfId="3" applyNumberFormat="1" applyFont="1" applyFill="1" applyBorder="1" applyAlignment="1">
      <alignment vertical="center" wrapText="1"/>
    </xf>
    <xf numFmtId="178" fontId="32" fillId="11" borderId="52" xfId="3" applyNumberFormat="1" applyFont="1" applyFill="1" applyBorder="1" applyAlignment="1">
      <alignment horizontal="center" vertical="center" wrapText="1"/>
    </xf>
    <xf numFmtId="0" fontId="111" fillId="11" borderId="0" xfId="0" applyFont="1" applyFill="1" applyAlignment="1">
      <alignment vertical="center"/>
    </xf>
    <xf numFmtId="0" fontId="110" fillId="11" borderId="52" xfId="3" applyFont="1" applyFill="1" applyBorder="1" applyAlignment="1">
      <alignment horizontal="center" vertical="center" wrapText="1"/>
    </xf>
    <xf numFmtId="0" fontId="32" fillId="11" borderId="52" xfId="3" applyFont="1" applyFill="1" applyBorder="1" applyAlignment="1">
      <alignment horizontal="left" vertical="center"/>
    </xf>
    <xf numFmtId="176" fontId="32" fillId="11" borderId="52" xfId="0" applyNumberFormat="1" applyFont="1" applyFill="1" applyBorder="1" applyAlignment="1">
      <alignment horizontal="center" vertical="center"/>
    </xf>
    <xf numFmtId="176" fontId="32" fillId="11" borderId="52" xfId="3" applyNumberFormat="1" applyFont="1" applyFill="1" applyBorder="1" applyAlignment="1">
      <alignment horizontal="center" vertical="center" wrapText="1"/>
    </xf>
    <xf numFmtId="0" fontId="32" fillId="11" borderId="98" xfId="3" applyFont="1" applyFill="1" applyBorder="1" applyAlignment="1">
      <alignment horizontal="left" vertical="center" wrapText="1"/>
    </xf>
    <xf numFmtId="4" fontId="32" fillId="11" borderId="52" xfId="5" applyNumberFormat="1" applyFont="1" applyFill="1" applyBorder="1" applyAlignment="1">
      <alignment horizontal="center" vertical="center"/>
    </xf>
    <xf numFmtId="0" fontId="32" fillId="11" borderId="52" xfId="3" applyFont="1" applyFill="1" applyBorder="1" applyAlignment="1" applyProtection="1">
      <alignment horizontal="left" vertical="center" wrapText="1"/>
      <protection locked="0"/>
    </xf>
    <xf numFmtId="0" fontId="32" fillId="11" borderId="52" xfId="5" applyFont="1" applyFill="1" applyBorder="1" applyAlignment="1">
      <alignment horizontal="center" vertical="center" wrapText="1"/>
    </xf>
    <xf numFmtId="4" fontId="32" fillId="11" borderId="150" xfId="5" applyNumberFormat="1" applyFont="1" applyFill="1" applyBorder="1" applyAlignment="1">
      <alignment horizontal="center" vertical="center"/>
    </xf>
    <xf numFmtId="0" fontId="109" fillId="11" borderId="0" xfId="0" applyFont="1" applyFill="1" applyAlignment="1">
      <alignment horizontal="center" vertical="center"/>
    </xf>
    <xf numFmtId="4" fontId="108" fillId="11" borderId="52" xfId="3" applyNumberFormat="1" applyFont="1" applyFill="1" applyBorder="1" applyAlignment="1">
      <alignment horizontal="center" vertical="center"/>
    </xf>
    <xf numFmtId="177" fontId="32" fillId="11" borderId="52" xfId="0" applyNumberFormat="1" applyFont="1" applyFill="1" applyBorder="1" applyAlignment="1">
      <alignment horizontal="center" vertical="center" wrapText="1"/>
    </xf>
    <xf numFmtId="176" fontId="108" fillId="11" borderId="52" xfId="0" applyNumberFormat="1" applyFont="1" applyFill="1" applyBorder="1" applyAlignment="1">
      <alignment horizontal="center" vertical="center"/>
    </xf>
    <xf numFmtId="176" fontId="108" fillId="11" borderId="52" xfId="3" applyNumberFormat="1" applyFont="1" applyFill="1" applyBorder="1" applyAlignment="1">
      <alignment horizontal="center" vertical="center" wrapText="1"/>
    </xf>
    <xf numFmtId="0" fontId="32" fillId="11" borderId="150" xfId="3" applyFont="1" applyFill="1" applyBorder="1" applyAlignment="1">
      <alignment horizontal="left" vertical="center" wrapText="1"/>
    </xf>
    <xf numFmtId="0" fontId="32" fillId="11" borderId="52" xfId="4" applyFont="1" applyFill="1" applyBorder="1" applyAlignment="1">
      <alignment horizontal="left" vertical="center" wrapText="1"/>
    </xf>
    <xf numFmtId="17" fontId="32" fillId="11" borderId="52" xfId="3" applyNumberFormat="1" applyFont="1" applyFill="1" applyBorder="1" applyAlignment="1">
      <alignment horizontal="center" vertical="center" wrapText="1"/>
    </xf>
    <xf numFmtId="4" fontId="32" fillId="11" borderId="52" xfId="1" applyNumberFormat="1" applyFont="1" applyFill="1" applyBorder="1" applyAlignment="1">
      <alignment horizontal="center" vertical="center"/>
    </xf>
    <xf numFmtId="3" fontId="32" fillId="11" borderId="52" xfId="0" applyNumberFormat="1" applyFont="1" applyFill="1" applyBorder="1" applyAlignment="1">
      <alignment horizontal="center" vertical="center"/>
    </xf>
    <xf numFmtId="0" fontId="103" fillId="11" borderId="52" xfId="0" applyFont="1" applyFill="1" applyBorder="1" applyAlignment="1">
      <alignment horizontal="center" vertical="center"/>
    </xf>
    <xf numFmtId="4" fontId="103" fillId="11" borderId="0" xfId="0" applyNumberFormat="1" applyFont="1" applyFill="1" applyAlignment="1">
      <alignment horizontal="center" vertical="center"/>
    </xf>
    <xf numFmtId="0" fontId="32" fillId="11" borderId="0" xfId="0" applyFont="1" applyFill="1" applyAlignment="1">
      <alignment vertical="center" wrapText="1"/>
    </xf>
    <xf numFmtId="4" fontId="104" fillId="11" borderId="0" xfId="0" applyNumberFormat="1" applyFont="1" applyFill="1" applyAlignment="1">
      <alignment vertical="center"/>
    </xf>
    <xf numFmtId="4" fontId="103" fillId="11" borderId="0" xfId="0" applyNumberFormat="1" applyFont="1" applyFill="1" applyAlignment="1">
      <alignment vertical="center"/>
    </xf>
    <xf numFmtId="10" fontId="103" fillId="11" borderId="0" xfId="0" applyNumberFormat="1" applyFont="1" applyFill="1" applyAlignment="1">
      <alignment vertical="center"/>
    </xf>
    <xf numFmtId="9" fontId="103" fillId="11" borderId="0" xfId="2" applyFont="1" applyFill="1" applyAlignment="1">
      <alignment horizontal="center" vertical="center"/>
    </xf>
    <xf numFmtId="4" fontId="103" fillId="11" borderId="52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Alignment="1">
      <alignment vertical="center"/>
    </xf>
    <xf numFmtId="0" fontId="32" fillId="11" borderId="96" xfId="0" applyFont="1" applyFill="1" applyBorder="1" applyAlignment="1">
      <alignment vertical="center"/>
    </xf>
    <xf numFmtId="0" fontId="103" fillId="11" borderId="96" xfId="0" applyFont="1" applyFill="1" applyBorder="1" applyAlignment="1">
      <alignment vertical="center"/>
    </xf>
    <xf numFmtId="0" fontId="113" fillId="32" borderId="52" xfId="0" applyFont="1" applyFill="1" applyBorder="1" applyAlignment="1">
      <alignment horizontal="center" vertical="center"/>
    </xf>
    <xf numFmtId="10" fontId="105" fillId="32" borderId="52" xfId="3" applyNumberFormat="1" applyFont="1" applyFill="1" applyBorder="1" applyAlignment="1">
      <alignment horizontal="center" vertical="center" wrapText="1"/>
    </xf>
    <xf numFmtId="0" fontId="103" fillId="11" borderId="52" xfId="0" applyFont="1" applyFill="1" applyBorder="1" applyAlignment="1">
      <alignment horizontal="left" vertical="center" wrapText="1"/>
    </xf>
    <xf numFmtId="0" fontId="103" fillId="11" borderId="150" xfId="5" applyFont="1" applyFill="1" applyBorder="1" applyAlignment="1">
      <alignment horizontal="center" vertical="center" wrapText="1"/>
    </xf>
    <xf numFmtId="0" fontId="103" fillId="11" borderId="52" xfId="3" applyFont="1" applyFill="1" applyBorder="1" applyAlignment="1">
      <alignment horizontal="center" vertical="center" wrapText="1"/>
    </xf>
    <xf numFmtId="0" fontId="108" fillId="11" borderId="0" xfId="3" applyFont="1" applyFill="1" applyAlignment="1">
      <alignment vertical="center" wrapText="1"/>
    </xf>
    <xf numFmtId="0" fontId="108" fillId="11" borderId="0" xfId="3" applyFont="1" applyFill="1" applyAlignment="1">
      <alignment horizontal="center" vertical="center" wrapText="1"/>
    </xf>
    <xf numFmtId="4" fontId="108" fillId="11" borderId="0" xfId="3" applyNumberFormat="1" applyFont="1" applyFill="1" applyAlignment="1">
      <alignment horizontal="center" vertical="center" wrapText="1"/>
    </xf>
    <xf numFmtId="10" fontId="108" fillId="11" borderId="0" xfId="3" applyNumberFormat="1" applyFont="1" applyFill="1" applyAlignment="1">
      <alignment vertical="center" wrapText="1"/>
    </xf>
    <xf numFmtId="4" fontId="32" fillId="11" borderId="0" xfId="0" applyNumberFormat="1" applyFont="1" applyFill="1" applyAlignment="1">
      <alignment vertical="center"/>
    </xf>
    <xf numFmtId="4" fontId="103" fillId="11" borderId="52" xfId="3" applyNumberFormat="1" applyFont="1" applyFill="1" applyBorder="1" applyAlignment="1">
      <alignment horizontal="center" vertical="center"/>
    </xf>
    <xf numFmtId="177" fontId="103" fillId="11" borderId="52" xfId="0" applyNumberFormat="1" applyFont="1" applyFill="1" applyBorder="1" applyAlignment="1">
      <alignment horizontal="center" vertical="center"/>
    </xf>
    <xf numFmtId="0" fontId="103" fillId="11" borderId="52" xfId="3" applyFont="1" applyFill="1" applyBorder="1" applyAlignment="1">
      <alignment horizontal="center" vertical="center"/>
    </xf>
    <xf numFmtId="4" fontId="108" fillId="11" borderId="0" xfId="3" applyNumberFormat="1" applyFont="1" applyFill="1" applyAlignment="1">
      <alignment vertical="center" wrapText="1"/>
    </xf>
    <xf numFmtId="0" fontId="103" fillId="11" borderId="52" xfId="0" quotePrefix="1" applyFont="1" applyFill="1" applyBorder="1" applyAlignment="1">
      <alignment horizontal="center" vertical="center"/>
    </xf>
    <xf numFmtId="178" fontId="103" fillId="11" borderId="52" xfId="3" applyNumberFormat="1" applyFont="1" applyFill="1" applyBorder="1" applyAlignment="1">
      <alignment horizontal="center" vertical="center" wrapText="1"/>
    </xf>
    <xf numFmtId="4" fontId="103" fillId="11" borderId="150" xfId="5" applyNumberFormat="1" applyFont="1" applyFill="1" applyBorder="1" applyAlignment="1">
      <alignment horizontal="center" vertical="center"/>
    </xf>
    <xf numFmtId="0" fontId="107" fillId="32" borderId="52" xfId="0" applyFont="1" applyFill="1" applyBorder="1" applyAlignment="1">
      <alignment horizontal="center" vertical="center"/>
    </xf>
    <xf numFmtId="177" fontId="103" fillId="11" borderId="52" xfId="0" applyNumberFormat="1" applyFont="1" applyFill="1" applyBorder="1" applyAlignment="1">
      <alignment horizontal="center" vertical="center" wrapText="1"/>
    </xf>
    <xf numFmtId="0" fontId="32" fillId="11" borderId="0" xfId="3" applyFont="1" applyFill="1" applyAlignment="1">
      <alignment vertical="center" wrapText="1"/>
    </xf>
    <xf numFmtId="0" fontId="32" fillId="11" borderId="0" xfId="3" applyFont="1" applyFill="1" applyAlignment="1">
      <alignment horizontal="center" vertical="center" wrapText="1"/>
    </xf>
    <xf numFmtId="4" fontId="32" fillId="11" borderId="0" xfId="3" applyNumberFormat="1" applyFont="1" applyFill="1" applyAlignment="1">
      <alignment vertical="center" wrapText="1"/>
    </xf>
    <xf numFmtId="10" fontId="32" fillId="11" borderId="0" xfId="3" applyNumberFormat="1" applyFont="1" applyFill="1" applyAlignment="1">
      <alignment vertical="center" wrapText="1"/>
    </xf>
    <xf numFmtId="0" fontId="108" fillId="11" borderId="52" xfId="0" applyFont="1" applyFill="1" applyBorder="1" applyAlignment="1">
      <alignment horizontal="center" vertical="center"/>
    </xf>
    <xf numFmtId="0" fontId="108" fillId="11" borderId="52" xfId="4" applyFont="1" applyFill="1" applyBorder="1" applyAlignment="1">
      <alignment horizontal="left" vertical="center" wrapText="1"/>
    </xf>
    <xf numFmtId="0" fontId="108" fillId="11" borderId="52" xfId="3" applyFont="1" applyFill="1" applyBorder="1" applyAlignment="1">
      <alignment horizontal="center" vertical="center"/>
    </xf>
    <xf numFmtId="176" fontId="108" fillId="11" borderId="52" xfId="0" applyNumberFormat="1" applyFont="1" applyFill="1" applyBorder="1" applyAlignment="1">
      <alignment horizontal="center" vertical="center" wrapText="1"/>
    </xf>
    <xf numFmtId="0" fontId="108" fillId="11" borderId="52" xfId="3" applyFont="1" applyFill="1" applyBorder="1" applyAlignment="1">
      <alignment horizontal="left" vertical="center" wrapText="1"/>
    </xf>
    <xf numFmtId="0" fontId="32" fillId="11" borderId="102" xfId="3" applyFont="1" applyFill="1" applyBorder="1" applyAlignment="1">
      <alignment vertical="center" wrapText="1"/>
    </xf>
    <xf numFmtId="0" fontId="32" fillId="11" borderId="150" xfId="3" applyFont="1" applyFill="1" applyBorder="1" applyAlignment="1">
      <alignment vertical="center" wrapText="1"/>
    </xf>
    <xf numFmtId="0" fontId="32" fillId="11" borderId="102" xfId="3" applyFont="1" applyFill="1" applyBorder="1" applyAlignment="1">
      <alignment horizontal="center" vertical="center" wrapText="1"/>
    </xf>
    <xf numFmtId="0" fontId="116" fillId="11" borderId="114" xfId="3" applyFont="1" applyFill="1" applyBorder="1" applyAlignment="1">
      <alignment horizontal="left" vertical="center"/>
    </xf>
    <xf numFmtId="4" fontId="104" fillId="11" borderId="0" xfId="0" applyNumberFormat="1" applyFont="1" applyFill="1" applyAlignment="1">
      <alignment horizontal="center" vertical="center"/>
    </xf>
    <xf numFmtId="10" fontId="104" fillId="11" borderId="0" xfId="0" applyNumberFormat="1" applyFont="1" applyFill="1" applyAlignment="1">
      <alignment vertical="center"/>
    </xf>
    <xf numFmtId="0" fontId="110" fillId="11" borderId="52" xfId="4" applyFont="1" applyFill="1" applyBorder="1" applyAlignment="1">
      <alignment horizontal="left" vertical="center" wrapText="1"/>
    </xf>
    <xf numFmtId="0" fontId="117" fillId="11" borderId="52" xfId="5" applyFont="1" applyFill="1" applyBorder="1" applyAlignment="1">
      <alignment horizontal="center" vertical="center" wrapText="1"/>
    </xf>
    <xf numFmtId="0" fontId="110" fillId="11" borderId="52" xfId="5" applyFont="1" applyFill="1" applyBorder="1" applyAlignment="1">
      <alignment horizontal="center" vertical="center" wrapText="1"/>
    </xf>
    <xf numFmtId="4" fontId="110" fillId="11" borderId="52" xfId="5" applyNumberFormat="1" applyFont="1" applyFill="1" applyBorder="1" applyAlignment="1">
      <alignment horizontal="center" vertical="center"/>
    </xf>
    <xf numFmtId="179" fontId="110" fillId="11" borderId="52" xfId="5" applyNumberFormat="1" applyFont="1" applyFill="1" applyBorder="1" applyAlignment="1">
      <alignment horizontal="center" vertical="center"/>
    </xf>
    <xf numFmtId="0" fontId="110" fillId="11" borderId="52" xfId="5" applyFont="1" applyFill="1" applyBorder="1" applyAlignment="1">
      <alignment horizontal="center" vertical="center"/>
    </xf>
    <xf numFmtId="0" fontId="116" fillId="11" borderId="0" xfId="3" applyFont="1" applyFill="1" applyAlignment="1">
      <alignment horizontal="left" vertical="center"/>
    </xf>
    <xf numFmtId="4" fontId="104" fillId="2" borderId="0" xfId="0" applyNumberFormat="1" applyFont="1" applyFill="1" applyAlignment="1">
      <alignment vertical="center"/>
    </xf>
    <xf numFmtId="0" fontId="32" fillId="11" borderId="52" xfId="21" applyFont="1" applyFill="1" applyBorder="1" applyAlignment="1">
      <alignment vertical="center" wrapText="1"/>
    </xf>
    <xf numFmtId="0" fontId="32" fillId="11" borderId="52" xfId="0" applyFont="1" applyFill="1" applyBorder="1" applyAlignment="1">
      <alignment vertical="center"/>
    </xf>
    <xf numFmtId="0" fontId="32" fillId="11" borderId="52" xfId="21" applyFont="1" applyFill="1" applyBorder="1" applyAlignment="1">
      <alignment horizontal="center" vertical="center" wrapText="1"/>
    </xf>
    <xf numFmtId="0" fontId="118" fillId="11" borderId="0" xfId="0" applyFont="1" applyFill="1" applyAlignment="1">
      <alignment vertical="center"/>
    </xf>
    <xf numFmtId="0" fontId="119" fillId="11" borderId="52" xfId="0" applyFont="1" applyFill="1" applyBorder="1" applyAlignment="1">
      <alignment horizontal="center" vertical="center" wrapText="1"/>
    </xf>
    <xf numFmtId="0" fontId="121" fillId="11" borderId="52" xfId="0" applyFont="1" applyFill="1" applyBorder="1" applyAlignment="1">
      <alignment horizontal="justify" vertical="center" wrapText="1"/>
    </xf>
    <xf numFmtId="0" fontId="121" fillId="11" borderId="52" xfId="0" applyFont="1" applyFill="1" applyBorder="1" applyAlignment="1">
      <alignment vertical="center" wrapText="1"/>
    </xf>
    <xf numFmtId="0" fontId="118" fillId="11" borderId="0" xfId="0" applyFont="1" applyFill="1" applyAlignment="1">
      <alignment vertical="center" wrapText="1"/>
    </xf>
    <xf numFmtId="0" fontId="121" fillId="11" borderId="52" xfId="0" applyFont="1" applyFill="1" applyBorder="1" applyAlignment="1">
      <alignment horizontal="left" vertical="center" wrapText="1"/>
    </xf>
    <xf numFmtId="0" fontId="121" fillId="11" borderId="0" xfId="0" applyFont="1" applyFill="1" applyAlignment="1">
      <alignment vertical="center"/>
    </xf>
    <xf numFmtId="176" fontId="103" fillId="11" borderId="52" xfId="3" applyNumberFormat="1" applyFont="1" applyFill="1" applyBorder="1" applyAlignment="1">
      <alignment horizontal="center" vertical="center" wrapText="1"/>
    </xf>
    <xf numFmtId="4" fontId="103" fillId="11" borderId="52" xfId="1" applyNumberFormat="1" applyFont="1" applyFill="1" applyBorder="1" applyAlignment="1">
      <alignment horizontal="center" vertical="center"/>
    </xf>
    <xf numFmtId="0" fontId="112" fillId="11" borderId="0" xfId="0" applyFont="1" applyFill="1" applyAlignment="1">
      <alignment horizontal="center" vertical="center"/>
    </xf>
    <xf numFmtId="0" fontId="112" fillId="11" borderId="0" xfId="3" applyFont="1" applyFill="1" applyAlignment="1">
      <alignment vertical="center" wrapText="1"/>
    </xf>
    <xf numFmtId="4" fontId="103" fillId="11" borderId="52" xfId="5" applyNumberFormat="1" applyFont="1" applyFill="1" applyBorder="1" applyAlignment="1">
      <alignment horizontal="center" vertical="center"/>
    </xf>
    <xf numFmtId="0" fontId="114" fillId="11" borderId="52" xfId="3" applyFont="1" applyFill="1" applyBorder="1" applyAlignment="1">
      <alignment horizontal="center" vertical="center" wrapText="1"/>
    </xf>
    <xf numFmtId="0" fontId="112" fillId="11" borderId="0" xfId="3" applyFont="1" applyFill="1" applyAlignment="1">
      <alignment horizontal="center" vertical="center" wrapText="1"/>
    </xf>
    <xf numFmtId="0" fontId="110" fillId="11" borderId="52" xfId="4" applyFont="1" applyFill="1" applyBorder="1" applyAlignment="1">
      <alignment horizontal="center" vertical="center"/>
    </xf>
    <xf numFmtId="0" fontId="32" fillId="11" borderId="52" xfId="3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/>
    </xf>
    <xf numFmtId="0" fontId="32" fillId="11" borderId="52" xfId="0" applyFont="1" applyFill="1" applyBorder="1" applyAlignment="1">
      <alignment horizontal="center" vertical="center"/>
    </xf>
    <xf numFmtId="0" fontId="32" fillId="11" borderId="52" xfId="3" applyFont="1" applyFill="1" applyBorder="1" applyAlignment="1">
      <alignment horizontal="center" vertical="center" wrapText="1"/>
    </xf>
    <xf numFmtId="0" fontId="104" fillId="11" borderId="0" xfId="0" applyFont="1" applyFill="1" applyAlignment="1">
      <alignment horizontal="center" vertical="center"/>
    </xf>
    <xf numFmtId="4" fontId="32" fillId="11" borderId="150" xfId="0" applyNumberFormat="1" applyFont="1" applyFill="1" applyBorder="1" applyAlignment="1">
      <alignment horizontal="center" vertical="center"/>
    </xf>
    <xf numFmtId="3" fontId="32" fillId="11" borderId="52" xfId="1" applyNumberFormat="1" applyFont="1" applyFill="1" applyBorder="1" applyAlignment="1">
      <alignment horizontal="center" vertical="center"/>
    </xf>
    <xf numFmtId="0" fontId="123" fillId="11" borderId="0" xfId="0" applyFont="1" applyFill="1" applyAlignment="1">
      <alignment vertical="center"/>
    </xf>
    <xf numFmtId="0" fontId="32" fillId="11" borderId="52" xfId="3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/>
    </xf>
    <xf numFmtId="0" fontId="32" fillId="31" borderId="0" xfId="0" applyFont="1" applyFill="1" applyAlignment="1">
      <alignment vertical="center"/>
    </xf>
    <xf numFmtId="0" fontId="109" fillId="31" borderId="0" xfId="0" applyFont="1" applyFill="1" applyAlignment="1">
      <alignment vertical="center"/>
    </xf>
    <xf numFmtId="0" fontId="110" fillId="11" borderId="0" xfId="0" applyFont="1" applyFill="1" applyAlignment="1">
      <alignment vertical="center"/>
    </xf>
    <xf numFmtId="0" fontId="110" fillId="11" borderId="0" xfId="0" applyFont="1" applyFill="1" applyAlignment="1">
      <alignment vertical="center" wrapText="1"/>
    </xf>
    <xf numFmtId="0" fontId="112" fillId="11" borderId="0" xfId="0" applyFont="1" applyFill="1" applyAlignment="1">
      <alignment vertical="center"/>
    </xf>
    <xf numFmtId="0" fontId="110" fillId="11" borderId="0" xfId="0" applyFont="1" applyFill="1" applyAlignment="1">
      <alignment horizontal="center" vertical="center" wrapText="1"/>
    </xf>
    <xf numFmtId="0" fontId="32" fillId="11" borderId="150" xfId="3" applyFont="1" applyFill="1" applyBorder="1" applyAlignment="1">
      <alignment horizontal="left" vertical="center" wrapText="1"/>
    </xf>
    <xf numFmtId="0" fontId="32" fillId="11" borderId="52" xfId="3" applyFont="1" applyFill="1" applyBorder="1" applyAlignment="1">
      <alignment horizontal="center" vertical="center" wrapText="1"/>
    </xf>
    <xf numFmtId="4" fontId="32" fillId="11" borderId="52" xfId="3" applyNumberFormat="1" applyFont="1" applyFill="1" applyBorder="1" applyAlignment="1">
      <alignment horizontal="center" vertical="center" wrapText="1"/>
    </xf>
    <xf numFmtId="0" fontId="32" fillId="11" borderId="52" xfId="0" applyFont="1" applyFill="1" applyBorder="1" applyAlignment="1">
      <alignment horizontal="center" vertical="center"/>
    </xf>
    <xf numFmtId="0" fontId="32" fillId="11" borderId="102" xfId="3" applyFont="1" applyFill="1" applyBorder="1" applyAlignment="1">
      <alignment horizontal="center" vertical="center" wrapText="1"/>
    </xf>
    <xf numFmtId="0" fontId="32" fillId="11" borderId="52" xfId="3" quotePrefix="1" applyFont="1" applyFill="1" applyBorder="1" applyAlignment="1">
      <alignment horizontal="center" vertical="center" wrapText="1"/>
    </xf>
    <xf numFmtId="0" fontId="105" fillId="32" borderId="52" xfId="3" applyFont="1" applyFill="1" applyBorder="1" applyAlignment="1">
      <alignment horizontal="center" vertical="center" wrapText="1"/>
    </xf>
    <xf numFmtId="0" fontId="103" fillId="11" borderId="52" xfId="0" applyFont="1" applyFill="1" applyBorder="1" applyAlignment="1">
      <alignment horizontal="center" vertical="center"/>
    </xf>
    <xf numFmtId="0" fontId="107" fillId="32" borderId="52" xfId="0" applyFont="1" applyFill="1" applyBorder="1" applyAlignment="1">
      <alignment horizontal="center" vertical="center"/>
    </xf>
    <xf numFmtId="0" fontId="103" fillId="11" borderId="52" xfId="0" applyFont="1" applyFill="1" applyBorder="1" applyAlignment="1">
      <alignment horizontal="center" vertical="center" wrapText="1"/>
    </xf>
    <xf numFmtId="0" fontId="32" fillId="11" borderId="52" xfId="3" applyFont="1" applyFill="1" applyBorder="1" applyAlignment="1">
      <alignment horizontal="center" vertical="center" wrapText="1"/>
    </xf>
    <xf numFmtId="0" fontId="118" fillId="11" borderId="0" xfId="0" applyFont="1" applyFill="1" applyBorder="1" applyAlignment="1">
      <alignment horizontal="justify" vertical="center" wrapText="1"/>
    </xf>
    <xf numFmtId="0" fontId="121" fillId="11" borderId="0" xfId="0" applyFont="1" applyFill="1" applyBorder="1" applyAlignment="1">
      <alignment vertical="center" wrapText="1"/>
    </xf>
    <xf numFmtId="0" fontId="118" fillId="11" borderId="52" xfId="0" applyFont="1" applyFill="1" applyBorder="1" applyAlignment="1">
      <alignment vertical="center"/>
    </xf>
    <xf numFmtId="0" fontId="121" fillId="11" borderId="52" xfId="0" applyFont="1" applyFill="1" applyBorder="1" applyAlignment="1">
      <alignment vertical="center"/>
    </xf>
    <xf numFmtId="0" fontId="118" fillId="11" borderId="52" xfId="0" applyFont="1" applyFill="1" applyBorder="1" applyAlignment="1">
      <alignment vertical="center" wrapText="1"/>
    </xf>
    <xf numFmtId="3" fontId="118" fillId="11" borderId="52" xfId="0" applyNumberFormat="1" applyFont="1" applyFill="1" applyBorder="1" applyAlignment="1">
      <alignment vertical="center"/>
    </xf>
    <xf numFmtId="176" fontId="103" fillId="11" borderId="52" xfId="0" applyNumberFormat="1" applyFont="1" applyFill="1" applyBorder="1" applyAlignment="1">
      <alignment horizontal="center" vertical="center" wrapText="1"/>
    </xf>
    <xf numFmtId="0" fontId="122" fillId="11" borderId="52" xfId="3" applyFont="1" applyFill="1" applyBorder="1" applyAlignment="1">
      <alignment horizontal="center" vertical="center" wrapText="1"/>
    </xf>
    <xf numFmtId="4" fontId="32" fillId="11" borderId="150" xfId="5" quotePrefix="1" applyNumberFormat="1" applyFont="1" applyFill="1" applyBorder="1" applyAlignment="1">
      <alignment horizontal="center" vertical="center"/>
    </xf>
    <xf numFmtId="165" fontId="32" fillId="11" borderId="52" xfId="3" applyNumberFormat="1" applyFont="1" applyFill="1" applyBorder="1" applyAlignment="1">
      <alignment horizontal="center" vertical="center"/>
    </xf>
    <xf numFmtId="0" fontId="121" fillId="11" borderId="52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9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98" xfId="0" applyFont="1" applyFill="1" applyBorder="1" applyAlignment="1">
      <alignment horizontal="center" vertical="center" wrapText="1"/>
    </xf>
    <xf numFmtId="43" fontId="3" fillId="3" borderId="31" xfId="1" applyFont="1" applyFill="1" applyBorder="1" applyAlignment="1">
      <alignment horizontal="center" vertical="center" wrapText="1"/>
    </xf>
    <xf numFmtId="43" fontId="3" fillId="3" borderId="98" xfId="1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/>
    </xf>
    <xf numFmtId="9" fontId="11" fillId="0" borderId="6" xfId="0" applyNumberFormat="1" applyFont="1" applyBorder="1" applyAlignment="1">
      <alignment horizontal="center" vertical="center" wrapText="1"/>
    </xf>
    <xf numFmtId="0" fontId="3" fillId="2" borderId="102" xfId="0" applyFont="1" applyFill="1" applyBorder="1" applyAlignment="1">
      <alignment horizontal="center" vertical="center" wrapText="1"/>
    </xf>
    <xf numFmtId="0" fontId="3" fillId="2" borderId="127" xfId="0" applyFont="1" applyFill="1" applyBorder="1" applyAlignment="1">
      <alignment horizontal="center" vertical="center" wrapText="1"/>
    </xf>
    <xf numFmtId="0" fontId="3" fillId="2" borderId="15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98" xfId="0" applyFont="1" applyFill="1" applyBorder="1" applyAlignment="1">
      <alignment horizontal="center" vertical="center" wrapText="1"/>
    </xf>
    <xf numFmtId="43" fontId="10" fillId="6" borderId="31" xfId="1" applyFont="1" applyFill="1" applyBorder="1" applyAlignment="1">
      <alignment horizontal="center" vertical="center" wrapText="1"/>
    </xf>
    <xf numFmtId="43" fontId="10" fillId="6" borderId="98" xfId="1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/>
    </xf>
    <xf numFmtId="0" fontId="2" fillId="3" borderId="52" xfId="0" applyFont="1" applyFill="1" applyBorder="1" applyAlignment="1">
      <alignment horizontal="center" vertical="center" wrapText="1"/>
    </xf>
    <xf numFmtId="0" fontId="3" fillId="13" borderId="80" xfId="0" applyFont="1" applyFill="1" applyBorder="1" applyAlignment="1">
      <alignment horizontal="center" vertical="center" wrapText="1"/>
    </xf>
    <xf numFmtId="0" fontId="3" fillId="13" borderId="81" xfId="0" applyFont="1" applyFill="1" applyBorder="1" applyAlignment="1">
      <alignment horizontal="center" vertical="center" wrapText="1"/>
    </xf>
    <xf numFmtId="0" fontId="3" fillId="13" borderId="82" xfId="0" applyFont="1" applyFill="1" applyBorder="1" applyAlignment="1">
      <alignment horizontal="center" vertical="center" wrapText="1"/>
    </xf>
    <xf numFmtId="0" fontId="3" fillId="12" borderId="102" xfId="0" applyFont="1" applyFill="1" applyBorder="1" applyAlignment="1">
      <alignment horizontal="center" vertical="center" wrapText="1"/>
    </xf>
    <xf numFmtId="0" fontId="3" fillId="12" borderId="127" xfId="0" applyFont="1" applyFill="1" applyBorder="1" applyAlignment="1">
      <alignment horizontal="center" vertical="center" wrapText="1"/>
    </xf>
    <xf numFmtId="0" fontId="3" fillId="12" borderId="150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3" fillId="4" borderId="127" xfId="0" applyFont="1" applyFill="1" applyBorder="1" applyAlignment="1">
      <alignment horizontal="center" vertical="center" wrapText="1"/>
    </xf>
    <xf numFmtId="0" fontId="3" fillId="4" borderId="15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5" fillId="2" borderId="152" xfId="0" applyFont="1" applyFill="1" applyBorder="1" applyAlignment="1">
      <alignment horizontal="center" vertical="center" wrapText="1"/>
    </xf>
    <xf numFmtId="0" fontId="45" fillId="2" borderId="153" xfId="0" applyFont="1" applyFill="1" applyBorder="1" applyAlignment="1">
      <alignment horizontal="center" vertical="center"/>
    </xf>
    <xf numFmtId="0" fontId="45" fillId="2" borderId="154" xfId="0" applyFont="1" applyFill="1" applyBorder="1" applyAlignment="1">
      <alignment horizontal="center" vertical="center"/>
    </xf>
    <xf numFmtId="0" fontId="45" fillId="6" borderId="152" xfId="0" applyFont="1" applyFill="1" applyBorder="1" applyAlignment="1">
      <alignment horizontal="center" vertical="center" wrapText="1"/>
    </xf>
    <xf numFmtId="0" fontId="45" fillId="6" borderId="153" xfId="0" applyFont="1" applyFill="1" applyBorder="1" applyAlignment="1">
      <alignment horizontal="center" vertical="center"/>
    </xf>
    <xf numFmtId="0" fontId="45" fillId="6" borderId="154" xfId="0" applyFont="1" applyFill="1" applyBorder="1" applyAlignment="1">
      <alignment horizontal="center" vertical="center"/>
    </xf>
    <xf numFmtId="0" fontId="45" fillId="16" borderId="152" xfId="0" applyFont="1" applyFill="1" applyBorder="1" applyAlignment="1">
      <alignment horizontal="center" vertical="center" wrapText="1"/>
    </xf>
    <xf numFmtId="0" fontId="45" fillId="16" borderId="153" xfId="0" applyFont="1" applyFill="1" applyBorder="1" applyAlignment="1">
      <alignment horizontal="center" vertical="center"/>
    </xf>
    <xf numFmtId="0" fontId="45" fillId="16" borderId="154" xfId="0" applyFont="1" applyFill="1" applyBorder="1" applyAlignment="1">
      <alignment horizontal="center" vertical="center"/>
    </xf>
    <xf numFmtId="0" fontId="45" fillId="16" borderId="151" xfId="0" applyFont="1" applyFill="1" applyBorder="1" applyAlignment="1">
      <alignment horizontal="center" vertical="center"/>
    </xf>
    <xf numFmtId="0" fontId="45" fillId="16" borderId="155" xfId="0" applyFont="1" applyFill="1" applyBorder="1" applyAlignment="1">
      <alignment horizontal="center" vertical="center"/>
    </xf>
    <xf numFmtId="0" fontId="45" fillId="17" borderId="152" xfId="0" applyFont="1" applyFill="1" applyBorder="1" applyAlignment="1">
      <alignment horizontal="center" vertical="center" wrapText="1"/>
    </xf>
    <xf numFmtId="0" fontId="45" fillId="17" borderId="153" xfId="0" applyFont="1" applyFill="1" applyBorder="1" applyAlignment="1">
      <alignment horizontal="center" vertical="center"/>
    </xf>
    <xf numFmtId="0" fontId="45" fillId="17" borderId="154" xfId="0" applyFont="1" applyFill="1" applyBorder="1" applyAlignment="1">
      <alignment horizontal="center" vertical="center"/>
    </xf>
    <xf numFmtId="0" fontId="45" fillId="17" borderId="153" xfId="0" applyFont="1" applyFill="1" applyBorder="1" applyAlignment="1">
      <alignment horizontal="center" vertical="center" wrapText="1"/>
    </xf>
    <xf numFmtId="0" fontId="45" fillId="19" borderId="152" xfId="0" applyFont="1" applyFill="1" applyBorder="1" applyAlignment="1">
      <alignment horizontal="center" vertical="center" wrapText="1"/>
    </xf>
    <xf numFmtId="0" fontId="45" fillId="19" borderId="153" xfId="0" applyFont="1" applyFill="1" applyBorder="1" applyAlignment="1">
      <alignment horizontal="center" vertical="center"/>
    </xf>
    <xf numFmtId="0" fontId="45" fillId="19" borderId="154" xfId="0" applyFont="1" applyFill="1" applyBorder="1" applyAlignment="1">
      <alignment horizontal="center" vertical="center"/>
    </xf>
    <xf numFmtId="0" fontId="45" fillId="16" borderId="151" xfId="0" applyFont="1" applyFill="1" applyBorder="1" applyAlignment="1">
      <alignment horizontal="center" vertical="center" wrapText="1"/>
    </xf>
    <xf numFmtId="0" fontId="45" fillId="16" borderId="155" xfId="0" applyFont="1" applyFill="1" applyBorder="1" applyAlignment="1">
      <alignment horizontal="center" vertical="center" wrapText="1"/>
    </xf>
    <xf numFmtId="43" fontId="90" fillId="6" borderId="55" xfId="1" applyFont="1" applyFill="1" applyBorder="1" applyAlignment="1">
      <alignment horizontal="center" vertical="center" wrapText="1"/>
    </xf>
    <xf numFmtId="43" fontId="90" fillId="6" borderId="40" xfId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43" fontId="41" fillId="0" borderId="0" xfId="0" applyNumberFormat="1" applyFont="1" applyAlignment="1">
      <alignment horizontal="center"/>
    </xf>
    <xf numFmtId="0" fontId="41" fillId="0" borderId="97" xfId="0" applyFont="1" applyBorder="1" applyAlignment="1">
      <alignment horizontal="center"/>
    </xf>
    <xf numFmtId="0" fontId="41" fillId="0" borderId="98" xfId="0" applyFont="1" applyBorder="1" applyAlignment="1">
      <alignment horizontal="center"/>
    </xf>
    <xf numFmtId="0" fontId="41" fillId="0" borderId="94" xfId="0" applyFont="1" applyBorder="1" applyAlignment="1">
      <alignment horizontal="center"/>
    </xf>
    <xf numFmtId="0" fontId="88" fillId="4" borderId="185" xfId="0" applyFont="1" applyFill="1" applyBorder="1" applyAlignment="1">
      <alignment horizontal="center" vertical="center" wrapText="1"/>
    </xf>
    <xf numFmtId="0" fontId="88" fillId="4" borderId="57" xfId="0" applyFont="1" applyFill="1" applyBorder="1" applyAlignment="1">
      <alignment horizontal="center" vertical="center" wrapText="1"/>
    </xf>
    <xf numFmtId="0" fontId="88" fillId="4" borderId="55" xfId="0" applyFont="1" applyFill="1" applyBorder="1" applyAlignment="1">
      <alignment horizontal="center" vertical="center" wrapText="1"/>
    </xf>
    <xf numFmtId="0" fontId="88" fillId="4" borderId="40" xfId="0" applyFont="1" applyFill="1" applyBorder="1" applyAlignment="1">
      <alignment horizontal="center" vertical="center" wrapText="1"/>
    </xf>
    <xf numFmtId="0" fontId="89" fillId="4" borderId="55" xfId="0" applyFont="1" applyFill="1" applyBorder="1" applyAlignment="1">
      <alignment horizontal="center" vertical="center" wrapText="1"/>
    </xf>
    <xf numFmtId="0" fontId="89" fillId="4" borderId="40" xfId="0" applyFont="1" applyFill="1" applyBorder="1" applyAlignment="1">
      <alignment horizontal="center" vertical="center" wrapText="1"/>
    </xf>
    <xf numFmtId="43" fontId="89" fillId="4" borderId="55" xfId="1" applyFont="1" applyFill="1" applyBorder="1" applyAlignment="1">
      <alignment horizontal="center" vertical="center" wrapText="1"/>
    </xf>
    <xf numFmtId="43" fontId="89" fillId="4" borderId="40" xfId="1" applyFont="1" applyFill="1" applyBorder="1" applyAlignment="1">
      <alignment horizontal="center" vertical="center" wrapText="1"/>
    </xf>
    <xf numFmtId="43" fontId="90" fillId="4" borderId="55" xfId="1" applyFont="1" applyFill="1" applyBorder="1" applyAlignment="1">
      <alignment horizontal="center" vertical="center" wrapText="1"/>
    </xf>
    <xf numFmtId="43" fontId="90" fillId="4" borderId="40" xfId="1" applyFont="1" applyFill="1" applyBorder="1" applyAlignment="1">
      <alignment horizontal="center" vertical="center" wrapText="1"/>
    </xf>
    <xf numFmtId="0" fontId="78" fillId="4" borderId="55" xfId="0" applyFont="1" applyFill="1" applyBorder="1" applyAlignment="1">
      <alignment horizontal="center" vertical="center" wrapText="1"/>
    </xf>
    <xf numFmtId="0" fontId="78" fillId="4" borderId="40" xfId="0" applyFont="1" applyFill="1" applyBorder="1" applyAlignment="1">
      <alignment horizontal="center" vertical="center" wrapText="1"/>
    </xf>
    <xf numFmtId="0" fontId="89" fillId="26" borderId="55" xfId="0" applyFont="1" applyFill="1" applyBorder="1" applyAlignment="1">
      <alignment horizontal="center" vertical="center" wrapText="1"/>
    </xf>
    <xf numFmtId="0" fontId="89" fillId="17" borderId="55" xfId="0" applyFont="1" applyFill="1" applyBorder="1" applyAlignment="1">
      <alignment horizontal="center" vertical="center" wrapText="1"/>
    </xf>
    <xf numFmtId="0" fontId="89" fillId="17" borderId="56" xfId="0" applyFont="1" applyFill="1" applyBorder="1" applyAlignment="1">
      <alignment horizontal="center" vertical="center" wrapText="1"/>
    </xf>
    <xf numFmtId="0" fontId="49" fillId="4" borderId="80" xfId="0" applyFont="1" applyFill="1" applyBorder="1" applyAlignment="1">
      <alignment horizontal="center" vertical="center" wrapText="1"/>
    </xf>
    <xf numFmtId="0" fontId="49" fillId="4" borderId="81" xfId="0" applyFont="1" applyFill="1" applyBorder="1" applyAlignment="1">
      <alignment horizontal="center" vertical="center" wrapText="1"/>
    </xf>
    <xf numFmtId="0" fontId="49" fillId="4" borderId="82" xfId="0" applyFont="1" applyFill="1" applyBorder="1" applyAlignment="1">
      <alignment horizontal="center" vertical="center" wrapText="1"/>
    </xf>
    <xf numFmtId="0" fontId="70" fillId="4" borderId="185" xfId="0" applyFont="1" applyFill="1" applyBorder="1" applyAlignment="1">
      <alignment horizontal="center" vertical="center" wrapText="1"/>
    </xf>
    <xf numFmtId="0" fontId="70" fillId="4" borderId="57" xfId="0" applyFont="1" applyFill="1" applyBorder="1" applyAlignment="1">
      <alignment horizontal="center" vertical="center" wrapText="1"/>
    </xf>
    <xf numFmtId="9" fontId="71" fillId="0" borderId="0" xfId="0" applyNumberFormat="1" applyFont="1" applyAlignment="1">
      <alignment horizontal="center" vertical="center" wrapText="1"/>
    </xf>
    <xf numFmtId="0" fontId="44" fillId="6" borderId="96" xfId="0" applyFont="1" applyFill="1" applyBorder="1" applyAlignment="1">
      <alignment horizontal="center"/>
    </xf>
    <xf numFmtId="0" fontId="32" fillId="11" borderId="102" xfId="3" applyFont="1" applyFill="1" applyBorder="1" applyAlignment="1">
      <alignment horizontal="center" vertical="center" wrapText="1"/>
    </xf>
    <xf numFmtId="0" fontId="32" fillId="11" borderId="150" xfId="3" applyFont="1" applyFill="1" applyBorder="1" applyAlignment="1">
      <alignment horizontal="center" vertical="center" wrapText="1"/>
    </xf>
    <xf numFmtId="4" fontId="32" fillId="11" borderId="52" xfId="3" applyNumberFormat="1" applyFont="1" applyFill="1" applyBorder="1" applyAlignment="1">
      <alignment horizontal="center" vertical="center" wrapText="1"/>
    </xf>
    <xf numFmtId="0" fontId="32" fillId="11" borderId="52" xfId="3" applyFont="1" applyFill="1" applyBorder="1" applyAlignment="1">
      <alignment horizontal="center" vertical="center" wrapText="1"/>
    </xf>
    <xf numFmtId="0" fontId="105" fillId="32" borderId="52" xfId="3" applyFont="1" applyFill="1" applyBorder="1" applyAlignment="1">
      <alignment horizontal="center" vertical="center" wrapText="1"/>
    </xf>
    <xf numFmtId="0" fontId="115" fillId="32" borderId="52" xfId="3" applyFont="1" applyFill="1" applyBorder="1" applyAlignment="1">
      <alignment horizontal="left" vertical="center" wrapText="1"/>
    </xf>
    <xf numFmtId="0" fontId="32" fillId="11" borderId="102" xfId="3" applyFont="1" applyFill="1" applyBorder="1" applyAlignment="1">
      <alignment horizontal="left" vertical="center" wrapText="1"/>
    </xf>
    <xf numFmtId="0" fontId="32" fillId="11" borderId="150" xfId="3" applyFont="1" applyFill="1" applyBorder="1" applyAlignment="1">
      <alignment horizontal="left" vertical="center" wrapText="1"/>
    </xf>
    <xf numFmtId="10" fontId="105" fillId="32" borderId="52" xfId="3" applyNumberFormat="1" applyFont="1" applyFill="1" applyBorder="1" applyAlignment="1">
      <alignment horizontal="center" vertical="center" wrapText="1"/>
    </xf>
    <xf numFmtId="0" fontId="110" fillId="11" borderId="32" xfId="0" applyFont="1" applyFill="1" applyBorder="1" applyAlignment="1">
      <alignment horizontal="center" vertical="center" wrapText="1"/>
    </xf>
    <xf numFmtId="0" fontId="107" fillId="32" borderId="52" xfId="3" applyFont="1" applyFill="1" applyBorder="1" applyAlignment="1">
      <alignment horizontal="center" vertical="center" wrapText="1"/>
    </xf>
    <xf numFmtId="0" fontId="105" fillId="32" borderId="52" xfId="3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103" fillId="32" borderId="31" xfId="0" applyFont="1" applyFill="1" applyBorder="1" applyAlignment="1">
      <alignment horizontal="center" vertical="center"/>
    </xf>
    <xf numFmtId="0" fontId="103" fillId="32" borderId="98" xfId="0" applyFont="1" applyFill="1" applyBorder="1" applyAlignment="1">
      <alignment horizontal="center" vertical="center"/>
    </xf>
    <xf numFmtId="0" fontId="105" fillId="32" borderId="52" xfId="3" applyFont="1" applyFill="1" applyBorder="1" applyAlignment="1" applyProtection="1">
      <alignment horizontal="center" vertical="center" wrapText="1"/>
    </xf>
    <xf numFmtId="0" fontId="105" fillId="32" borderId="124" xfId="3" applyFont="1" applyFill="1" applyBorder="1" applyAlignment="1">
      <alignment horizontal="center" vertical="center" wrapText="1"/>
    </xf>
    <xf numFmtId="0" fontId="105" fillId="32" borderId="184" xfId="3" applyFont="1" applyFill="1" applyBorder="1" applyAlignment="1">
      <alignment horizontal="center" vertical="center" wrapText="1"/>
    </xf>
    <xf numFmtId="0" fontId="105" fillId="32" borderId="94" xfId="3" applyFont="1" applyFill="1" applyBorder="1" applyAlignment="1">
      <alignment horizontal="center" vertical="center" wrapText="1"/>
    </xf>
    <xf numFmtId="0" fontId="105" fillId="32" borderId="97" xfId="3" applyFont="1" applyFill="1" applyBorder="1" applyAlignment="1">
      <alignment horizontal="center" vertical="center" wrapText="1"/>
    </xf>
    <xf numFmtId="0" fontId="32" fillId="11" borderId="52" xfId="3" quotePrefix="1" applyFont="1" applyFill="1" applyBorder="1" applyAlignment="1">
      <alignment horizontal="center" vertical="center" wrapText="1"/>
    </xf>
    <xf numFmtId="0" fontId="103" fillId="11" borderId="102" xfId="0" applyFont="1" applyFill="1" applyBorder="1" applyAlignment="1">
      <alignment horizontal="center" vertical="center"/>
    </xf>
    <xf numFmtId="0" fontId="103" fillId="11" borderId="150" xfId="0" applyFont="1" applyFill="1" applyBorder="1" applyAlignment="1">
      <alignment horizontal="center" vertical="center"/>
    </xf>
    <xf numFmtId="0" fontId="103" fillId="11" borderId="102" xfId="0" quotePrefix="1" applyFont="1" applyFill="1" applyBorder="1" applyAlignment="1">
      <alignment horizontal="center" vertical="center" wrapText="1"/>
    </xf>
    <xf numFmtId="0" fontId="103" fillId="11" borderId="150" xfId="0" quotePrefix="1" applyFont="1" applyFill="1" applyBorder="1" applyAlignment="1">
      <alignment horizontal="center" vertical="center"/>
    </xf>
    <xf numFmtId="0" fontId="103" fillId="32" borderId="52" xfId="0" applyFont="1" applyFill="1" applyBorder="1" applyAlignment="1">
      <alignment horizontal="center" vertical="center"/>
    </xf>
    <xf numFmtId="0" fontId="107" fillId="32" borderId="31" xfId="0" applyFont="1" applyFill="1" applyBorder="1" applyAlignment="1">
      <alignment horizontal="center" vertical="center" wrapText="1"/>
    </xf>
    <xf numFmtId="0" fontId="107" fillId="32" borderId="30" xfId="0" applyFont="1" applyFill="1" applyBorder="1" applyAlignment="1">
      <alignment horizontal="center" vertical="center" wrapText="1"/>
    </xf>
    <xf numFmtId="0" fontId="107" fillId="32" borderId="98" xfId="0" applyFont="1" applyFill="1" applyBorder="1" applyAlignment="1">
      <alignment horizontal="center" vertical="center" wrapText="1"/>
    </xf>
    <xf numFmtId="0" fontId="107" fillId="32" borderId="52" xfId="0" applyFont="1" applyFill="1" applyBorder="1" applyAlignment="1">
      <alignment horizontal="center" vertical="center"/>
    </xf>
    <xf numFmtId="0" fontId="32" fillId="11" borderId="52" xfId="21" applyFont="1" applyFill="1" applyBorder="1" applyAlignment="1">
      <alignment horizontal="center" vertical="center" wrapText="1"/>
    </xf>
    <xf numFmtId="0" fontId="103" fillId="11" borderId="52" xfId="0" applyFont="1" applyFill="1" applyBorder="1" applyAlignment="1">
      <alignment horizontal="center" vertical="center" wrapText="1"/>
    </xf>
    <xf numFmtId="0" fontId="32" fillId="11" borderId="31" xfId="0" applyFont="1" applyFill="1" applyBorder="1" applyAlignment="1">
      <alignment horizontal="center" vertical="center" wrapText="1"/>
    </xf>
    <xf numFmtId="0" fontId="32" fillId="11" borderId="30" xfId="0" applyFont="1" applyFill="1" applyBorder="1" applyAlignment="1">
      <alignment horizontal="center" vertical="center" wrapText="1"/>
    </xf>
    <xf numFmtId="0" fontId="32" fillId="11" borderId="98" xfId="0" applyFont="1" applyFill="1" applyBorder="1" applyAlignment="1">
      <alignment horizontal="center" vertical="center" wrapText="1"/>
    </xf>
    <xf numFmtId="0" fontId="103" fillId="11" borderId="52" xfId="0" applyFont="1" applyFill="1" applyBorder="1" applyAlignment="1">
      <alignment horizontal="center" vertical="center"/>
    </xf>
    <xf numFmtId="0" fontId="101" fillId="11" borderId="0" xfId="20" applyFont="1" applyFill="1" applyAlignment="1">
      <alignment horizontal="center" vertical="center"/>
    </xf>
    <xf numFmtId="0" fontId="119" fillId="11" borderId="52" xfId="0" applyFont="1" applyFill="1" applyBorder="1" applyAlignment="1">
      <alignment horizontal="left" wrapText="1"/>
    </xf>
    <xf numFmtId="0" fontId="121" fillId="11" borderId="52" xfId="0" applyFont="1" applyFill="1" applyBorder="1" applyAlignment="1">
      <alignment horizontal="left" vertical="center" wrapText="1"/>
    </xf>
    <xf numFmtId="0" fontId="119" fillId="11" borderId="52" xfId="3" applyFont="1" applyFill="1" applyBorder="1" applyAlignment="1">
      <alignment horizontal="center" vertical="center" wrapText="1"/>
    </xf>
    <xf numFmtId="0" fontId="124" fillId="11" borderId="52" xfId="0" applyFont="1" applyFill="1" applyBorder="1" applyAlignment="1">
      <alignment horizontal="center" vertical="center" wrapText="1"/>
    </xf>
    <xf numFmtId="0" fontId="120" fillId="11" borderId="52" xfId="0" applyFont="1" applyFill="1" applyBorder="1" applyAlignment="1">
      <alignment horizontal="center" vertical="center" wrapText="1"/>
    </xf>
    <xf numFmtId="0" fontId="119" fillId="11" borderId="5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8" fillId="4" borderId="2" xfId="4" applyFont="1" applyFill="1" applyBorder="1" applyAlignment="1">
      <alignment horizontal="center" vertical="center" wrapText="1"/>
    </xf>
    <xf numFmtId="0" fontId="28" fillId="4" borderId="1" xfId="4" applyFont="1" applyFill="1" applyBorder="1" applyAlignment="1">
      <alignment horizontal="center" vertical="center" wrapText="1"/>
    </xf>
    <xf numFmtId="4" fontId="30" fillId="4" borderId="35" xfId="12" applyNumberFormat="1" applyFont="1" applyFill="1" applyBorder="1" applyAlignment="1">
      <alignment horizontal="center" vertical="center"/>
    </xf>
    <xf numFmtId="4" fontId="30" fillId="4" borderId="1" xfId="12" applyNumberFormat="1" applyFont="1" applyFill="1" applyBorder="1" applyAlignment="1">
      <alignment horizontal="center" vertical="center"/>
    </xf>
    <xf numFmtId="4" fontId="30" fillId="4" borderId="130" xfId="12" applyNumberFormat="1" applyFont="1" applyFill="1" applyBorder="1" applyAlignment="1">
      <alignment horizontal="center" vertical="center"/>
    </xf>
    <xf numFmtId="0" fontId="33" fillId="0" borderId="8" xfId="4" applyFont="1" applyBorder="1" applyAlignment="1">
      <alignment horizontal="center" vertical="center" wrapText="1"/>
    </xf>
    <xf numFmtId="0" fontId="33" fillId="0" borderId="7" xfId="4" applyFont="1" applyBorder="1" applyAlignment="1">
      <alignment horizontal="center" vertical="center" wrapText="1"/>
    </xf>
    <xf numFmtId="0" fontId="33" fillId="0" borderId="118" xfId="4" applyFont="1" applyBorder="1" applyAlignment="1">
      <alignment horizontal="center" vertical="center" wrapText="1"/>
    </xf>
    <xf numFmtId="0" fontId="33" fillId="0" borderId="5" xfId="4" applyFont="1" applyBorder="1" applyAlignment="1">
      <alignment horizontal="center" vertical="center" wrapText="1"/>
    </xf>
    <xf numFmtId="0" fontId="33" fillId="0" borderId="3" xfId="4" applyFont="1" applyBorder="1" applyAlignment="1">
      <alignment horizontal="center" vertical="center" wrapText="1"/>
    </xf>
    <xf numFmtId="0" fontId="33" fillId="0" borderId="113" xfId="4" applyFont="1" applyBorder="1" applyAlignment="1">
      <alignment horizontal="center" vertical="center" wrapText="1"/>
    </xf>
    <xf numFmtId="4" fontId="30" fillId="0" borderId="7" xfId="12" applyNumberFormat="1" applyFont="1" applyBorder="1" applyAlignment="1">
      <alignment horizontal="center" vertical="center" wrapText="1"/>
    </xf>
    <xf numFmtId="4" fontId="30" fillId="0" borderId="118" xfId="12" applyNumberFormat="1" applyFont="1" applyBorder="1" applyAlignment="1">
      <alignment horizontal="center" vertical="center" wrapText="1"/>
    </xf>
    <xf numFmtId="4" fontId="30" fillId="0" borderId="3" xfId="12" applyNumberFormat="1" applyFont="1" applyBorder="1" applyAlignment="1">
      <alignment horizontal="center" vertical="center" wrapText="1"/>
    </xf>
    <xf numFmtId="4" fontId="30" fillId="0" borderId="113" xfId="12" applyNumberFormat="1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9" fillId="0" borderId="144" xfId="4" applyFont="1" applyBorder="1" applyAlignment="1">
      <alignment horizontal="center" vertical="center" wrapText="1"/>
    </xf>
    <xf numFmtId="4" fontId="27" fillId="0" borderId="14" xfId="10" applyNumberFormat="1" applyFont="1" applyBorder="1" applyAlignment="1">
      <alignment horizontal="center" vertical="center"/>
    </xf>
    <xf numFmtId="4" fontId="27" fillId="0" borderId="30" xfId="10" applyNumberFormat="1" applyFont="1" applyBorder="1" applyAlignment="1">
      <alignment horizontal="center" vertical="center"/>
    </xf>
    <xf numFmtId="4" fontId="27" fillId="0" borderId="84" xfId="10" applyNumberFormat="1" applyFont="1" applyBorder="1" applyAlignment="1">
      <alignment horizontal="center" vertical="center"/>
    </xf>
    <xf numFmtId="4" fontId="27" fillId="0" borderId="148" xfId="10" applyNumberFormat="1" applyFont="1" applyBorder="1" applyAlignment="1">
      <alignment horizontal="center" vertical="center"/>
    </xf>
    <xf numFmtId="4" fontId="27" fillId="0" borderId="7" xfId="10" applyNumberFormat="1" applyFont="1" applyBorder="1" applyAlignment="1">
      <alignment horizontal="center" vertical="center"/>
    </xf>
    <xf numFmtId="4" fontId="27" fillId="0" borderId="118" xfId="10" applyNumberFormat="1" applyFont="1" applyBorder="1" applyAlignment="1">
      <alignment horizontal="center" vertical="center"/>
    </xf>
    <xf numFmtId="4" fontId="27" fillId="0" borderId="32" xfId="10" applyNumberFormat="1" applyFont="1" applyBorder="1" applyAlignment="1">
      <alignment horizontal="center" vertical="center"/>
    </xf>
    <xf numFmtId="4" fontId="27" fillId="0" borderId="0" xfId="10" applyNumberFormat="1" applyFont="1" applyAlignment="1">
      <alignment horizontal="center" vertical="center"/>
    </xf>
    <xf numFmtId="4" fontId="27" fillId="0" borderId="72" xfId="10" applyNumberFormat="1" applyFont="1" applyBorder="1" applyAlignment="1">
      <alignment horizontal="center" vertical="center"/>
    </xf>
    <xf numFmtId="4" fontId="27" fillId="0" borderId="132" xfId="10" applyNumberFormat="1" applyFont="1" applyBorder="1" applyAlignment="1">
      <alignment horizontal="center" vertical="center"/>
    </xf>
    <xf numFmtId="4" fontId="27" fillId="0" borderId="3" xfId="10" applyNumberFormat="1" applyFont="1" applyBorder="1" applyAlignment="1">
      <alignment horizontal="center" vertical="center"/>
    </xf>
    <xf numFmtId="4" fontId="27" fillId="0" borderId="113" xfId="10" applyNumberFormat="1" applyFont="1" applyBorder="1" applyAlignment="1">
      <alignment horizontal="center" vertical="center"/>
    </xf>
    <xf numFmtId="0" fontId="8" fillId="0" borderId="2" xfId="11" applyBorder="1" applyAlignment="1">
      <alignment horizontal="center" vertical="center" wrapText="1"/>
    </xf>
    <xf numFmtId="0" fontId="8" fillId="0" borderId="1" xfId="11" applyBorder="1" applyAlignment="1">
      <alignment horizontal="center" vertical="center" wrapText="1"/>
    </xf>
    <xf numFmtId="4" fontId="8" fillId="0" borderId="35" xfId="12" applyNumberFormat="1" applyBorder="1" applyAlignment="1">
      <alignment horizontal="center" vertical="center"/>
    </xf>
    <xf numFmtId="4" fontId="8" fillId="0" borderId="1" xfId="12" applyNumberFormat="1" applyBorder="1" applyAlignment="1">
      <alignment horizontal="center" vertical="center"/>
    </xf>
    <xf numFmtId="4" fontId="8" fillId="0" borderId="130" xfId="12" applyNumberFormat="1" applyBorder="1" applyAlignment="1">
      <alignment horizontal="center" vertical="center"/>
    </xf>
    <xf numFmtId="0" fontId="28" fillId="0" borderId="5" xfId="4" applyFont="1" applyBorder="1" applyAlignment="1">
      <alignment horizontal="center" vertical="center" wrapText="1"/>
    </xf>
    <xf numFmtId="0" fontId="28" fillId="0" borderId="3" xfId="4" applyFont="1" applyBorder="1" applyAlignment="1">
      <alignment horizontal="center" vertical="center" wrapText="1"/>
    </xf>
    <xf numFmtId="168" fontId="30" fillId="11" borderId="2" xfId="0" applyNumberFormat="1" applyFont="1" applyFill="1" applyBorder="1" applyAlignment="1">
      <alignment horizontal="center"/>
    </xf>
    <xf numFmtId="168" fontId="30" fillId="11" borderId="1" xfId="0" applyNumberFormat="1" applyFont="1" applyFill="1" applyBorder="1" applyAlignment="1">
      <alignment horizontal="center"/>
    </xf>
    <xf numFmtId="168" fontId="30" fillId="11" borderId="130" xfId="0" applyNumberFormat="1" applyFont="1" applyFill="1" applyBorder="1" applyAlignment="1">
      <alignment horizontal="center"/>
    </xf>
    <xf numFmtId="0" fontId="30" fillId="18" borderId="8" xfId="4" applyFont="1" applyFill="1" applyBorder="1" applyAlignment="1">
      <alignment horizontal="center" vertical="center"/>
    </xf>
    <xf numFmtId="0" fontId="30" fillId="18" borderId="7" xfId="4" applyFont="1" applyFill="1" applyBorder="1" applyAlignment="1">
      <alignment horizontal="center" vertical="center"/>
    </xf>
    <xf numFmtId="0" fontId="30" fillId="18" borderId="5" xfId="4" applyFont="1" applyFill="1" applyBorder="1" applyAlignment="1">
      <alignment horizontal="center" vertical="center"/>
    </xf>
    <xf numFmtId="0" fontId="30" fillId="18" borderId="3" xfId="4" applyFont="1" applyFill="1" applyBorder="1" applyAlignment="1">
      <alignment horizontal="center" vertical="center"/>
    </xf>
    <xf numFmtId="0" fontId="30" fillId="18" borderId="14" xfId="4" applyFont="1" applyFill="1" applyBorder="1" applyAlignment="1">
      <alignment horizontal="center" vertical="center" wrapText="1"/>
    </xf>
    <xf numFmtId="0" fontId="30" fillId="18" borderId="84" xfId="4" applyFont="1" applyFill="1" applyBorder="1" applyAlignment="1">
      <alignment horizontal="center" vertical="center" wrapText="1"/>
    </xf>
    <xf numFmtId="0" fontId="30" fillId="18" borderId="148" xfId="4" applyFont="1" applyFill="1" applyBorder="1" applyAlignment="1">
      <alignment horizontal="center" vertical="center" wrapText="1"/>
    </xf>
    <xf numFmtId="0" fontId="30" fillId="18" borderId="7" xfId="4" applyFont="1" applyFill="1" applyBorder="1" applyAlignment="1">
      <alignment horizontal="center" vertical="center" wrapText="1"/>
    </xf>
    <xf numFmtId="0" fontId="30" fillId="18" borderId="118" xfId="4" applyFont="1" applyFill="1" applyBorder="1" applyAlignment="1">
      <alignment horizontal="center" vertical="center" wrapText="1"/>
    </xf>
    <xf numFmtId="0" fontId="30" fillId="18" borderId="132" xfId="4" applyFont="1" applyFill="1" applyBorder="1" applyAlignment="1">
      <alignment horizontal="center" vertical="center" wrapText="1"/>
    </xf>
    <xf numFmtId="0" fontId="30" fillId="18" borderId="3" xfId="4" applyFont="1" applyFill="1" applyBorder="1" applyAlignment="1">
      <alignment horizontal="center" vertical="center" wrapText="1"/>
    </xf>
    <xf numFmtId="0" fontId="30" fillId="18" borderId="113" xfId="4" applyFont="1" applyFill="1" applyBorder="1" applyAlignment="1">
      <alignment horizontal="center" vertical="center" wrapText="1"/>
    </xf>
    <xf numFmtId="0" fontId="0" fillId="11" borderId="126" xfId="0" applyFill="1" applyBorder="1" applyAlignment="1">
      <alignment horizontal="left" vertical="center" wrapText="1"/>
    </xf>
    <xf numFmtId="0" fontId="0" fillId="11" borderId="127" xfId="0" applyFill="1" applyBorder="1" applyAlignment="1">
      <alignment horizontal="left" vertical="center" wrapText="1"/>
    </xf>
    <xf numFmtId="0" fontId="0" fillId="11" borderId="128" xfId="0" applyFill="1" applyBorder="1" applyAlignment="1">
      <alignment horizontal="left" vertical="center" wrapText="1"/>
    </xf>
    <xf numFmtId="43" fontId="29" fillId="4" borderId="2" xfId="1" applyFont="1" applyFill="1" applyBorder="1" applyAlignment="1">
      <alignment horizontal="center"/>
    </xf>
    <xf numFmtId="43" fontId="29" fillId="4" borderId="1" xfId="1" applyFont="1" applyFill="1" applyBorder="1" applyAlignment="1">
      <alignment horizontal="center"/>
    </xf>
    <xf numFmtId="43" fontId="29" fillId="4" borderId="130" xfId="1" applyFont="1" applyFill="1" applyBorder="1" applyAlignment="1">
      <alignment horizontal="center"/>
    </xf>
    <xf numFmtId="0" fontId="0" fillId="11" borderId="126" xfId="0" applyFill="1" applyBorder="1" applyAlignment="1">
      <alignment horizontal="center"/>
    </xf>
    <xf numFmtId="0" fontId="0" fillId="11" borderId="127" xfId="0" applyFill="1" applyBorder="1" applyAlignment="1">
      <alignment horizontal="center"/>
    </xf>
    <xf numFmtId="0" fontId="0" fillId="11" borderId="128" xfId="0" applyFill="1" applyBorder="1" applyAlignment="1">
      <alignment horizontal="center"/>
    </xf>
    <xf numFmtId="4" fontId="30" fillId="0" borderId="2" xfId="12" applyNumberFormat="1" applyFont="1" applyBorder="1" applyAlignment="1">
      <alignment horizontal="center" vertical="center" wrapText="1"/>
    </xf>
    <xf numFmtId="4" fontId="30" fillId="0" borderId="129" xfId="12" applyNumberFormat="1" applyFont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33" xfId="0" applyFill="1" applyBorder="1" applyAlignment="1">
      <alignment horizontal="center"/>
    </xf>
    <xf numFmtId="0" fontId="9" fillId="0" borderId="136" xfId="4" applyFont="1" applyBorder="1" applyAlignment="1">
      <alignment horizontal="center" vertical="center" wrapText="1"/>
    </xf>
    <xf numFmtId="0" fontId="9" fillId="0" borderId="143" xfId="4" applyFont="1" applyBorder="1" applyAlignment="1">
      <alignment horizontal="center" vertical="center" wrapText="1"/>
    </xf>
    <xf numFmtId="4" fontId="8" fillId="0" borderId="29" xfId="11" applyNumberFormat="1" applyBorder="1" applyAlignment="1">
      <alignment horizontal="center" vertical="center"/>
    </xf>
    <xf numFmtId="4" fontId="8" fillId="0" borderId="144" xfId="11" applyNumberFormat="1" applyBorder="1" applyAlignment="1">
      <alignment horizontal="center" vertical="center"/>
    </xf>
    <xf numFmtId="17" fontId="8" fillId="0" borderId="32" xfId="11" applyNumberFormat="1" applyBorder="1" applyAlignment="1">
      <alignment horizontal="center" vertical="center"/>
    </xf>
    <xf numFmtId="17" fontId="8" fillId="0" borderId="132" xfId="11" applyNumberForma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118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113" xfId="0" applyFont="1" applyFill="1" applyBorder="1" applyAlignment="1">
      <alignment horizontal="center" vertical="center"/>
    </xf>
    <xf numFmtId="0" fontId="0" fillId="11" borderId="95" xfId="0" applyFill="1" applyBorder="1" applyAlignment="1">
      <alignment horizontal="left" vertical="center" wrapText="1"/>
    </xf>
    <xf numFmtId="0" fontId="0" fillId="11" borderId="96" xfId="0" applyFill="1" applyBorder="1" applyAlignment="1">
      <alignment horizontal="left" vertical="center" wrapText="1"/>
    </xf>
    <xf numFmtId="0" fontId="0" fillId="11" borderId="121" xfId="0" applyFill="1" applyBorder="1" applyAlignment="1">
      <alignment horizontal="left" vertical="center" wrapText="1"/>
    </xf>
    <xf numFmtId="0" fontId="0" fillId="11" borderId="122" xfId="0" applyFill="1" applyBorder="1" applyAlignment="1">
      <alignment horizontal="left" vertical="center" wrapText="1"/>
    </xf>
    <xf numFmtId="0" fontId="0" fillId="11" borderId="114" xfId="0" applyFill="1" applyBorder="1" applyAlignment="1">
      <alignment horizontal="left" vertical="center" wrapText="1"/>
    </xf>
    <xf numFmtId="0" fontId="0" fillId="11" borderId="123" xfId="0" applyFill="1" applyBorder="1" applyAlignment="1">
      <alignment horizontal="left" vertical="center" wrapText="1"/>
    </xf>
    <xf numFmtId="43" fontId="29" fillId="4" borderId="129" xfId="1" applyFont="1" applyFill="1" applyBorder="1" applyAlignment="1">
      <alignment horizontal="center"/>
    </xf>
    <xf numFmtId="0" fontId="3" fillId="16" borderId="116" xfId="0" applyFont="1" applyFill="1" applyBorder="1" applyAlignment="1">
      <alignment horizontal="center" vertical="center" wrapText="1"/>
    </xf>
    <xf numFmtId="0" fontId="3" fillId="16" borderId="120" xfId="0" applyFont="1" applyFill="1" applyBorder="1" applyAlignment="1">
      <alignment horizontal="center" vertical="center" wrapText="1"/>
    </xf>
    <xf numFmtId="0" fontId="3" fillId="16" borderId="119" xfId="0" applyFont="1" applyFill="1" applyBorder="1" applyAlignment="1">
      <alignment horizontal="center" vertical="center" wrapText="1"/>
    </xf>
    <xf numFmtId="0" fontId="15" fillId="16" borderId="116" xfId="0" applyFont="1" applyFill="1" applyBorder="1" applyAlignment="1">
      <alignment horizontal="center" vertical="center" wrapText="1"/>
    </xf>
    <xf numFmtId="0" fontId="15" fillId="16" borderId="119" xfId="0" applyFont="1" applyFill="1" applyBorder="1" applyAlignment="1">
      <alignment horizontal="center" vertical="center" wrapText="1"/>
    </xf>
    <xf numFmtId="0" fontId="3" fillId="16" borderId="119" xfId="0" applyFont="1" applyFill="1" applyBorder="1" applyAlignment="1">
      <alignment horizontal="center" vertical="center"/>
    </xf>
    <xf numFmtId="0" fontId="3" fillId="16" borderId="117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0" fillId="11" borderId="115" xfId="0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5" fillId="19" borderId="0" xfId="4" applyFont="1" applyFill="1" applyAlignment="1">
      <alignment horizontal="center" vertical="center"/>
    </xf>
    <xf numFmtId="0" fontId="24" fillId="17" borderId="0" xfId="0" applyFont="1" applyFill="1" applyAlignment="1">
      <alignment horizontal="center" vertical="center"/>
    </xf>
    <xf numFmtId="0" fontId="25" fillId="17" borderId="0" xfId="4" applyFont="1" applyFill="1" applyAlignment="1">
      <alignment horizontal="center" vertical="center"/>
    </xf>
    <xf numFmtId="4" fontId="0" fillId="0" borderId="149" xfId="0" applyNumberFormat="1" applyBorder="1" applyAlignment="1">
      <alignment horizontal="center" vertical="center"/>
    </xf>
    <xf numFmtId="4" fontId="2" fillId="20" borderId="2" xfId="9" applyNumberFormat="1" applyFont="1" applyFill="1" applyBorder="1" applyAlignment="1">
      <alignment horizontal="center" vertical="center"/>
    </xf>
    <xf numFmtId="4" fontId="2" fillId="20" borderId="1" xfId="9" applyNumberFormat="1" applyFont="1" applyFill="1" applyBorder="1" applyAlignment="1">
      <alignment horizontal="center" vertical="center"/>
    </xf>
    <xf numFmtId="4" fontId="2" fillId="20" borderId="129" xfId="9" applyNumberFormat="1" applyFont="1" applyFill="1" applyBorder="1" applyAlignment="1">
      <alignment horizontal="center" vertical="center"/>
    </xf>
    <xf numFmtId="4" fontId="2" fillId="20" borderId="35" xfId="9" applyNumberFormat="1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 wrapText="1"/>
    </xf>
    <xf numFmtId="0" fontId="34" fillId="16" borderId="116" xfId="0" applyFont="1" applyFill="1" applyBorder="1" applyAlignment="1">
      <alignment horizontal="center" vertical="center" wrapText="1"/>
    </xf>
    <xf numFmtId="0" fontId="34" fillId="16" borderId="119" xfId="0" applyFont="1" applyFill="1" applyBorder="1" applyAlignment="1">
      <alignment horizontal="center" vertical="center"/>
    </xf>
    <xf numFmtId="0" fontId="34" fillId="16" borderId="117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4" fillId="16" borderId="119" xfId="0" applyFont="1" applyFill="1" applyBorder="1" applyAlignment="1">
      <alignment horizontal="center" vertical="center" wrapText="1"/>
    </xf>
    <xf numFmtId="0" fontId="35" fillId="16" borderId="116" xfId="0" applyFont="1" applyFill="1" applyBorder="1" applyAlignment="1">
      <alignment horizontal="center" vertical="center" wrapText="1"/>
    </xf>
    <xf numFmtId="0" fontId="35" fillId="16" borderId="119" xfId="0" applyFont="1" applyFill="1" applyBorder="1" applyAlignment="1">
      <alignment horizontal="center" vertical="center" wrapText="1"/>
    </xf>
    <xf numFmtId="0" fontId="24" fillId="17" borderId="0" xfId="0" applyFont="1" applyFill="1" applyAlignment="1">
      <alignment horizontal="center" vertical="center" wrapText="1"/>
    </xf>
    <xf numFmtId="0" fontId="34" fillId="16" borderId="52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4" fontId="2" fillId="20" borderId="5" xfId="9" applyNumberFormat="1" applyFont="1" applyFill="1" applyBorder="1" applyAlignment="1">
      <alignment horizontal="center" vertical="center"/>
    </xf>
    <xf numFmtId="4" fontId="2" fillId="20" borderId="3" xfId="9" applyNumberFormat="1" applyFont="1" applyFill="1" applyBorder="1" applyAlignment="1">
      <alignment horizontal="center" vertical="center"/>
    </xf>
  </cellXfs>
  <cellStyles count="50">
    <cellStyle name="Excel Built-in Normal" xfId="20"/>
    <cellStyle name="Moeda" xfId="9" builtinId="4"/>
    <cellStyle name="Moeda 2" xfId="12"/>
    <cellStyle name="Moeda 3" xfId="37"/>
    <cellStyle name="Normal" xfId="0" builtinId="0"/>
    <cellStyle name="Normal 10" xfId="28"/>
    <cellStyle name="Normal 2" xfId="6"/>
    <cellStyle name="Normal 2 2" xfId="3"/>
    <cellStyle name="Normal 2 2 2" xfId="5"/>
    <cellStyle name="Normal 2 2 3" xfId="4"/>
    <cellStyle name="Normal 2 3" xfId="15"/>
    <cellStyle name="Normal 27" xfId="13"/>
    <cellStyle name="Normal 3" xfId="17"/>
    <cellStyle name="Normal 3 2" xfId="21"/>
    <cellStyle name="Normal 4" xfId="11"/>
    <cellStyle name="Normal 4 2" xfId="18"/>
    <cellStyle name="Normal 8" xfId="27"/>
    <cellStyle name="Porcentagem" xfId="2" builtinId="5"/>
    <cellStyle name="Porcentagem 2" xfId="7"/>
    <cellStyle name="Porcentagem 2 2" xfId="30"/>
    <cellStyle name="Porcentagem 2 3" xfId="23"/>
    <cellStyle name="Vírgula" xfId="1" builtinId="3"/>
    <cellStyle name="Vírgula 2" xfId="8"/>
    <cellStyle name="Vírgula 2 2" xfId="31"/>
    <cellStyle name="Vírgula 2 2 2" xfId="45"/>
    <cellStyle name="Vírgula 2 3" xfId="24"/>
    <cellStyle name="Vírgula 2 3 2" xfId="41"/>
    <cellStyle name="Vírgula 2 4" xfId="36"/>
    <cellStyle name="Vírgula 3" xfId="10"/>
    <cellStyle name="Vírgula 3 2" xfId="32"/>
    <cellStyle name="Vírgula 3 2 2" xfId="46"/>
    <cellStyle name="Vírgula 3 3" xfId="25"/>
    <cellStyle name="Vírgula 3 3 2" xfId="42"/>
    <cellStyle name="Vírgula 3 4" xfId="38"/>
    <cellStyle name="Vírgula 4" xfId="14"/>
    <cellStyle name="Vírgula 4 2" xfId="33"/>
    <cellStyle name="Vírgula 4 2 2" xfId="47"/>
    <cellStyle name="Vírgula 4 3" xfId="26"/>
    <cellStyle name="Vírgula 4 3 2" xfId="43"/>
    <cellStyle name="Vírgula 5" xfId="16"/>
    <cellStyle name="Vírgula 5 2" xfId="19"/>
    <cellStyle name="Vírgula 5 2 2" xfId="34"/>
    <cellStyle name="Vírgula 5 2 2 2" xfId="48"/>
    <cellStyle name="Vírgula 5 2 3" xfId="39"/>
    <cellStyle name="Vírgula 6" xfId="29"/>
    <cellStyle name="Vírgula 6 2" xfId="44"/>
    <cellStyle name="Vírgula 7" xfId="22"/>
    <cellStyle name="Vírgula 7 2" xfId="40"/>
    <cellStyle name="Vírgula 8" xfId="35"/>
    <cellStyle name="Vírgula 9" xfId="49"/>
  </cellStyles>
  <dxfs count="0"/>
  <tableStyles count="0" defaultTableStyle="TableStyleMedium2" defaultPivotStyle="PivotStyleLight16"/>
  <colors>
    <mruColors>
      <color rgb="FF0033CC"/>
      <color rgb="FFFF33CC"/>
      <color rgb="FFDFB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A\2017\PROSAMIM%20III\PA-PGO%20Vers&#227;o%2015-Atualiza&#231;&#227;o\PA-PGO-%20P.III%20VERS&#195;O%2015%2031.05.17-Elabora&#231;&#227;o-19.07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-PARA NOVA-V14"/>
      <sheetName val="Plano de Aquisições V.15"/>
      <sheetName val="Folha de Comentários (2)"/>
      <sheetName val="PGO-V15-PROCV BASE"/>
      <sheetName val="SINTESE 19.07.18"/>
      <sheetName val="Planilha1"/>
      <sheetName val="PGO"/>
      <sheetName val="Obras V13"/>
      <sheetName val="Unid Exec V13"/>
      <sheetName val="GER-SUP-V13"/>
      <sheetName val="Reassentamento"/>
      <sheetName val="Custo e Financiamento"/>
      <sheetName val="ZIKA"/>
      <sheetName val="Sheet1"/>
      <sheetName val="GER-SUP-V7"/>
      <sheetName val="GER-SUP-V8"/>
      <sheetName val="P II"/>
      <sheetName val="Apollo e F"/>
      <sheetName val="2676-"/>
      <sheetName val="passivo"/>
      <sheetName val="V9-V10"/>
      <sheetName val="REAJUSTE OBRA"/>
      <sheetName val="Reajuste Quanta e Engevix"/>
      <sheetName val="PG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53"/>
  <sheetViews>
    <sheetView workbookViewId="0">
      <selection sqref="A1:AE1"/>
    </sheetView>
  </sheetViews>
  <sheetFormatPr defaultColWidth="9.140625" defaultRowHeight="15" x14ac:dyDescent="0.25"/>
  <cols>
    <col min="1" max="1" width="7.85546875" style="289" customWidth="1"/>
    <col min="2" max="2" width="39.7109375" style="299" customWidth="1"/>
    <col min="3" max="3" width="13.42578125" style="317" hidden="1" customWidth="1"/>
    <col min="4" max="4" width="12.140625" style="47" hidden="1" customWidth="1"/>
    <col min="5" max="5" width="10.42578125" style="47" hidden="1" customWidth="1"/>
    <col min="6" max="6" width="21.42578125" hidden="1" customWidth="1"/>
    <col min="7" max="7" width="19.140625" hidden="1" customWidth="1"/>
    <col min="8" max="8" width="24.5703125" style="1" hidden="1" customWidth="1"/>
    <col min="9" max="9" width="22.42578125" hidden="1" customWidth="1"/>
    <col min="10" max="10" width="21.140625" hidden="1" customWidth="1"/>
    <col min="11" max="11" width="18" hidden="1" customWidth="1"/>
    <col min="12" max="12" width="17.28515625" hidden="1" customWidth="1"/>
    <col min="13" max="13" width="20" hidden="1" customWidth="1"/>
    <col min="14" max="14" width="18.85546875" style="299" hidden="1" customWidth="1"/>
    <col min="15" max="15" width="17.42578125" hidden="1" customWidth="1"/>
    <col min="16" max="16" width="18.42578125" hidden="1" customWidth="1"/>
    <col min="17" max="17" width="17.28515625" hidden="1" customWidth="1"/>
    <col min="18" max="18" width="19.5703125" hidden="1" customWidth="1"/>
    <col min="19" max="19" width="20.42578125" hidden="1" customWidth="1"/>
    <col min="20" max="22" width="18.42578125" hidden="1" customWidth="1"/>
    <col min="23" max="23" width="20.42578125" customWidth="1"/>
    <col min="24" max="24" width="15.85546875" bestFit="1" customWidth="1"/>
    <col min="25" max="25" width="11.28515625" bestFit="1" customWidth="1"/>
    <col min="26" max="26" width="23.7109375" style="1" customWidth="1"/>
    <col min="27" max="27" width="23.140625" style="1" bestFit="1" customWidth="1"/>
    <col min="28" max="28" width="30" customWidth="1"/>
    <col min="29" max="29" width="24.42578125" style="1" bestFit="1" customWidth="1"/>
    <col min="30" max="30" width="24.140625" style="1" customWidth="1"/>
    <col min="31" max="31" width="23.42578125" bestFit="1" customWidth="1"/>
    <col min="32" max="32" width="16.42578125" style="258" customWidth="1"/>
    <col min="33" max="34" width="21.140625" style="1" customWidth="1"/>
    <col min="35" max="35" width="21.7109375" customWidth="1"/>
    <col min="36" max="36" width="19.42578125" customWidth="1"/>
    <col min="37" max="37" width="19.42578125" bestFit="1" customWidth="1"/>
    <col min="38" max="38" width="17.28515625" customWidth="1"/>
    <col min="39" max="39" width="17.5703125" customWidth="1"/>
    <col min="40" max="40" width="13.42578125" bestFit="1" customWidth="1"/>
  </cols>
  <sheetData>
    <row r="1" spans="1:42" x14ac:dyDescent="0.25">
      <c r="A1" s="1491" t="s">
        <v>662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1491"/>
      <c r="Q1" s="1491"/>
      <c r="R1" s="1491"/>
      <c r="S1" s="1491"/>
      <c r="T1" s="1491"/>
      <c r="U1" s="1491"/>
      <c r="V1" s="1491"/>
      <c r="W1" s="1491"/>
      <c r="X1" s="1491"/>
      <c r="Y1" s="1491"/>
      <c r="Z1" s="1491"/>
      <c r="AA1" s="1491"/>
      <c r="AB1" s="1491"/>
      <c r="AC1" s="1491"/>
      <c r="AD1" s="1491"/>
      <c r="AE1" s="1491"/>
      <c r="AF1" s="276"/>
      <c r="AG1" s="276"/>
      <c r="AH1" s="276"/>
      <c r="AI1" s="276"/>
      <c r="AJ1" s="276"/>
    </row>
    <row r="2" spans="1:42" ht="23.25" x14ac:dyDescent="0.35">
      <c r="A2" s="470"/>
      <c r="B2" s="318"/>
      <c r="C2" s="289"/>
      <c r="D2" s="258"/>
      <c r="E2" s="258"/>
      <c r="F2" s="258"/>
      <c r="G2" s="258"/>
      <c r="H2" s="278"/>
      <c r="I2" s="278"/>
      <c r="J2" s="278"/>
      <c r="K2" s="278"/>
      <c r="L2" s="278"/>
      <c r="M2" s="278"/>
      <c r="N2" s="291"/>
      <c r="O2" s="278"/>
      <c r="P2" s="278"/>
      <c r="Q2" s="278"/>
      <c r="R2" s="278"/>
      <c r="S2" s="258"/>
      <c r="T2" s="258"/>
      <c r="U2" s="258"/>
      <c r="V2" s="258"/>
      <c r="X2" s="258"/>
      <c r="Y2" s="258"/>
      <c r="Z2" s="278"/>
      <c r="AA2" s="278"/>
      <c r="AB2" s="258"/>
      <c r="AC2" s="278"/>
      <c r="AD2" s="278"/>
      <c r="AE2" s="285" t="s">
        <v>458</v>
      </c>
      <c r="AF2" s="469">
        <v>3.1394000000000002</v>
      </c>
      <c r="AI2" s="46"/>
    </row>
    <row r="3" spans="1:42" ht="15.75" thickBot="1" x14ac:dyDescent="0.3">
      <c r="B3" s="318"/>
      <c r="C3" s="289"/>
      <c r="D3" s="258"/>
      <c r="E3" s="258"/>
      <c r="F3" s="1500"/>
      <c r="G3" s="1500"/>
      <c r="H3" s="1500"/>
      <c r="I3" s="278"/>
      <c r="J3" s="278"/>
      <c r="K3" s="278"/>
      <c r="L3" s="278"/>
      <c r="M3" s="278"/>
      <c r="N3" s="291"/>
      <c r="O3" s="278"/>
      <c r="P3" s="278"/>
      <c r="Q3" s="278"/>
      <c r="R3" s="278"/>
      <c r="S3" s="258"/>
      <c r="T3" s="653"/>
      <c r="U3" s="653"/>
      <c r="V3" s="653"/>
      <c r="X3" s="258"/>
      <c r="Y3" s="258"/>
      <c r="Z3" s="278"/>
      <c r="AA3" s="278"/>
      <c r="AB3" s="258"/>
      <c r="AC3" s="278"/>
      <c r="AD3" s="868" t="s">
        <v>568</v>
      </c>
      <c r="AE3" s="285">
        <f>AF2</f>
        <v>3.1394000000000002</v>
      </c>
      <c r="AI3" s="46"/>
    </row>
    <row r="4" spans="1:42" ht="55.5" customHeight="1" x14ac:dyDescent="0.25">
      <c r="A4" s="1501"/>
      <c r="B4" s="1485" t="s">
        <v>15</v>
      </c>
      <c r="C4" s="1487" t="s">
        <v>14</v>
      </c>
      <c r="D4" s="1487" t="s">
        <v>13</v>
      </c>
      <c r="E4" s="1485" t="s">
        <v>12</v>
      </c>
      <c r="F4" s="1487" t="s">
        <v>453</v>
      </c>
      <c r="G4" s="1487" t="s">
        <v>566</v>
      </c>
      <c r="H4" s="1489" t="s">
        <v>454</v>
      </c>
      <c r="I4" s="1505" t="s">
        <v>227</v>
      </c>
      <c r="J4" s="1506"/>
      <c r="K4" s="1506"/>
      <c r="L4" s="1506"/>
      <c r="M4" s="1507"/>
      <c r="N4" s="1493" t="s">
        <v>228</v>
      </c>
      <c r="O4" s="1494"/>
      <c r="P4" s="1494"/>
      <c r="Q4" s="1494"/>
      <c r="R4" s="1495"/>
      <c r="S4" s="1496" t="s">
        <v>567</v>
      </c>
      <c r="T4" s="662" t="s">
        <v>663</v>
      </c>
      <c r="U4" s="662" t="s">
        <v>666</v>
      </c>
      <c r="V4" s="1498" t="s">
        <v>667</v>
      </c>
      <c r="W4" s="1487" t="s">
        <v>668</v>
      </c>
      <c r="X4" s="1487" t="s">
        <v>8</v>
      </c>
      <c r="Y4" s="1487" t="s">
        <v>7</v>
      </c>
      <c r="Z4" s="1508" t="s">
        <v>130</v>
      </c>
      <c r="AA4" s="1509"/>
      <c r="AB4" s="1510"/>
      <c r="AC4" s="1508" t="s">
        <v>131</v>
      </c>
      <c r="AD4" s="1509"/>
      <c r="AE4" s="1510"/>
      <c r="AF4" s="258">
        <v>1000</v>
      </c>
      <c r="AG4" s="1502" t="s">
        <v>422</v>
      </c>
      <c r="AH4" s="1503"/>
      <c r="AI4" s="1504"/>
    </row>
    <row r="5" spans="1:42" ht="33.75" customHeight="1" thickBot="1" x14ac:dyDescent="0.3">
      <c r="A5" s="1501"/>
      <c r="B5" s="1486"/>
      <c r="C5" s="1488"/>
      <c r="D5" s="1488"/>
      <c r="E5" s="1486"/>
      <c r="F5" s="1488"/>
      <c r="G5" s="1488"/>
      <c r="H5" s="1490"/>
      <c r="I5" s="642" t="s">
        <v>86</v>
      </c>
      <c r="J5" s="642" t="s">
        <v>225</v>
      </c>
      <c r="K5" s="642" t="s">
        <v>87</v>
      </c>
      <c r="L5" s="642" t="s">
        <v>226</v>
      </c>
      <c r="M5" s="642" t="s">
        <v>92</v>
      </c>
      <c r="N5" s="351" t="s">
        <v>86</v>
      </c>
      <c r="O5" s="351" t="s">
        <v>225</v>
      </c>
      <c r="P5" s="351" t="s">
        <v>87</v>
      </c>
      <c r="Q5" s="351" t="s">
        <v>226</v>
      </c>
      <c r="R5" s="351" t="s">
        <v>92</v>
      </c>
      <c r="S5" s="1497"/>
      <c r="T5" s="662" t="s">
        <v>565</v>
      </c>
      <c r="U5" s="662" t="s">
        <v>565</v>
      </c>
      <c r="V5" s="1499"/>
      <c r="W5" s="1488"/>
      <c r="X5" s="1488"/>
      <c r="Y5" s="1488"/>
      <c r="Z5" s="886" t="s">
        <v>86</v>
      </c>
      <c r="AA5" s="886" t="s">
        <v>87</v>
      </c>
      <c r="AB5" s="886" t="s">
        <v>92</v>
      </c>
      <c r="AC5" s="886" t="s">
        <v>86</v>
      </c>
      <c r="AD5" s="886" t="s">
        <v>87</v>
      </c>
      <c r="AE5" s="886" t="s">
        <v>92</v>
      </c>
      <c r="AG5" s="286" t="s">
        <v>86</v>
      </c>
      <c r="AH5" s="287" t="s">
        <v>87</v>
      </c>
      <c r="AI5" s="288" t="s">
        <v>92</v>
      </c>
    </row>
    <row r="6" spans="1:42" ht="26.25" customHeight="1" thickBot="1" x14ac:dyDescent="0.3">
      <c r="A6" s="352"/>
      <c r="B6" s="353" t="s">
        <v>189</v>
      </c>
      <c r="C6" s="354"/>
      <c r="D6" s="355"/>
      <c r="E6" s="356"/>
      <c r="F6" s="357">
        <f t="shared" ref="F6:W6" si="0">F7+F43+F50</f>
        <v>77312927</v>
      </c>
      <c r="G6" s="357">
        <f t="shared" si="0"/>
        <v>9442980.0299999956</v>
      </c>
      <c r="H6" s="357">
        <f t="shared" si="0"/>
        <v>86755907.030000001</v>
      </c>
      <c r="I6" s="357">
        <f t="shared" si="0"/>
        <v>20663251.229999989</v>
      </c>
      <c r="J6" s="357">
        <f t="shared" si="0"/>
        <v>2095626.4899999998</v>
      </c>
      <c r="K6" s="357">
        <f t="shared" si="0"/>
        <v>53802325.07</v>
      </c>
      <c r="L6" s="357">
        <f t="shared" si="0"/>
        <v>7347353.5399999972</v>
      </c>
      <c r="M6" s="357">
        <f t="shared" si="0"/>
        <v>83908556.329999983</v>
      </c>
      <c r="N6" s="357">
        <f t="shared" si="0"/>
        <v>9596230.1799999997</v>
      </c>
      <c r="O6" s="357">
        <f t="shared" si="0"/>
        <v>1021215.1999999998</v>
      </c>
      <c r="P6" s="357">
        <f t="shared" si="0"/>
        <v>19604055.300000001</v>
      </c>
      <c r="Q6" s="357">
        <f t="shared" si="0"/>
        <v>2447784.2700000005</v>
      </c>
      <c r="R6" s="357">
        <f t="shared" si="0"/>
        <v>32669284.950000003</v>
      </c>
      <c r="S6" s="435">
        <f t="shared" si="0"/>
        <v>62081150.481004968</v>
      </c>
      <c r="T6" s="357">
        <f t="shared" si="0"/>
        <v>871522.69200000004</v>
      </c>
      <c r="U6" s="357">
        <f t="shared" si="0"/>
        <v>72801.05</v>
      </c>
      <c r="V6" s="402">
        <f t="shared" si="0"/>
        <v>944323.74199999997</v>
      </c>
      <c r="W6" s="402">
        <f t="shared" si="0"/>
        <v>63025474.223004967</v>
      </c>
      <c r="X6" s="358"/>
      <c r="Y6" s="358"/>
      <c r="Z6" s="357">
        <f t="shared" ref="Z6:AE6" si="1">Z7+Z43+Z50</f>
        <v>61492121.29300496</v>
      </c>
      <c r="AA6" s="357">
        <f t="shared" si="1"/>
        <v>1533352.9299999995</v>
      </c>
      <c r="AB6" s="402">
        <f t="shared" si="1"/>
        <v>63025474.223004967</v>
      </c>
      <c r="AC6" s="357">
        <f t="shared" si="1"/>
        <v>19587220.880000003</v>
      </c>
      <c r="AD6" s="357">
        <f t="shared" si="1"/>
        <v>488422.28</v>
      </c>
      <c r="AE6" s="357">
        <f t="shared" si="1"/>
        <v>20075643.160000004</v>
      </c>
      <c r="AG6" s="277">
        <f>AG7+AG43+AG50</f>
        <v>19844790.102187347</v>
      </c>
      <c r="AH6" s="277">
        <f>AH7+AH43+AH50</f>
        <v>756200.896958292</v>
      </c>
      <c r="AI6" s="103">
        <f>AI7+AI43+AI50</f>
        <v>20600990.999145638</v>
      </c>
      <c r="AJ6" s="259"/>
    </row>
    <row r="7" spans="1:42" ht="26.25" customHeight="1" thickBot="1" x14ac:dyDescent="0.3">
      <c r="A7" s="352"/>
      <c r="B7" s="353" t="s">
        <v>190</v>
      </c>
      <c r="C7" s="644"/>
      <c r="D7" s="359"/>
      <c r="E7" s="360"/>
      <c r="F7" s="361">
        <f t="shared" ref="F7:W7" si="2">SUM(F8:F42)</f>
        <v>15354768.149999999</v>
      </c>
      <c r="G7" s="361">
        <f t="shared" si="2"/>
        <v>0</v>
      </c>
      <c r="H7" s="361">
        <f t="shared" si="2"/>
        <v>15354768.149999999</v>
      </c>
      <c r="I7" s="361">
        <f t="shared" si="2"/>
        <v>2316967.04</v>
      </c>
      <c r="J7" s="361">
        <f t="shared" si="2"/>
        <v>0</v>
      </c>
      <c r="K7" s="361">
        <f t="shared" si="2"/>
        <v>10429566.840000002</v>
      </c>
      <c r="L7" s="361">
        <f t="shared" si="2"/>
        <v>0</v>
      </c>
      <c r="M7" s="361">
        <f t="shared" si="2"/>
        <v>12746533.880000001</v>
      </c>
      <c r="N7" s="361">
        <f t="shared" si="2"/>
        <v>741423.09</v>
      </c>
      <c r="O7" s="361">
        <f t="shared" si="2"/>
        <v>0</v>
      </c>
      <c r="P7" s="361">
        <f t="shared" si="2"/>
        <v>4148939.37</v>
      </c>
      <c r="Q7" s="361">
        <f t="shared" si="2"/>
        <v>0</v>
      </c>
      <c r="R7" s="361">
        <f t="shared" si="2"/>
        <v>4890362.4600000009</v>
      </c>
      <c r="S7" s="436">
        <f t="shared" si="2"/>
        <v>5897862.1573480004</v>
      </c>
      <c r="T7" s="361">
        <f t="shared" si="2"/>
        <v>871522.69200000004</v>
      </c>
      <c r="U7" s="361">
        <f t="shared" si="2"/>
        <v>72801.05</v>
      </c>
      <c r="V7" s="403">
        <f t="shared" si="2"/>
        <v>944323.74199999997</v>
      </c>
      <c r="W7" s="403">
        <f t="shared" si="2"/>
        <v>6842185.8993479991</v>
      </c>
      <c r="X7" s="358"/>
      <c r="Y7" s="358"/>
      <c r="Z7" s="361">
        <f t="shared" ref="Z7:AE7" si="3">SUM(Z8:Z42)</f>
        <v>5308832.9693480004</v>
      </c>
      <c r="AA7" s="361">
        <f t="shared" si="3"/>
        <v>1533352.9299999995</v>
      </c>
      <c r="AB7" s="403">
        <f t="shared" si="3"/>
        <v>6842185.8993479991</v>
      </c>
      <c r="AC7" s="361">
        <f t="shared" si="3"/>
        <v>1691034.25</v>
      </c>
      <c r="AD7" s="361">
        <f t="shared" si="3"/>
        <v>488422.28</v>
      </c>
      <c r="AE7" s="361">
        <f t="shared" si="3"/>
        <v>2179456.5300000003</v>
      </c>
      <c r="AF7" s="274"/>
      <c r="AG7" s="89">
        <f>SUM(AG8:AG42)</f>
        <v>1047852.4199999999</v>
      </c>
      <c r="AH7" s="89">
        <f>SUM(AH8:AH42)</f>
        <v>756200.896958292</v>
      </c>
      <c r="AI7" s="89">
        <f>SUM(AI8:AI42)</f>
        <v>1804053.3169582919</v>
      </c>
      <c r="AJ7" s="259"/>
    </row>
    <row r="8" spans="1:42" ht="86.25" customHeight="1" x14ac:dyDescent="0.25">
      <c r="A8" s="347" t="s">
        <v>231</v>
      </c>
      <c r="B8" s="759" t="s">
        <v>594</v>
      </c>
      <c r="C8" s="348" t="s">
        <v>18</v>
      </c>
      <c r="D8" s="228"/>
      <c r="E8" s="229" t="s">
        <v>70</v>
      </c>
      <c r="F8" s="231">
        <v>50400</v>
      </c>
      <c r="G8" s="231"/>
      <c r="H8" s="231">
        <f t="shared" ref="H8:H35" si="4">F8+G8</f>
        <v>50400</v>
      </c>
      <c r="I8" s="231"/>
      <c r="J8" s="231"/>
      <c r="K8" s="231">
        <v>34660.83</v>
      </c>
      <c r="L8" s="231"/>
      <c r="M8" s="349">
        <f t="shared" ref="M8:M64" si="5">I8+J8+K8+L8</f>
        <v>34660.83</v>
      </c>
      <c r="N8" s="349">
        <v>0</v>
      </c>
      <c r="O8" s="349"/>
      <c r="P8" s="750">
        <v>14792.73</v>
      </c>
      <c r="Q8" s="349"/>
      <c r="R8" s="349">
        <f t="shared" ref="R8:R35" si="6">N8+O8+P8+Q8</f>
        <v>14792.73</v>
      </c>
      <c r="S8" s="439">
        <f t="shared" ref="S8:S35" si="7">H8-M8</f>
        <v>15739.169999999998</v>
      </c>
      <c r="T8" s="349"/>
      <c r="U8" s="349"/>
      <c r="V8" s="404">
        <f t="shared" ref="V8:V36" si="8">T8+U8</f>
        <v>0</v>
      </c>
      <c r="W8" s="404">
        <f t="shared" ref="W8:W16" si="9">+S8+V8</f>
        <v>15739.169999999998</v>
      </c>
      <c r="X8" s="233"/>
      <c r="Y8" s="233">
        <v>1</v>
      </c>
      <c r="Z8" s="349">
        <f t="shared" ref="Z8:Z42" si="10">W8*X8</f>
        <v>0</v>
      </c>
      <c r="AA8" s="349">
        <f t="shared" ref="AA8:AA42" si="11">W8*Y8</f>
        <v>15739.169999999998</v>
      </c>
      <c r="AB8" s="404">
        <f t="shared" ref="AB8:AB42" si="12">Z8+AA8</f>
        <v>15739.169999999998</v>
      </c>
      <c r="AC8" s="418">
        <f t="shared" ref="AC8:AD35" si="13">ROUND(Z8/$AF$2,2)</f>
        <v>0</v>
      </c>
      <c r="AD8" s="349">
        <f t="shared" ref="AD8:AD15" si="14">ROUND(AA8/$AF$2,2)</f>
        <v>5013.43</v>
      </c>
      <c r="AE8" s="350">
        <f t="shared" ref="AE8:AE42" si="15">AC8+AD8</f>
        <v>5013.43</v>
      </c>
      <c r="AG8" s="266"/>
      <c r="AH8" s="128"/>
      <c r="AI8" s="129"/>
      <c r="AJ8" s="259"/>
    </row>
    <row r="9" spans="1:42" ht="42" customHeight="1" x14ac:dyDescent="0.25">
      <c r="A9" s="332" t="s">
        <v>235</v>
      </c>
      <c r="B9" s="760" t="s">
        <v>595</v>
      </c>
      <c r="C9" s="303" t="s">
        <v>75</v>
      </c>
      <c r="D9" s="106"/>
      <c r="E9" s="107" t="s">
        <v>70</v>
      </c>
      <c r="F9" s="108">
        <v>8000000</v>
      </c>
      <c r="G9" s="108"/>
      <c r="H9" s="108">
        <f t="shared" ref="H9:H16" si="16">F9+G9</f>
        <v>8000000</v>
      </c>
      <c r="I9" s="108"/>
      <c r="J9" s="108"/>
      <c r="K9" s="108">
        <v>6819195.4900000002</v>
      </c>
      <c r="L9" s="108"/>
      <c r="M9" s="114">
        <f t="shared" ref="M9:M16" si="17">I9+J9+K9+L9</f>
        <v>6819195.4900000002</v>
      </c>
      <c r="N9" s="292">
        <v>0</v>
      </c>
      <c r="O9" s="112"/>
      <c r="P9" s="752">
        <v>2555667.9900000002</v>
      </c>
      <c r="Q9" s="113"/>
      <c r="R9" s="114">
        <f t="shared" ref="R9:R14" si="18">N9+O9+P9+Q9</f>
        <v>2555667.9900000002</v>
      </c>
      <c r="S9" s="439">
        <f t="shared" si="7"/>
        <v>1180804.5099999998</v>
      </c>
      <c r="T9" s="440"/>
      <c r="U9" s="440"/>
      <c r="V9" s="404">
        <f t="shared" ref="V9:V16" si="19">T9+U9</f>
        <v>0</v>
      </c>
      <c r="W9" s="404">
        <f t="shared" si="9"/>
        <v>1180804.5099999998</v>
      </c>
      <c r="X9" s="110"/>
      <c r="Y9" s="110">
        <v>1</v>
      </c>
      <c r="Z9" s="349">
        <f t="shared" si="10"/>
        <v>0</v>
      </c>
      <c r="AA9" s="349">
        <f t="shared" si="11"/>
        <v>1180804.5099999998</v>
      </c>
      <c r="AB9" s="405">
        <f t="shared" ref="AB9:AB14" si="20">Z9+AA9</f>
        <v>1180804.5099999998</v>
      </c>
      <c r="AC9" s="419">
        <f t="shared" ref="AC9:AC15" si="21">ROUND(Z9/$AF$2,2)</f>
        <v>0</v>
      </c>
      <c r="AD9" s="114">
        <f t="shared" si="14"/>
        <v>376124.26</v>
      </c>
      <c r="AE9" s="334">
        <f t="shared" ref="AE9:AE14" si="22">AC9+AD9</f>
        <v>376124.26</v>
      </c>
      <c r="AG9" s="267"/>
      <c r="AH9" s="114"/>
      <c r="AI9" s="131">
        <f t="shared" ref="AI9:AI17" si="23">AG9+AH9</f>
        <v>0</v>
      </c>
      <c r="AJ9" s="259"/>
      <c r="AP9" t="s">
        <v>577</v>
      </c>
    </row>
    <row r="10" spans="1:42" ht="51" x14ac:dyDescent="0.25">
      <c r="A10" s="332" t="s">
        <v>236</v>
      </c>
      <c r="B10" s="760" t="s">
        <v>596</v>
      </c>
      <c r="C10" s="303" t="s">
        <v>23</v>
      </c>
      <c r="D10" s="106" t="s">
        <v>581</v>
      </c>
      <c r="E10" s="107" t="s">
        <v>70</v>
      </c>
      <c r="F10" s="108">
        <f>938029.5+181939.95</f>
        <v>1119969.45</v>
      </c>
      <c r="G10" s="108"/>
      <c r="H10" s="108">
        <f t="shared" si="16"/>
        <v>1119969.45</v>
      </c>
      <c r="I10" s="108"/>
      <c r="J10" s="108"/>
      <c r="K10" s="108">
        <v>783160.20000000019</v>
      </c>
      <c r="L10" s="108"/>
      <c r="M10" s="111">
        <f t="shared" si="17"/>
        <v>783160.20000000019</v>
      </c>
      <c r="N10" s="114"/>
      <c r="O10" s="114"/>
      <c r="P10" s="751">
        <v>297843.62</v>
      </c>
      <c r="Q10" s="114"/>
      <c r="R10" s="111">
        <f t="shared" si="18"/>
        <v>297843.62</v>
      </c>
      <c r="S10" s="439">
        <f t="shared" si="7"/>
        <v>336809.24999999977</v>
      </c>
      <c r="T10" s="440"/>
      <c r="U10" s="440"/>
      <c r="V10" s="404">
        <f t="shared" si="19"/>
        <v>0</v>
      </c>
      <c r="W10" s="404">
        <f t="shared" si="9"/>
        <v>336809.24999999977</v>
      </c>
      <c r="X10" s="110"/>
      <c r="Y10" s="110">
        <v>1</v>
      </c>
      <c r="Z10" s="349">
        <f t="shared" si="10"/>
        <v>0</v>
      </c>
      <c r="AA10" s="349">
        <f t="shared" si="11"/>
        <v>336809.24999999977</v>
      </c>
      <c r="AB10" s="405">
        <f t="shared" si="20"/>
        <v>336809.24999999977</v>
      </c>
      <c r="AC10" s="419">
        <f t="shared" si="21"/>
        <v>0</v>
      </c>
      <c r="AD10" s="114">
        <f t="shared" si="14"/>
        <v>107284.59</v>
      </c>
      <c r="AE10" s="334">
        <f t="shared" si="22"/>
        <v>107284.59</v>
      </c>
      <c r="AG10" s="267"/>
      <c r="AH10" s="114"/>
      <c r="AI10" s="131">
        <f t="shared" si="23"/>
        <v>0</v>
      </c>
      <c r="AJ10" s="259"/>
    </row>
    <row r="11" spans="1:42" ht="45" x14ac:dyDescent="0.25">
      <c r="A11" s="332" t="s">
        <v>240</v>
      </c>
      <c r="B11" s="760" t="s">
        <v>597</v>
      </c>
      <c r="C11" s="303" t="s">
        <v>22</v>
      </c>
      <c r="D11" s="106" t="s">
        <v>104</v>
      </c>
      <c r="E11" s="107" t="s">
        <v>6</v>
      </c>
      <c r="F11" s="108">
        <f>56844+56844</f>
        <v>113688</v>
      </c>
      <c r="G11" s="108"/>
      <c r="H11" s="108">
        <f t="shared" si="16"/>
        <v>113688</v>
      </c>
      <c r="I11" s="108">
        <v>103582.14</v>
      </c>
      <c r="J11" s="108"/>
      <c r="K11" s="108"/>
      <c r="L11" s="108"/>
      <c r="M11" s="111">
        <f t="shared" si="17"/>
        <v>103582.14</v>
      </c>
      <c r="N11" s="293">
        <v>31586.68</v>
      </c>
      <c r="O11" s="113"/>
      <c r="P11" s="114"/>
      <c r="Q11" s="114"/>
      <c r="R11" s="111">
        <f t="shared" si="18"/>
        <v>31586.68</v>
      </c>
      <c r="S11" s="439">
        <f t="shared" si="7"/>
        <v>10105.86</v>
      </c>
      <c r="T11" s="440">
        <v>143512.15199999997</v>
      </c>
      <c r="U11" s="440"/>
      <c r="V11" s="404">
        <f t="shared" si="19"/>
        <v>143512.15199999997</v>
      </c>
      <c r="W11" s="404">
        <f t="shared" si="9"/>
        <v>153618.01199999999</v>
      </c>
      <c r="X11" s="110">
        <v>1</v>
      </c>
      <c r="Y11" s="110"/>
      <c r="Z11" s="349">
        <f t="shared" si="10"/>
        <v>153618.01199999999</v>
      </c>
      <c r="AA11" s="349">
        <f t="shared" si="11"/>
        <v>0</v>
      </c>
      <c r="AB11" s="405">
        <f t="shared" si="20"/>
        <v>153618.01199999999</v>
      </c>
      <c r="AC11" s="419">
        <f t="shared" si="21"/>
        <v>48932.28</v>
      </c>
      <c r="AD11" s="114">
        <f t="shared" si="14"/>
        <v>0</v>
      </c>
      <c r="AE11" s="334">
        <f t="shared" si="22"/>
        <v>48932.28</v>
      </c>
      <c r="AG11" s="267"/>
      <c r="AH11" s="114"/>
      <c r="AI11" s="131">
        <f t="shared" si="23"/>
        <v>0</v>
      </c>
      <c r="AJ11" s="259"/>
    </row>
    <row r="12" spans="1:42" ht="51" x14ac:dyDescent="0.25">
      <c r="A12" s="332" t="s">
        <v>244</v>
      </c>
      <c r="B12" s="760" t="s">
        <v>598</v>
      </c>
      <c r="C12" s="303" t="s">
        <v>132</v>
      </c>
      <c r="D12" s="106" t="s">
        <v>133</v>
      </c>
      <c r="E12" s="107" t="s">
        <v>134</v>
      </c>
      <c r="F12" s="108">
        <v>144000</v>
      </c>
      <c r="G12" s="108"/>
      <c r="H12" s="108">
        <f t="shared" si="16"/>
        <v>144000</v>
      </c>
      <c r="I12" s="108">
        <v>18000</v>
      </c>
      <c r="J12" s="108"/>
      <c r="K12" s="108"/>
      <c r="L12" s="108"/>
      <c r="M12" s="111">
        <f t="shared" si="17"/>
        <v>18000</v>
      </c>
      <c r="N12" s="293">
        <v>5202.3</v>
      </c>
      <c r="O12" s="113"/>
      <c r="P12" s="114"/>
      <c r="Q12" s="114"/>
      <c r="R12" s="111">
        <f t="shared" si="18"/>
        <v>5202.3</v>
      </c>
      <c r="S12" s="439">
        <f t="shared" si="7"/>
        <v>126000</v>
      </c>
      <c r="T12" s="440">
        <v>60000</v>
      </c>
      <c r="U12" s="440">
        <v>6000</v>
      </c>
      <c r="V12" s="404">
        <f t="shared" si="19"/>
        <v>66000</v>
      </c>
      <c r="W12" s="404">
        <f t="shared" si="9"/>
        <v>192000</v>
      </c>
      <c r="X12" s="110">
        <v>1</v>
      </c>
      <c r="Y12" s="110"/>
      <c r="Z12" s="349">
        <f t="shared" si="10"/>
        <v>192000</v>
      </c>
      <c r="AA12" s="349">
        <f t="shared" si="11"/>
        <v>0</v>
      </c>
      <c r="AB12" s="405">
        <f t="shared" si="20"/>
        <v>192000</v>
      </c>
      <c r="AC12" s="419">
        <f t="shared" si="21"/>
        <v>61158.18</v>
      </c>
      <c r="AD12" s="114">
        <f t="shared" si="14"/>
        <v>0</v>
      </c>
      <c r="AE12" s="334">
        <f t="shared" si="22"/>
        <v>61158.18</v>
      </c>
      <c r="AG12" s="267"/>
      <c r="AH12" s="114"/>
      <c r="AI12" s="131">
        <f t="shared" si="23"/>
        <v>0</v>
      </c>
      <c r="AJ12" s="259"/>
    </row>
    <row r="13" spans="1:42" ht="51" x14ac:dyDescent="0.25">
      <c r="A13" s="332" t="s">
        <v>245</v>
      </c>
      <c r="B13" s="760" t="s">
        <v>599</v>
      </c>
      <c r="C13" s="303" t="s">
        <v>140</v>
      </c>
      <c r="D13" s="106" t="s">
        <v>141</v>
      </c>
      <c r="E13" s="107" t="s">
        <v>142</v>
      </c>
      <c r="F13" s="108">
        <v>389975</v>
      </c>
      <c r="G13" s="115"/>
      <c r="H13" s="108">
        <f t="shared" si="16"/>
        <v>389975</v>
      </c>
      <c r="I13" s="108">
        <v>246651.72</v>
      </c>
      <c r="J13" s="115"/>
      <c r="K13" s="115"/>
      <c r="L13" s="115"/>
      <c r="M13" s="111">
        <f t="shared" si="17"/>
        <v>246651.72</v>
      </c>
      <c r="N13" s="293">
        <v>71286.62</v>
      </c>
      <c r="O13" s="113"/>
      <c r="P13" s="114"/>
      <c r="Q13" s="114"/>
      <c r="R13" s="111">
        <f t="shared" si="18"/>
        <v>71286.62</v>
      </c>
      <c r="S13" s="439">
        <f t="shared" si="7"/>
        <v>143323.28</v>
      </c>
      <c r="T13" s="440"/>
      <c r="U13" s="440"/>
      <c r="V13" s="404">
        <f t="shared" si="19"/>
        <v>0</v>
      </c>
      <c r="W13" s="404">
        <f t="shared" si="9"/>
        <v>143323.28</v>
      </c>
      <c r="X13" s="110">
        <v>1</v>
      </c>
      <c r="Y13" s="115"/>
      <c r="Z13" s="349">
        <f t="shared" si="10"/>
        <v>143323.28</v>
      </c>
      <c r="AA13" s="349">
        <f t="shared" si="11"/>
        <v>0</v>
      </c>
      <c r="AB13" s="405">
        <f t="shared" si="20"/>
        <v>143323.28</v>
      </c>
      <c r="AC13" s="419">
        <f t="shared" si="21"/>
        <v>45653.08</v>
      </c>
      <c r="AD13" s="114">
        <f t="shared" si="14"/>
        <v>0</v>
      </c>
      <c r="AE13" s="334">
        <f t="shared" si="22"/>
        <v>45653.08</v>
      </c>
      <c r="AG13" s="267"/>
      <c r="AH13" s="114"/>
      <c r="AI13" s="131">
        <f t="shared" si="23"/>
        <v>0</v>
      </c>
      <c r="AJ13" s="259"/>
    </row>
    <row r="14" spans="1:42" ht="51" x14ac:dyDescent="0.25">
      <c r="A14" s="332" t="s">
        <v>246</v>
      </c>
      <c r="B14" s="760" t="s">
        <v>600</v>
      </c>
      <c r="C14" s="303" t="s">
        <v>243</v>
      </c>
      <c r="D14" s="106" t="s">
        <v>417</v>
      </c>
      <c r="E14" s="107"/>
      <c r="F14" s="279">
        <v>100530</v>
      </c>
      <c r="G14" s="108"/>
      <c r="H14" s="108">
        <f t="shared" si="16"/>
        <v>100530</v>
      </c>
      <c r="I14" s="108">
        <v>13376</v>
      </c>
      <c r="J14" s="108"/>
      <c r="K14" s="108"/>
      <c r="L14" s="108"/>
      <c r="M14" s="111">
        <f t="shared" si="17"/>
        <v>13376</v>
      </c>
      <c r="N14" s="293">
        <v>3865.9</v>
      </c>
      <c r="O14" s="280"/>
      <c r="P14" s="224"/>
      <c r="Q14" s="224"/>
      <c r="R14" s="281">
        <f t="shared" si="18"/>
        <v>3865.9</v>
      </c>
      <c r="S14" s="439">
        <f t="shared" si="7"/>
        <v>87154</v>
      </c>
      <c r="T14" s="440">
        <v>122072.14</v>
      </c>
      <c r="U14" s="440">
        <v>12207.21</v>
      </c>
      <c r="V14" s="404">
        <f t="shared" si="19"/>
        <v>134279.35</v>
      </c>
      <c r="W14" s="404">
        <f t="shared" si="9"/>
        <v>221433.35</v>
      </c>
      <c r="X14" s="110">
        <v>1</v>
      </c>
      <c r="Y14" s="110"/>
      <c r="Z14" s="349">
        <f t="shared" si="10"/>
        <v>221433.35</v>
      </c>
      <c r="AA14" s="349">
        <f t="shared" si="11"/>
        <v>0</v>
      </c>
      <c r="AB14" s="406">
        <f t="shared" si="20"/>
        <v>221433.35</v>
      </c>
      <c r="AC14" s="420">
        <f t="shared" si="21"/>
        <v>70533.649999999994</v>
      </c>
      <c r="AD14" s="224">
        <f t="shared" si="14"/>
        <v>0</v>
      </c>
      <c r="AE14" s="335">
        <f t="shared" si="22"/>
        <v>70533.649999999994</v>
      </c>
      <c r="AG14" s="283"/>
      <c r="AH14" s="224"/>
      <c r="AI14" s="282">
        <f t="shared" si="23"/>
        <v>0</v>
      </c>
      <c r="AJ14" s="259"/>
      <c r="AK14" s="27"/>
    </row>
    <row r="15" spans="1:42" ht="51" x14ac:dyDescent="0.25">
      <c r="A15" s="331" t="s">
        <v>256</v>
      </c>
      <c r="B15" s="773" t="s">
        <v>601</v>
      </c>
      <c r="C15" s="303" t="s">
        <v>447</v>
      </c>
      <c r="D15" s="106" t="s">
        <v>445</v>
      </c>
      <c r="E15" s="107"/>
      <c r="F15" s="279">
        <v>363495</v>
      </c>
      <c r="G15" s="279"/>
      <c r="H15" s="108">
        <f t="shared" si="16"/>
        <v>363495</v>
      </c>
      <c r="I15" s="108"/>
      <c r="J15" s="108"/>
      <c r="K15" s="108"/>
      <c r="L15" s="108"/>
      <c r="M15" s="281">
        <f t="shared" si="17"/>
        <v>0</v>
      </c>
      <c r="N15" s="114"/>
      <c r="O15" s="114"/>
      <c r="P15" s="113"/>
      <c r="Q15" s="113"/>
      <c r="R15" s="113"/>
      <c r="S15" s="439">
        <f t="shared" si="7"/>
        <v>363495</v>
      </c>
      <c r="T15" s="440"/>
      <c r="U15" s="440"/>
      <c r="V15" s="404">
        <f t="shared" si="19"/>
        <v>0</v>
      </c>
      <c r="W15" s="404">
        <f t="shared" si="9"/>
        <v>363495</v>
      </c>
      <c r="X15" s="110">
        <v>1</v>
      </c>
      <c r="Y15" s="110">
        <v>0</v>
      </c>
      <c r="Z15" s="349">
        <f t="shared" si="10"/>
        <v>363495</v>
      </c>
      <c r="AA15" s="349">
        <f t="shared" si="11"/>
        <v>0</v>
      </c>
      <c r="AB15" s="406">
        <f>Z15+AA15</f>
        <v>363495</v>
      </c>
      <c r="AC15" s="420">
        <f t="shared" si="21"/>
        <v>115784.86</v>
      </c>
      <c r="AD15" s="224">
        <f t="shared" si="14"/>
        <v>0</v>
      </c>
      <c r="AE15" s="335">
        <f>AC15+AD15</f>
        <v>115784.86</v>
      </c>
      <c r="AG15" s="283"/>
      <c r="AH15" s="224"/>
      <c r="AI15" s="282">
        <f t="shared" si="23"/>
        <v>0</v>
      </c>
      <c r="AJ15" s="259"/>
    </row>
    <row r="16" spans="1:42" ht="45" x14ac:dyDescent="0.25">
      <c r="A16" s="331" t="s">
        <v>259</v>
      </c>
      <c r="B16" s="304" t="s">
        <v>452</v>
      </c>
      <c r="C16" s="303" t="s">
        <v>438</v>
      </c>
      <c r="D16" s="106" t="s">
        <v>439</v>
      </c>
      <c r="E16" s="107"/>
      <c r="F16" s="108">
        <v>344803.2</v>
      </c>
      <c r="G16" s="108"/>
      <c r="H16" s="108">
        <f t="shared" si="16"/>
        <v>344803.2</v>
      </c>
      <c r="I16" s="108"/>
      <c r="J16" s="108"/>
      <c r="K16" s="108"/>
      <c r="L16" s="108"/>
      <c r="M16" s="281">
        <f t="shared" si="17"/>
        <v>0</v>
      </c>
      <c r="N16" s="114"/>
      <c r="O16" s="114"/>
      <c r="P16" s="113"/>
      <c r="Q16" s="113"/>
      <c r="R16" s="113"/>
      <c r="S16" s="439">
        <f t="shared" si="7"/>
        <v>344803.2</v>
      </c>
      <c r="T16" s="440">
        <v>545938.4</v>
      </c>
      <c r="U16" s="440">
        <f>T16*0.1</f>
        <v>54593.840000000004</v>
      </c>
      <c r="V16" s="404">
        <f t="shared" si="19"/>
        <v>600532.24</v>
      </c>
      <c r="W16" s="404">
        <f t="shared" si="9"/>
        <v>945335.44</v>
      </c>
      <c r="X16" s="110">
        <v>1</v>
      </c>
      <c r="Y16" s="110">
        <v>0</v>
      </c>
      <c r="Z16" s="349">
        <f t="shared" si="10"/>
        <v>945335.44</v>
      </c>
      <c r="AA16" s="349">
        <f t="shared" si="11"/>
        <v>0</v>
      </c>
      <c r="AB16" s="406">
        <f>Z16+AA16</f>
        <v>945335.44</v>
      </c>
      <c r="AC16" s="420">
        <f>ROUND(Z16/$AF$2,2)</f>
        <v>301119.78000000003</v>
      </c>
      <c r="AD16" s="224">
        <f>ROUND(AA16/$AF$2,2)</f>
        <v>0</v>
      </c>
      <c r="AE16" s="335">
        <f>AC16+AD16</f>
        <v>301119.78000000003</v>
      </c>
      <c r="AG16" s="283"/>
      <c r="AH16" s="224"/>
      <c r="AI16" s="282">
        <f t="shared" si="23"/>
        <v>0</v>
      </c>
      <c r="AJ16" s="259"/>
    </row>
    <row r="17" spans="1:42" ht="76.5" hidden="1" x14ac:dyDescent="0.25">
      <c r="A17" s="332" t="s">
        <v>232</v>
      </c>
      <c r="B17" s="760" t="s">
        <v>602</v>
      </c>
      <c r="C17" s="303" t="s">
        <v>146</v>
      </c>
      <c r="D17" s="106" t="s">
        <v>76</v>
      </c>
      <c r="E17" s="107" t="s">
        <v>70</v>
      </c>
      <c r="F17" s="108">
        <v>899878.77</v>
      </c>
      <c r="G17" s="108"/>
      <c r="H17" s="108">
        <f t="shared" si="4"/>
        <v>899878.77</v>
      </c>
      <c r="I17" s="108"/>
      <c r="J17" s="108"/>
      <c r="K17" s="108">
        <v>899878.77</v>
      </c>
      <c r="L17" s="108"/>
      <c r="M17" s="114">
        <f t="shared" si="5"/>
        <v>899878.77</v>
      </c>
      <c r="N17" s="292">
        <v>0</v>
      </c>
      <c r="O17" s="112"/>
      <c r="P17" s="752">
        <v>417518.12</v>
      </c>
      <c r="Q17" s="113"/>
      <c r="R17" s="114">
        <f t="shared" si="6"/>
        <v>417518.12</v>
      </c>
      <c r="S17" s="439">
        <f t="shared" si="7"/>
        <v>0</v>
      </c>
      <c r="T17" s="440"/>
      <c r="U17" s="440"/>
      <c r="V17" s="404">
        <f t="shared" si="8"/>
        <v>0</v>
      </c>
      <c r="W17" s="404">
        <f t="shared" ref="W17:W41" si="24">+S17+V17</f>
        <v>0</v>
      </c>
      <c r="X17" s="110"/>
      <c r="Y17" s="110">
        <v>1</v>
      </c>
      <c r="Z17" s="349">
        <f t="shared" si="10"/>
        <v>0</v>
      </c>
      <c r="AA17" s="349">
        <f t="shared" si="11"/>
        <v>0</v>
      </c>
      <c r="AB17" s="405">
        <f t="shared" si="12"/>
        <v>0</v>
      </c>
      <c r="AC17" s="419">
        <f t="shared" si="13"/>
        <v>0</v>
      </c>
      <c r="AD17" s="114">
        <f t="shared" si="13"/>
        <v>0</v>
      </c>
      <c r="AE17" s="334">
        <f t="shared" si="15"/>
        <v>0</v>
      </c>
      <c r="AG17" s="267"/>
      <c r="AH17" s="114"/>
      <c r="AI17" s="131">
        <f t="shared" si="23"/>
        <v>0</v>
      </c>
      <c r="AJ17" s="259"/>
    </row>
    <row r="18" spans="1:42" ht="76.5" hidden="1" x14ac:dyDescent="0.25">
      <c r="A18" s="332" t="s">
        <v>231</v>
      </c>
      <c r="B18" s="760" t="s">
        <v>603</v>
      </c>
      <c r="C18" s="303" t="s">
        <v>45</v>
      </c>
      <c r="D18" s="106" t="s">
        <v>54</v>
      </c>
      <c r="E18" s="107" t="s">
        <v>70</v>
      </c>
      <c r="F18" s="108">
        <v>42378.46</v>
      </c>
      <c r="G18" s="108"/>
      <c r="H18" s="108">
        <f t="shared" si="4"/>
        <v>42378.46</v>
      </c>
      <c r="I18" s="108"/>
      <c r="J18" s="108"/>
      <c r="K18" s="108">
        <v>42378.460000000006</v>
      </c>
      <c r="L18" s="108"/>
      <c r="M18" s="114">
        <f t="shared" si="5"/>
        <v>42378.460000000006</v>
      </c>
      <c r="N18" s="292">
        <v>0</v>
      </c>
      <c r="O18" s="112"/>
      <c r="P18" s="752">
        <v>19710</v>
      </c>
      <c r="Q18" s="113"/>
      <c r="R18" s="114">
        <f t="shared" si="6"/>
        <v>19710</v>
      </c>
      <c r="S18" s="439">
        <f t="shared" si="7"/>
        <v>0</v>
      </c>
      <c r="T18" s="440"/>
      <c r="U18" s="440"/>
      <c r="V18" s="404">
        <f t="shared" si="8"/>
        <v>0</v>
      </c>
      <c r="W18" s="404">
        <f t="shared" si="24"/>
        <v>0</v>
      </c>
      <c r="X18" s="110"/>
      <c r="Y18" s="110">
        <v>1</v>
      </c>
      <c r="Z18" s="349">
        <f t="shared" si="10"/>
        <v>0</v>
      </c>
      <c r="AA18" s="349">
        <f t="shared" si="11"/>
        <v>0</v>
      </c>
      <c r="AB18" s="405">
        <f t="shared" si="12"/>
        <v>0</v>
      </c>
      <c r="AC18" s="419">
        <f t="shared" si="13"/>
        <v>0</v>
      </c>
      <c r="AD18" s="114">
        <f t="shared" si="13"/>
        <v>0</v>
      </c>
      <c r="AE18" s="334">
        <f t="shared" si="15"/>
        <v>0</v>
      </c>
      <c r="AG18" s="267"/>
      <c r="AH18" s="114"/>
      <c r="AI18" s="131"/>
      <c r="AJ18" s="259"/>
      <c r="AP18">
        <v>7.99</v>
      </c>
    </row>
    <row r="19" spans="1:42" ht="76.5" hidden="1" x14ac:dyDescent="0.25">
      <c r="A19" s="332" t="s">
        <v>234</v>
      </c>
      <c r="B19" s="132" t="s">
        <v>604</v>
      </c>
      <c r="C19" s="303" t="s">
        <v>44</v>
      </c>
      <c r="D19" s="106" t="s">
        <v>114</v>
      </c>
      <c r="E19" s="107" t="s">
        <v>70</v>
      </c>
      <c r="F19" s="108">
        <v>1719699.72</v>
      </c>
      <c r="G19" s="108"/>
      <c r="H19" s="108">
        <f t="shared" si="4"/>
        <v>1719699.72</v>
      </c>
      <c r="I19" s="108"/>
      <c r="J19" s="108"/>
      <c r="K19" s="108">
        <v>1719699.72</v>
      </c>
      <c r="L19" s="108"/>
      <c r="M19" s="114">
        <f t="shared" si="5"/>
        <v>1719699.72</v>
      </c>
      <c r="N19" s="292">
        <v>0</v>
      </c>
      <c r="O19" s="112"/>
      <c r="P19" s="752">
        <v>787408.29</v>
      </c>
      <c r="Q19" s="113"/>
      <c r="R19" s="114">
        <f t="shared" si="6"/>
        <v>787408.29</v>
      </c>
      <c r="S19" s="439">
        <f t="shared" si="7"/>
        <v>0</v>
      </c>
      <c r="T19" s="440"/>
      <c r="U19" s="440"/>
      <c r="V19" s="404">
        <f t="shared" si="8"/>
        <v>0</v>
      </c>
      <c r="W19" s="404">
        <f t="shared" si="24"/>
        <v>0</v>
      </c>
      <c r="X19" s="110"/>
      <c r="Y19" s="110">
        <v>1</v>
      </c>
      <c r="Z19" s="349">
        <f t="shared" si="10"/>
        <v>0</v>
      </c>
      <c r="AA19" s="349">
        <f t="shared" si="11"/>
        <v>0</v>
      </c>
      <c r="AB19" s="405">
        <f t="shared" si="12"/>
        <v>0</v>
      </c>
      <c r="AC19" s="419">
        <f t="shared" si="13"/>
        <v>0</v>
      </c>
      <c r="AD19" s="114">
        <f t="shared" si="13"/>
        <v>0</v>
      </c>
      <c r="AE19" s="334">
        <f t="shared" si="15"/>
        <v>0</v>
      </c>
      <c r="AG19" s="267"/>
      <c r="AH19" s="114"/>
      <c r="AI19" s="131">
        <f t="shared" ref="AI19:AI35" si="25">AG19+AH19</f>
        <v>0</v>
      </c>
      <c r="AJ19" s="259"/>
    </row>
    <row r="20" spans="1:42" ht="76.5" hidden="1" x14ac:dyDescent="0.25">
      <c r="A20" s="331" t="s">
        <v>262</v>
      </c>
      <c r="B20" s="760" t="s">
        <v>605</v>
      </c>
      <c r="C20" s="303" t="s">
        <v>43</v>
      </c>
      <c r="D20" s="106" t="s">
        <v>114</v>
      </c>
      <c r="E20" s="107" t="s">
        <v>70</v>
      </c>
      <c r="F20" s="108">
        <v>6873.37</v>
      </c>
      <c r="G20" s="108"/>
      <c r="H20" s="108">
        <f t="shared" si="4"/>
        <v>6873.37</v>
      </c>
      <c r="I20" s="108"/>
      <c r="J20" s="108"/>
      <c r="K20" s="108">
        <v>6873.37</v>
      </c>
      <c r="L20" s="108"/>
      <c r="M20" s="114">
        <f t="shared" si="5"/>
        <v>6873.37</v>
      </c>
      <c r="N20" s="292">
        <v>0</v>
      </c>
      <c r="O20" s="112"/>
      <c r="P20" s="752">
        <v>3196.77</v>
      </c>
      <c r="Q20" s="113"/>
      <c r="R20" s="114">
        <f t="shared" si="6"/>
        <v>3196.77</v>
      </c>
      <c r="S20" s="439">
        <f t="shared" si="7"/>
        <v>0</v>
      </c>
      <c r="T20" s="440"/>
      <c r="U20" s="440"/>
      <c r="V20" s="404">
        <f t="shared" si="8"/>
        <v>0</v>
      </c>
      <c r="W20" s="404">
        <f t="shared" si="24"/>
        <v>0</v>
      </c>
      <c r="X20" s="110"/>
      <c r="Y20" s="110">
        <v>1</v>
      </c>
      <c r="Z20" s="349">
        <f t="shared" si="10"/>
        <v>0</v>
      </c>
      <c r="AA20" s="349">
        <f t="shared" si="11"/>
        <v>0</v>
      </c>
      <c r="AB20" s="405">
        <f t="shared" si="12"/>
        <v>0</v>
      </c>
      <c r="AC20" s="419">
        <f t="shared" si="13"/>
        <v>0</v>
      </c>
      <c r="AD20" s="114">
        <f t="shared" si="13"/>
        <v>0</v>
      </c>
      <c r="AE20" s="334">
        <f t="shared" si="15"/>
        <v>0</v>
      </c>
      <c r="AG20" s="267"/>
      <c r="AH20" s="114"/>
      <c r="AI20" s="131">
        <f t="shared" si="25"/>
        <v>0</v>
      </c>
      <c r="AJ20" s="259"/>
    </row>
    <row r="21" spans="1:42" ht="51" hidden="1" x14ac:dyDescent="0.25">
      <c r="A21" s="332" t="s">
        <v>237</v>
      </c>
      <c r="B21" s="760" t="s">
        <v>606</v>
      </c>
      <c r="C21" s="303" t="s">
        <v>40</v>
      </c>
      <c r="D21" s="106" t="s">
        <v>53</v>
      </c>
      <c r="E21" s="107" t="s">
        <v>66</v>
      </c>
      <c r="F21" s="108">
        <v>78108.37</v>
      </c>
      <c r="G21" s="108"/>
      <c r="H21" s="108">
        <f t="shared" si="4"/>
        <v>78108.37</v>
      </c>
      <c r="I21" s="108">
        <v>78108.37000000001</v>
      </c>
      <c r="J21" s="108"/>
      <c r="K21" s="108"/>
      <c r="L21" s="108"/>
      <c r="M21" s="111">
        <f t="shared" si="5"/>
        <v>78108.37000000001</v>
      </c>
      <c r="N21" s="293">
        <v>35088.239999999998</v>
      </c>
      <c r="O21" s="113"/>
      <c r="P21" s="751"/>
      <c r="Q21" s="114"/>
      <c r="R21" s="111">
        <f t="shared" si="6"/>
        <v>35088.239999999998</v>
      </c>
      <c r="S21" s="439">
        <f t="shared" si="7"/>
        <v>0</v>
      </c>
      <c r="T21" s="440"/>
      <c r="U21" s="440"/>
      <c r="V21" s="404">
        <f t="shared" si="8"/>
        <v>0</v>
      </c>
      <c r="W21" s="404">
        <f t="shared" si="24"/>
        <v>0</v>
      </c>
      <c r="X21" s="110">
        <v>1</v>
      </c>
      <c r="Y21" s="110"/>
      <c r="Z21" s="349">
        <f t="shared" si="10"/>
        <v>0</v>
      </c>
      <c r="AA21" s="349">
        <f t="shared" si="11"/>
        <v>0</v>
      </c>
      <c r="AB21" s="405">
        <f t="shared" si="12"/>
        <v>0</v>
      </c>
      <c r="AC21" s="419">
        <f t="shared" si="13"/>
        <v>0</v>
      </c>
      <c r="AD21" s="114">
        <f t="shared" si="13"/>
        <v>0</v>
      </c>
      <c r="AE21" s="334">
        <f t="shared" si="15"/>
        <v>0</v>
      </c>
      <c r="AG21" s="267"/>
      <c r="AH21" s="114"/>
      <c r="AI21" s="131">
        <f t="shared" si="25"/>
        <v>0</v>
      </c>
      <c r="AJ21" s="259"/>
    </row>
    <row r="22" spans="1:42" ht="45" hidden="1" x14ac:dyDescent="0.25">
      <c r="A22" s="332" t="s">
        <v>238</v>
      </c>
      <c r="B22" s="760" t="s">
        <v>607</v>
      </c>
      <c r="C22" s="303" t="s">
        <v>32</v>
      </c>
      <c r="D22" s="106" t="s">
        <v>97</v>
      </c>
      <c r="E22" s="107" t="s">
        <v>57</v>
      </c>
      <c r="F22" s="108">
        <v>42880</v>
      </c>
      <c r="G22" s="108"/>
      <c r="H22" s="108">
        <f t="shared" si="4"/>
        <v>42880</v>
      </c>
      <c r="I22" s="108">
        <v>42880</v>
      </c>
      <c r="J22" s="108"/>
      <c r="K22" s="108"/>
      <c r="L22" s="108"/>
      <c r="M22" s="111">
        <f t="shared" si="5"/>
        <v>42880</v>
      </c>
      <c r="N22" s="293">
        <v>12228.71</v>
      </c>
      <c r="O22" s="113"/>
      <c r="P22" s="751"/>
      <c r="Q22" s="114"/>
      <c r="R22" s="111">
        <f t="shared" si="6"/>
        <v>12228.71</v>
      </c>
      <c r="S22" s="439">
        <f t="shared" si="7"/>
        <v>0</v>
      </c>
      <c r="T22" s="440"/>
      <c r="U22" s="440"/>
      <c r="V22" s="404">
        <f t="shared" si="8"/>
        <v>0</v>
      </c>
      <c r="W22" s="404">
        <f t="shared" si="24"/>
        <v>0</v>
      </c>
      <c r="X22" s="110">
        <v>1</v>
      </c>
      <c r="Y22" s="110"/>
      <c r="Z22" s="349">
        <f t="shared" si="10"/>
        <v>0</v>
      </c>
      <c r="AA22" s="349">
        <f t="shared" si="11"/>
        <v>0</v>
      </c>
      <c r="AB22" s="405">
        <f t="shared" si="12"/>
        <v>0</v>
      </c>
      <c r="AC22" s="419">
        <f t="shared" si="13"/>
        <v>0</v>
      </c>
      <c r="AD22" s="114">
        <f t="shared" si="13"/>
        <v>0</v>
      </c>
      <c r="AE22" s="334">
        <f t="shared" si="15"/>
        <v>0</v>
      </c>
      <c r="AG22" s="267"/>
      <c r="AH22" s="114"/>
      <c r="AI22" s="131">
        <f t="shared" si="25"/>
        <v>0</v>
      </c>
      <c r="AJ22" s="259"/>
    </row>
    <row r="23" spans="1:42" ht="89.25" hidden="1" x14ac:dyDescent="0.25">
      <c r="A23" s="332" t="s">
        <v>239</v>
      </c>
      <c r="B23" s="760" t="s">
        <v>608</v>
      </c>
      <c r="C23" s="303" t="s">
        <v>26</v>
      </c>
      <c r="D23" s="106" t="s">
        <v>108</v>
      </c>
      <c r="E23" s="107" t="s">
        <v>5</v>
      </c>
      <c r="F23" s="108">
        <v>324074.51</v>
      </c>
      <c r="G23" s="108"/>
      <c r="H23" s="108">
        <f t="shared" si="4"/>
        <v>324074.51</v>
      </c>
      <c r="I23" s="108">
        <v>324074.51</v>
      </c>
      <c r="J23" s="108"/>
      <c r="K23" s="108"/>
      <c r="L23" s="108"/>
      <c r="M23" s="111">
        <f t="shared" si="5"/>
        <v>324074.51</v>
      </c>
      <c r="N23" s="293">
        <v>88581.91</v>
      </c>
      <c r="O23" s="113"/>
      <c r="P23" s="751"/>
      <c r="Q23" s="114"/>
      <c r="R23" s="111">
        <f t="shared" si="6"/>
        <v>88581.91</v>
      </c>
      <c r="S23" s="439">
        <f t="shared" si="7"/>
        <v>0</v>
      </c>
      <c r="T23" s="440"/>
      <c r="U23" s="440"/>
      <c r="V23" s="404">
        <f t="shared" si="8"/>
        <v>0</v>
      </c>
      <c r="W23" s="404">
        <f t="shared" si="24"/>
        <v>0</v>
      </c>
      <c r="X23" s="110">
        <v>1</v>
      </c>
      <c r="Y23" s="110"/>
      <c r="Z23" s="349">
        <f t="shared" si="10"/>
        <v>0</v>
      </c>
      <c r="AA23" s="349">
        <f t="shared" si="11"/>
        <v>0</v>
      </c>
      <c r="AB23" s="405">
        <f t="shared" si="12"/>
        <v>0</v>
      </c>
      <c r="AC23" s="419">
        <f t="shared" si="13"/>
        <v>0</v>
      </c>
      <c r="AD23" s="114">
        <f t="shared" si="13"/>
        <v>0</v>
      </c>
      <c r="AE23" s="334">
        <f t="shared" si="15"/>
        <v>0</v>
      </c>
      <c r="AG23" s="267"/>
      <c r="AH23" s="114"/>
      <c r="AI23" s="131">
        <f t="shared" si="25"/>
        <v>0</v>
      </c>
      <c r="AJ23" s="259"/>
    </row>
    <row r="24" spans="1:42" ht="45" hidden="1" x14ac:dyDescent="0.25">
      <c r="A24" s="332" t="s">
        <v>241</v>
      </c>
      <c r="B24" s="760" t="s">
        <v>609</v>
      </c>
      <c r="C24" s="303" t="s">
        <v>33</v>
      </c>
      <c r="D24" s="106" t="s">
        <v>99</v>
      </c>
      <c r="E24" s="107" t="s">
        <v>62</v>
      </c>
      <c r="F24" s="108">
        <v>248631.8</v>
      </c>
      <c r="G24" s="108"/>
      <c r="H24" s="108">
        <f t="shared" si="4"/>
        <v>248631.8</v>
      </c>
      <c r="I24" s="108">
        <v>248631.8</v>
      </c>
      <c r="J24" s="108"/>
      <c r="K24" s="108"/>
      <c r="L24" s="108"/>
      <c r="M24" s="111">
        <f t="shared" si="5"/>
        <v>248631.8</v>
      </c>
      <c r="N24" s="293">
        <v>100319.48</v>
      </c>
      <c r="O24" s="113"/>
      <c r="P24" s="114"/>
      <c r="Q24" s="114"/>
      <c r="R24" s="111">
        <f t="shared" si="6"/>
        <v>100319.48</v>
      </c>
      <c r="S24" s="439">
        <f t="shared" si="7"/>
        <v>0</v>
      </c>
      <c r="T24" s="440"/>
      <c r="U24" s="440"/>
      <c r="V24" s="404">
        <f t="shared" si="8"/>
        <v>0</v>
      </c>
      <c r="W24" s="404">
        <f t="shared" si="24"/>
        <v>0</v>
      </c>
      <c r="X24" s="110">
        <v>1</v>
      </c>
      <c r="Y24" s="110"/>
      <c r="Z24" s="349">
        <f t="shared" si="10"/>
        <v>0</v>
      </c>
      <c r="AA24" s="349">
        <f t="shared" si="11"/>
        <v>0</v>
      </c>
      <c r="AB24" s="405">
        <f t="shared" si="12"/>
        <v>0</v>
      </c>
      <c r="AC24" s="419">
        <f t="shared" si="13"/>
        <v>0</v>
      </c>
      <c r="AD24" s="114">
        <f t="shared" si="13"/>
        <v>0</v>
      </c>
      <c r="AE24" s="334">
        <f t="shared" si="15"/>
        <v>0</v>
      </c>
      <c r="AG24" s="267"/>
      <c r="AH24" s="114"/>
      <c r="AI24" s="131">
        <f t="shared" si="25"/>
        <v>0</v>
      </c>
      <c r="AJ24" s="259"/>
    </row>
    <row r="25" spans="1:42" ht="51" hidden="1" x14ac:dyDescent="0.25">
      <c r="A25" s="332" t="s">
        <v>242</v>
      </c>
      <c r="B25" s="760" t="s">
        <v>610</v>
      </c>
      <c r="C25" s="303" t="s">
        <v>31</v>
      </c>
      <c r="D25" s="106" t="s">
        <v>96</v>
      </c>
      <c r="E25" s="107" t="s">
        <v>61</v>
      </c>
      <c r="F25" s="108">
        <v>389929</v>
      </c>
      <c r="G25" s="108"/>
      <c r="H25" s="108">
        <f t="shared" si="4"/>
        <v>389929</v>
      </c>
      <c r="I25" s="108">
        <v>389929</v>
      </c>
      <c r="J25" s="108"/>
      <c r="K25" s="108"/>
      <c r="L25" s="108"/>
      <c r="M25" s="111">
        <f t="shared" si="5"/>
        <v>389929</v>
      </c>
      <c r="N25" s="293">
        <v>131608.28</v>
      </c>
      <c r="O25" s="113"/>
      <c r="P25" s="114"/>
      <c r="Q25" s="114"/>
      <c r="R25" s="111">
        <f t="shared" si="6"/>
        <v>131608.28</v>
      </c>
      <c r="S25" s="439">
        <f t="shared" si="7"/>
        <v>0</v>
      </c>
      <c r="T25" s="440"/>
      <c r="U25" s="440"/>
      <c r="V25" s="404">
        <f t="shared" si="8"/>
        <v>0</v>
      </c>
      <c r="W25" s="404">
        <f t="shared" si="24"/>
        <v>0</v>
      </c>
      <c r="X25" s="110">
        <v>1</v>
      </c>
      <c r="Y25" s="110"/>
      <c r="Z25" s="349">
        <f t="shared" si="10"/>
        <v>0</v>
      </c>
      <c r="AA25" s="349">
        <f t="shared" si="11"/>
        <v>0</v>
      </c>
      <c r="AB25" s="405">
        <f t="shared" si="12"/>
        <v>0</v>
      </c>
      <c r="AC25" s="419">
        <f t="shared" si="13"/>
        <v>0</v>
      </c>
      <c r="AD25" s="114">
        <f t="shared" si="13"/>
        <v>0</v>
      </c>
      <c r="AE25" s="334">
        <f t="shared" si="15"/>
        <v>0</v>
      </c>
      <c r="AG25" s="267"/>
      <c r="AH25" s="114"/>
      <c r="AI25" s="131">
        <f t="shared" si="25"/>
        <v>0</v>
      </c>
      <c r="AJ25" s="259"/>
    </row>
    <row r="26" spans="1:42" ht="51" hidden="1" x14ac:dyDescent="0.25">
      <c r="A26" s="332" t="s">
        <v>242</v>
      </c>
      <c r="B26" s="760" t="s">
        <v>611</v>
      </c>
      <c r="C26" s="303" t="s">
        <v>30</v>
      </c>
      <c r="D26" s="106" t="s">
        <v>98</v>
      </c>
      <c r="E26" s="107" t="s">
        <v>59</v>
      </c>
      <c r="F26" s="108">
        <v>374689</v>
      </c>
      <c r="G26" s="108"/>
      <c r="H26" s="108">
        <f t="shared" si="4"/>
        <v>374689</v>
      </c>
      <c r="I26" s="108">
        <v>374689</v>
      </c>
      <c r="J26" s="108"/>
      <c r="K26" s="108"/>
      <c r="L26" s="108"/>
      <c r="M26" s="111">
        <f t="shared" si="5"/>
        <v>374689</v>
      </c>
      <c r="N26" s="293">
        <v>126464.49</v>
      </c>
      <c r="O26" s="113"/>
      <c r="P26" s="114"/>
      <c r="Q26" s="114"/>
      <c r="R26" s="111">
        <f t="shared" si="6"/>
        <v>126464.49</v>
      </c>
      <c r="S26" s="439">
        <f t="shared" si="7"/>
        <v>0</v>
      </c>
      <c r="T26" s="440"/>
      <c r="U26" s="440"/>
      <c r="V26" s="404">
        <f t="shared" si="8"/>
        <v>0</v>
      </c>
      <c r="W26" s="404">
        <f t="shared" si="24"/>
        <v>0</v>
      </c>
      <c r="X26" s="110">
        <v>1</v>
      </c>
      <c r="Y26" s="110"/>
      <c r="Z26" s="349">
        <f t="shared" si="10"/>
        <v>0</v>
      </c>
      <c r="AA26" s="349">
        <f t="shared" si="11"/>
        <v>0</v>
      </c>
      <c r="AB26" s="405">
        <f t="shared" si="12"/>
        <v>0</v>
      </c>
      <c r="AC26" s="419">
        <f t="shared" si="13"/>
        <v>0</v>
      </c>
      <c r="AD26" s="114">
        <f t="shared" si="13"/>
        <v>0</v>
      </c>
      <c r="AE26" s="334">
        <f t="shared" si="15"/>
        <v>0</v>
      </c>
      <c r="AG26" s="267"/>
      <c r="AH26" s="114"/>
      <c r="AI26" s="131">
        <f t="shared" si="25"/>
        <v>0</v>
      </c>
      <c r="AJ26" s="259"/>
    </row>
    <row r="27" spans="1:42" ht="45" hidden="1" x14ac:dyDescent="0.25">
      <c r="A27" s="332" t="s">
        <v>247</v>
      </c>
      <c r="B27" s="760" t="s">
        <v>612</v>
      </c>
      <c r="C27" s="303" t="s">
        <v>29</v>
      </c>
      <c r="D27" s="106" t="s">
        <v>110</v>
      </c>
      <c r="E27" s="107" t="s">
        <v>56</v>
      </c>
      <c r="F27" s="108">
        <v>103500</v>
      </c>
      <c r="G27" s="108"/>
      <c r="H27" s="108">
        <f t="shared" si="4"/>
        <v>103500</v>
      </c>
      <c r="I27" s="108">
        <v>103500</v>
      </c>
      <c r="J27" s="108"/>
      <c r="K27" s="108"/>
      <c r="L27" s="108"/>
      <c r="M27" s="111">
        <f t="shared" si="5"/>
        <v>103500</v>
      </c>
      <c r="N27" s="293">
        <v>27479.09</v>
      </c>
      <c r="O27" s="113"/>
      <c r="P27" s="114"/>
      <c r="Q27" s="114"/>
      <c r="R27" s="111">
        <f t="shared" si="6"/>
        <v>27479.09</v>
      </c>
      <c r="S27" s="439">
        <f t="shared" si="7"/>
        <v>0</v>
      </c>
      <c r="T27" s="440"/>
      <c r="U27" s="440"/>
      <c r="V27" s="404">
        <f t="shared" si="8"/>
        <v>0</v>
      </c>
      <c r="W27" s="404">
        <f t="shared" si="24"/>
        <v>0</v>
      </c>
      <c r="X27" s="110">
        <v>1</v>
      </c>
      <c r="Y27" s="110"/>
      <c r="Z27" s="349">
        <f t="shared" si="10"/>
        <v>0</v>
      </c>
      <c r="AA27" s="349">
        <f t="shared" si="11"/>
        <v>0</v>
      </c>
      <c r="AB27" s="405">
        <f t="shared" si="12"/>
        <v>0</v>
      </c>
      <c r="AC27" s="419">
        <f t="shared" si="13"/>
        <v>0</v>
      </c>
      <c r="AD27" s="114">
        <f t="shared" si="13"/>
        <v>0</v>
      </c>
      <c r="AE27" s="334">
        <f t="shared" si="15"/>
        <v>0</v>
      </c>
      <c r="AG27" s="267"/>
      <c r="AH27" s="114"/>
      <c r="AI27" s="131">
        <f t="shared" si="25"/>
        <v>0</v>
      </c>
      <c r="AJ27" s="259"/>
    </row>
    <row r="28" spans="1:42" ht="51" hidden="1" x14ac:dyDescent="0.25">
      <c r="A28" s="332" t="s">
        <v>248</v>
      </c>
      <c r="B28" s="760" t="s">
        <v>613</v>
      </c>
      <c r="C28" s="303" t="s">
        <v>27</v>
      </c>
      <c r="D28" s="106" t="s">
        <v>109</v>
      </c>
      <c r="E28" s="107" t="s">
        <v>55</v>
      </c>
      <c r="F28" s="108">
        <v>194063</v>
      </c>
      <c r="G28" s="108"/>
      <c r="H28" s="108">
        <f t="shared" si="4"/>
        <v>194063</v>
      </c>
      <c r="I28" s="108">
        <v>194063</v>
      </c>
      <c r="J28" s="108"/>
      <c r="K28" s="108"/>
      <c r="L28" s="108"/>
      <c r="M28" s="111">
        <f t="shared" si="5"/>
        <v>194063</v>
      </c>
      <c r="N28" s="293">
        <v>51523.42</v>
      </c>
      <c r="O28" s="113"/>
      <c r="P28" s="114"/>
      <c r="Q28" s="114"/>
      <c r="R28" s="111">
        <f t="shared" si="6"/>
        <v>51523.42</v>
      </c>
      <c r="S28" s="439">
        <f t="shared" si="7"/>
        <v>0</v>
      </c>
      <c r="T28" s="440"/>
      <c r="U28" s="440"/>
      <c r="V28" s="404">
        <f t="shared" si="8"/>
        <v>0</v>
      </c>
      <c r="W28" s="404">
        <f t="shared" si="24"/>
        <v>0</v>
      </c>
      <c r="X28" s="110">
        <v>1</v>
      </c>
      <c r="Y28" s="110"/>
      <c r="Z28" s="349">
        <f t="shared" si="10"/>
        <v>0</v>
      </c>
      <c r="AA28" s="349">
        <f t="shared" si="11"/>
        <v>0</v>
      </c>
      <c r="AB28" s="405">
        <f t="shared" si="12"/>
        <v>0</v>
      </c>
      <c r="AC28" s="419">
        <f t="shared" si="13"/>
        <v>0</v>
      </c>
      <c r="AD28" s="114">
        <f t="shared" si="13"/>
        <v>0</v>
      </c>
      <c r="AE28" s="334">
        <f t="shared" si="15"/>
        <v>0</v>
      </c>
      <c r="AG28" s="267"/>
      <c r="AH28" s="114"/>
      <c r="AI28" s="131">
        <f t="shared" si="25"/>
        <v>0</v>
      </c>
      <c r="AJ28" s="259"/>
    </row>
    <row r="29" spans="1:42" ht="51" hidden="1" x14ac:dyDescent="0.25">
      <c r="A29" s="332" t="s">
        <v>249</v>
      </c>
      <c r="B29" s="760" t="s">
        <v>614</v>
      </c>
      <c r="C29" s="303" t="s">
        <v>25</v>
      </c>
      <c r="D29" s="106" t="s">
        <v>107</v>
      </c>
      <c r="E29" s="107" t="s">
        <v>159</v>
      </c>
      <c r="F29" s="108">
        <v>77880</v>
      </c>
      <c r="G29" s="108"/>
      <c r="H29" s="108">
        <f t="shared" si="4"/>
        <v>77880</v>
      </c>
      <c r="I29" s="108">
        <v>77880</v>
      </c>
      <c r="J29" s="108"/>
      <c r="K29" s="108"/>
      <c r="L29" s="108"/>
      <c r="M29" s="111">
        <f t="shared" si="5"/>
        <v>77880</v>
      </c>
      <c r="N29" s="476">
        <v>20677.04</v>
      </c>
      <c r="O29" s="113"/>
      <c r="P29" s="114"/>
      <c r="Q29" s="114"/>
      <c r="R29" s="111">
        <f t="shared" si="6"/>
        <v>20677.04</v>
      </c>
      <c r="S29" s="439">
        <f t="shared" si="7"/>
        <v>0</v>
      </c>
      <c r="T29" s="440"/>
      <c r="U29" s="440"/>
      <c r="V29" s="404">
        <f t="shared" si="8"/>
        <v>0</v>
      </c>
      <c r="W29" s="404">
        <f t="shared" si="24"/>
        <v>0</v>
      </c>
      <c r="X29" s="110">
        <v>1</v>
      </c>
      <c r="Y29" s="110"/>
      <c r="Z29" s="349">
        <f t="shared" si="10"/>
        <v>0</v>
      </c>
      <c r="AA29" s="349">
        <f t="shared" si="11"/>
        <v>0</v>
      </c>
      <c r="AB29" s="405">
        <f t="shared" si="12"/>
        <v>0</v>
      </c>
      <c r="AC29" s="419">
        <f t="shared" si="13"/>
        <v>0</v>
      </c>
      <c r="AD29" s="114">
        <f t="shared" si="13"/>
        <v>0</v>
      </c>
      <c r="AE29" s="334">
        <f t="shared" si="15"/>
        <v>0</v>
      </c>
      <c r="AG29" s="267"/>
      <c r="AH29" s="114"/>
      <c r="AI29" s="131">
        <f t="shared" si="25"/>
        <v>0</v>
      </c>
      <c r="AJ29" s="259"/>
    </row>
    <row r="30" spans="1:42" ht="45" hidden="1" x14ac:dyDescent="0.25">
      <c r="A30" s="332" t="s">
        <v>250</v>
      </c>
      <c r="B30" s="760" t="s">
        <v>615</v>
      </c>
      <c r="C30" s="303" t="s">
        <v>37</v>
      </c>
      <c r="D30" s="106" t="s">
        <v>116</v>
      </c>
      <c r="E30" s="107" t="s">
        <v>63</v>
      </c>
      <c r="F30" s="108">
        <v>45307.5</v>
      </c>
      <c r="G30" s="108"/>
      <c r="H30" s="108">
        <f t="shared" si="4"/>
        <v>45307.5</v>
      </c>
      <c r="I30" s="108">
        <v>45307.5</v>
      </c>
      <c r="J30" s="108"/>
      <c r="K30" s="108"/>
      <c r="L30" s="108"/>
      <c r="M30" s="111">
        <f t="shared" si="5"/>
        <v>45307.5</v>
      </c>
      <c r="N30" s="293">
        <v>18280.95</v>
      </c>
      <c r="O30" s="113"/>
      <c r="P30" s="114"/>
      <c r="Q30" s="114"/>
      <c r="R30" s="111">
        <f t="shared" si="6"/>
        <v>18280.95</v>
      </c>
      <c r="S30" s="439">
        <f t="shared" si="7"/>
        <v>0</v>
      </c>
      <c r="T30" s="440"/>
      <c r="U30" s="440"/>
      <c r="V30" s="404">
        <f t="shared" si="8"/>
        <v>0</v>
      </c>
      <c r="W30" s="404">
        <f>+S30+V30</f>
        <v>0</v>
      </c>
      <c r="X30" s="110">
        <v>1</v>
      </c>
      <c r="Y30" s="110"/>
      <c r="Z30" s="349">
        <f t="shared" si="10"/>
        <v>0</v>
      </c>
      <c r="AA30" s="349">
        <f t="shared" si="11"/>
        <v>0</v>
      </c>
      <c r="AB30" s="405">
        <f t="shared" si="12"/>
        <v>0</v>
      </c>
      <c r="AC30" s="419">
        <f t="shared" si="13"/>
        <v>0</v>
      </c>
      <c r="AD30" s="114">
        <f t="shared" si="13"/>
        <v>0</v>
      </c>
      <c r="AE30" s="334">
        <f t="shared" si="15"/>
        <v>0</v>
      </c>
      <c r="AG30" s="267"/>
      <c r="AH30" s="114"/>
      <c r="AI30" s="131">
        <f t="shared" si="25"/>
        <v>0</v>
      </c>
      <c r="AJ30" s="259"/>
    </row>
    <row r="31" spans="1:42" ht="51" hidden="1" x14ac:dyDescent="0.25">
      <c r="A31" s="332" t="s">
        <v>426</v>
      </c>
      <c r="B31" s="760" t="s">
        <v>616</v>
      </c>
      <c r="C31" s="303" t="s">
        <v>155</v>
      </c>
      <c r="D31" s="106" t="s">
        <v>156</v>
      </c>
      <c r="E31" s="107" t="s">
        <v>160</v>
      </c>
      <c r="F31" s="108">
        <v>29900</v>
      </c>
      <c r="G31" s="108"/>
      <c r="H31" s="108">
        <f t="shared" si="4"/>
        <v>29900</v>
      </c>
      <c r="I31" s="108">
        <v>29900</v>
      </c>
      <c r="J31" s="108"/>
      <c r="K31" s="108"/>
      <c r="L31" s="108"/>
      <c r="M31" s="111">
        <f t="shared" si="5"/>
        <v>29900</v>
      </c>
      <c r="N31" s="476">
        <v>8641.6200000000008</v>
      </c>
      <c r="O31" s="113"/>
      <c r="P31" s="114"/>
      <c r="Q31" s="114"/>
      <c r="R31" s="111">
        <f t="shared" si="6"/>
        <v>8641.6200000000008</v>
      </c>
      <c r="S31" s="439">
        <f t="shared" si="7"/>
        <v>0</v>
      </c>
      <c r="T31" s="440"/>
      <c r="U31" s="440"/>
      <c r="V31" s="404">
        <f t="shared" si="8"/>
        <v>0</v>
      </c>
      <c r="W31" s="404">
        <f t="shared" si="24"/>
        <v>0</v>
      </c>
      <c r="X31" s="110">
        <v>1</v>
      </c>
      <c r="Y31" s="110"/>
      <c r="Z31" s="349">
        <f t="shared" si="10"/>
        <v>0</v>
      </c>
      <c r="AA31" s="349">
        <f t="shared" si="11"/>
        <v>0</v>
      </c>
      <c r="AB31" s="405">
        <f t="shared" si="12"/>
        <v>0</v>
      </c>
      <c r="AC31" s="419">
        <f t="shared" si="13"/>
        <v>0</v>
      </c>
      <c r="AD31" s="114">
        <f t="shared" si="13"/>
        <v>0</v>
      </c>
      <c r="AE31" s="334">
        <f t="shared" si="15"/>
        <v>0</v>
      </c>
      <c r="AG31" s="267"/>
      <c r="AH31" s="114"/>
      <c r="AI31" s="131">
        <f t="shared" si="25"/>
        <v>0</v>
      </c>
      <c r="AJ31" s="259"/>
    </row>
    <row r="32" spans="1:42" ht="51" hidden="1" x14ac:dyDescent="0.25">
      <c r="A32" s="332" t="s">
        <v>426</v>
      </c>
      <c r="B32" s="760" t="s">
        <v>617</v>
      </c>
      <c r="C32" s="303" t="s">
        <v>157</v>
      </c>
      <c r="D32" s="106" t="s">
        <v>156</v>
      </c>
      <c r="E32" s="107"/>
      <c r="F32" s="108">
        <v>6600</v>
      </c>
      <c r="G32" s="108"/>
      <c r="H32" s="108">
        <f t="shared" si="4"/>
        <v>6600</v>
      </c>
      <c r="I32" s="108">
        <v>6600</v>
      </c>
      <c r="J32" s="108"/>
      <c r="K32" s="108"/>
      <c r="L32" s="108"/>
      <c r="M32" s="111">
        <f t="shared" si="5"/>
        <v>6600</v>
      </c>
      <c r="N32" s="476">
        <v>1907.52</v>
      </c>
      <c r="O32" s="113"/>
      <c r="P32" s="114"/>
      <c r="Q32" s="114"/>
      <c r="R32" s="111">
        <f t="shared" si="6"/>
        <v>1907.52</v>
      </c>
      <c r="S32" s="439">
        <f t="shared" si="7"/>
        <v>0</v>
      </c>
      <c r="T32" s="440"/>
      <c r="U32" s="440"/>
      <c r="V32" s="404">
        <f t="shared" si="8"/>
        <v>0</v>
      </c>
      <c r="W32" s="404">
        <f t="shared" si="24"/>
        <v>0</v>
      </c>
      <c r="X32" s="110">
        <v>1</v>
      </c>
      <c r="Y32" s="110"/>
      <c r="Z32" s="349">
        <f t="shared" si="10"/>
        <v>0</v>
      </c>
      <c r="AA32" s="349">
        <f t="shared" si="11"/>
        <v>0</v>
      </c>
      <c r="AB32" s="405">
        <f t="shared" si="12"/>
        <v>0</v>
      </c>
      <c r="AC32" s="419">
        <f t="shared" si="13"/>
        <v>0</v>
      </c>
      <c r="AD32" s="114">
        <f t="shared" si="13"/>
        <v>0</v>
      </c>
      <c r="AE32" s="334">
        <f t="shared" si="15"/>
        <v>0</v>
      </c>
      <c r="AG32" s="267"/>
      <c r="AH32" s="114"/>
      <c r="AI32" s="131">
        <f t="shared" si="25"/>
        <v>0</v>
      </c>
      <c r="AJ32" s="259"/>
    </row>
    <row r="33" spans="1:40" ht="51" hidden="1" x14ac:dyDescent="0.25">
      <c r="A33" s="332" t="s">
        <v>252</v>
      </c>
      <c r="B33" s="760" t="s">
        <v>618</v>
      </c>
      <c r="C33" s="303" t="s">
        <v>35</v>
      </c>
      <c r="D33" s="106" t="s">
        <v>111</v>
      </c>
      <c r="E33" s="107" t="s">
        <v>60</v>
      </c>
      <c r="F33" s="108">
        <v>19794</v>
      </c>
      <c r="G33" s="108"/>
      <c r="H33" s="108">
        <f t="shared" si="4"/>
        <v>19794</v>
      </c>
      <c r="I33" s="108">
        <v>19794</v>
      </c>
      <c r="J33" s="108"/>
      <c r="K33" s="108"/>
      <c r="L33" s="108"/>
      <c r="M33" s="111">
        <f t="shared" si="5"/>
        <v>19794</v>
      </c>
      <c r="N33" s="293">
        <v>6680.84</v>
      </c>
      <c r="O33" s="113"/>
      <c r="P33" s="114"/>
      <c r="Q33" s="114"/>
      <c r="R33" s="111">
        <f t="shared" si="6"/>
        <v>6680.84</v>
      </c>
      <c r="S33" s="439">
        <f t="shared" si="7"/>
        <v>0</v>
      </c>
      <c r="T33" s="440"/>
      <c r="U33" s="440"/>
      <c r="V33" s="404">
        <f t="shared" si="8"/>
        <v>0</v>
      </c>
      <c r="W33" s="404">
        <f>+S33+V33</f>
        <v>0</v>
      </c>
      <c r="X33" s="110">
        <v>1</v>
      </c>
      <c r="Y33" s="110"/>
      <c r="Z33" s="349">
        <f t="shared" si="10"/>
        <v>0</v>
      </c>
      <c r="AA33" s="349">
        <f t="shared" si="11"/>
        <v>0</v>
      </c>
      <c r="AB33" s="405">
        <f t="shared" si="12"/>
        <v>0</v>
      </c>
      <c r="AC33" s="419">
        <f t="shared" si="13"/>
        <v>0</v>
      </c>
      <c r="AD33" s="114">
        <f t="shared" si="13"/>
        <v>0</v>
      </c>
      <c r="AE33" s="334">
        <f t="shared" si="15"/>
        <v>0</v>
      </c>
      <c r="AG33" s="267"/>
      <c r="AH33" s="114"/>
      <c r="AI33" s="131">
        <f t="shared" si="25"/>
        <v>0</v>
      </c>
      <c r="AJ33" s="259"/>
    </row>
    <row r="34" spans="1:40" ht="89.25" hidden="1" x14ac:dyDescent="0.25">
      <c r="A34" s="332" t="s">
        <v>253</v>
      </c>
      <c r="B34" s="760" t="s">
        <v>619</v>
      </c>
      <c r="C34" s="303" t="s">
        <v>42</v>
      </c>
      <c r="D34" s="106" t="s">
        <v>113</v>
      </c>
      <c r="E34" s="107" t="s">
        <v>68</v>
      </c>
      <c r="F34" s="108">
        <v>72420</v>
      </c>
      <c r="G34" s="108"/>
      <c r="H34" s="108">
        <f t="shared" si="4"/>
        <v>72420</v>
      </c>
      <c r="I34" s="108"/>
      <c r="J34" s="108"/>
      <c r="K34" s="108">
        <v>72420</v>
      </c>
      <c r="L34" s="108"/>
      <c r="M34" s="111">
        <f t="shared" si="5"/>
        <v>72420</v>
      </c>
      <c r="N34" s="114"/>
      <c r="O34" s="114"/>
      <c r="P34" s="113">
        <v>30907.78</v>
      </c>
      <c r="Q34" s="113"/>
      <c r="R34" s="111">
        <f t="shared" si="6"/>
        <v>30907.78</v>
      </c>
      <c r="S34" s="439">
        <f t="shared" si="7"/>
        <v>0</v>
      </c>
      <c r="T34" s="440"/>
      <c r="U34" s="440"/>
      <c r="V34" s="404">
        <f t="shared" si="8"/>
        <v>0</v>
      </c>
      <c r="W34" s="404">
        <f t="shared" si="24"/>
        <v>0</v>
      </c>
      <c r="X34" s="110"/>
      <c r="Y34" s="110">
        <v>1</v>
      </c>
      <c r="Z34" s="349">
        <f t="shared" si="10"/>
        <v>0</v>
      </c>
      <c r="AA34" s="349">
        <f t="shared" si="11"/>
        <v>0</v>
      </c>
      <c r="AB34" s="405">
        <f t="shared" si="12"/>
        <v>0</v>
      </c>
      <c r="AC34" s="419">
        <f t="shared" si="13"/>
        <v>0</v>
      </c>
      <c r="AD34" s="114">
        <f t="shared" si="13"/>
        <v>0</v>
      </c>
      <c r="AE34" s="334">
        <f t="shared" si="15"/>
        <v>0</v>
      </c>
      <c r="AG34" s="267"/>
      <c r="AH34" s="114"/>
      <c r="AI34" s="131">
        <f t="shared" si="25"/>
        <v>0</v>
      </c>
      <c r="AJ34" s="259"/>
    </row>
    <row r="35" spans="1:40" ht="89.25" hidden="1" x14ac:dyDescent="0.25">
      <c r="A35" s="332" t="s">
        <v>253</v>
      </c>
      <c r="B35" s="760" t="s">
        <v>620</v>
      </c>
      <c r="C35" s="303" t="s">
        <v>41</v>
      </c>
      <c r="D35" s="106" t="s">
        <v>112</v>
      </c>
      <c r="E35" s="107" t="s">
        <v>68</v>
      </c>
      <c r="F35" s="108">
        <v>51300</v>
      </c>
      <c r="G35" s="108"/>
      <c r="H35" s="108">
        <f t="shared" si="4"/>
        <v>51300</v>
      </c>
      <c r="I35" s="279"/>
      <c r="J35" s="279"/>
      <c r="K35" s="279">
        <v>51300</v>
      </c>
      <c r="L35" s="279"/>
      <c r="M35" s="281">
        <f t="shared" si="5"/>
        <v>51300</v>
      </c>
      <c r="N35" s="224"/>
      <c r="O35" s="224"/>
      <c r="P35" s="280">
        <v>21894.07</v>
      </c>
      <c r="Q35" s="280"/>
      <c r="R35" s="281">
        <f t="shared" si="6"/>
        <v>21894.07</v>
      </c>
      <c r="S35" s="439">
        <f t="shared" si="7"/>
        <v>0</v>
      </c>
      <c r="T35" s="440"/>
      <c r="U35" s="440"/>
      <c r="V35" s="404">
        <f t="shared" si="8"/>
        <v>0</v>
      </c>
      <c r="W35" s="404">
        <f t="shared" si="24"/>
        <v>0</v>
      </c>
      <c r="X35" s="284"/>
      <c r="Y35" s="284">
        <v>1</v>
      </c>
      <c r="Z35" s="349">
        <f t="shared" si="10"/>
        <v>0</v>
      </c>
      <c r="AA35" s="349">
        <f t="shared" si="11"/>
        <v>0</v>
      </c>
      <c r="AB35" s="406">
        <f t="shared" si="12"/>
        <v>0</v>
      </c>
      <c r="AC35" s="420">
        <f t="shared" si="13"/>
        <v>0</v>
      </c>
      <c r="AD35" s="224">
        <f t="shared" si="13"/>
        <v>0</v>
      </c>
      <c r="AE35" s="335">
        <f t="shared" si="15"/>
        <v>0</v>
      </c>
      <c r="AG35" s="283"/>
      <c r="AH35" s="224"/>
      <c r="AI35" s="282">
        <f t="shared" si="25"/>
        <v>0</v>
      </c>
      <c r="AJ35" s="259"/>
    </row>
    <row r="36" spans="1:40" ht="25.5" x14ac:dyDescent="0.25">
      <c r="A36" s="331" t="s">
        <v>254</v>
      </c>
      <c r="B36" s="758" t="s">
        <v>264</v>
      </c>
      <c r="C36" s="303"/>
      <c r="D36" s="106"/>
      <c r="E36" s="107"/>
      <c r="F36" s="108"/>
      <c r="G36" s="108"/>
      <c r="H36" s="108">
        <f t="shared" ref="H36:H42" si="26">F36+G36</f>
        <v>0</v>
      </c>
      <c r="I36" s="108"/>
      <c r="J36" s="108"/>
      <c r="K36" s="108"/>
      <c r="L36" s="108"/>
      <c r="M36" s="281">
        <f t="shared" si="5"/>
        <v>0</v>
      </c>
      <c r="N36" s="114"/>
      <c r="O36" s="114"/>
      <c r="P36" s="113"/>
      <c r="Q36" s="113"/>
      <c r="R36" s="113"/>
      <c r="S36" s="441">
        <f t="shared" ref="S36:S41" si="27">AI36*$AF$2</f>
        <v>253977.46000000002</v>
      </c>
      <c r="T36" s="441"/>
      <c r="U36" s="441"/>
      <c r="V36" s="404">
        <f t="shared" si="8"/>
        <v>0</v>
      </c>
      <c r="W36" s="441">
        <f>+S36+V36</f>
        <v>253977.46000000002</v>
      </c>
      <c r="X36" s="444">
        <v>1</v>
      </c>
      <c r="Y36" s="444">
        <v>0</v>
      </c>
      <c r="Z36" s="349">
        <f t="shared" si="10"/>
        <v>253977.46000000002</v>
      </c>
      <c r="AA36" s="349">
        <f t="shared" si="11"/>
        <v>0</v>
      </c>
      <c r="AB36" s="407">
        <f t="shared" si="12"/>
        <v>253977.46000000002</v>
      </c>
      <c r="AC36" s="421">
        <f t="shared" ref="AC36:AD42" si="28">ROUND(Z36/$AF$2,2)</f>
        <v>80900</v>
      </c>
      <c r="AD36" s="118">
        <f t="shared" si="28"/>
        <v>0</v>
      </c>
      <c r="AE36" s="336">
        <f t="shared" si="15"/>
        <v>80900</v>
      </c>
      <c r="AG36" s="268">
        <f t="shared" ref="AG36:AG42" si="29">AI36*X36</f>
        <v>80900</v>
      </c>
      <c r="AH36" s="255">
        <f t="shared" ref="AH36:AH42" si="30">AI36*Y36</f>
        <v>0</v>
      </c>
      <c r="AI36" s="269">
        <f>80.9*$AF$4</f>
        <v>80900</v>
      </c>
      <c r="AJ36" s="259"/>
    </row>
    <row r="37" spans="1:40" x14ac:dyDescent="0.25">
      <c r="A37" s="331" t="s">
        <v>255</v>
      </c>
      <c r="B37" s="758" t="s">
        <v>265</v>
      </c>
      <c r="C37" s="303"/>
      <c r="D37" s="106"/>
      <c r="E37" s="107"/>
      <c r="F37" s="108"/>
      <c r="G37" s="108"/>
      <c r="H37" s="108">
        <f t="shared" si="26"/>
        <v>0</v>
      </c>
      <c r="I37" s="108"/>
      <c r="J37" s="108"/>
      <c r="K37" s="108"/>
      <c r="L37" s="108"/>
      <c r="M37" s="281">
        <f t="shared" si="5"/>
        <v>0</v>
      </c>
      <c r="N37" s="114"/>
      <c r="O37" s="114"/>
      <c r="P37" s="113"/>
      <c r="Q37" s="113"/>
      <c r="R37" s="113"/>
      <c r="S37" s="441">
        <f t="shared" si="27"/>
        <v>622800.01128400001</v>
      </c>
      <c r="T37" s="441"/>
      <c r="U37" s="441"/>
      <c r="V37" s="404">
        <f t="shared" ref="V37:V64" si="31">T37+U37</f>
        <v>0</v>
      </c>
      <c r="W37" s="441">
        <f t="shared" si="24"/>
        <v>622800.01128400001</v>
      </c>
      <c r="X37" s="444">
        <v>1</v>
      </c>
      <c r="Y37" s="444">
        <v>0</v>
      </c>
      <c r="Z37" s="349">
        <f t="shared" si="10"/>
        <v>622800.01128400001</v>
      </c>
      <c r="AA37" s="349">
        <f t="shared" si="11"/>
        <v>0</v>
      </c>
      <c r="AB37" s="407">
        <f t="shared" si="12"/>
        <v>622800.01128400001</v>
      </c>
      <c r="AC37" s="421">
        <f t="shared" si="28"/>
        <v>198381.86</v>
      </c>
      <c r="AD37" s="118">
        <f t="shared" si="28"/>
        <v>0</v>
      </c>
      <c r="AE37" s="336">
        <f t="shared" si="15"/>
        <v>198381.86</v>
      </c>
      <c r="AG37" s="268">
        <f t="shared" si="29"/>
        <v>198381.86</v>
      </c>
      <c r="AH37" s="255">
        <f t="shared" si="30"/>
        <v>0</v>
      </c>
      <c r="AI37" s="269">
        <v>198381.86</v>
      </c>
      <c r="AJ37" s="259"/>
    </row>
    <row r="38" spans="1:40" x14ac:dyDescent="0.25">
      <c r="A38" s="331" t="s">
        <v>257</v>
      </c>
      <c r="B38" s="758" t="s">
        <v>267</v>
      </c>
      <c r="C38" s="303"/>
      <c r="D38" s="106"/>
      <c r="E38" s="107"/>
      <c r="F38" s="108"/>
      <c r="G38" s="108"/>
      <c r="H38" s="108">
        <f t="shared" si="26"/>
        <v>0</v>
      </c>
      <c r="I38" s="108"/>
      <c r="J38" s="108"/>
      <c r="K38" s="108"/>
      <c r="L38" s="108"/>
      <c r="M38" s="281">
        <f t="shared" si="5"/>
        <v>0</v>
      </c>
      <c r="N38" s="114"/>
      <c r="O38" s="114"/>
      <c r="P38" s="113"/>
      <c r="Q38" s="113"/>
      <c r="R38" s="113"/>
      <c r="S38" s="441">
        <f t="shared" si="27"/>
        <v>466671.81000000006</v>
      </c>
      <c r="T38" s="441"/>
      <c r="U38" s="441"/>
      <c r="V38" s="404">
        <f t="shared" si="31"/>
        <v>0</v>
      </c>
      <c r="W38" s="441">
        <f t="shared" si="24"/>
        <v>466671.81000000006</v>
      </c>
      <c r="X38" s="444">
        <v>1</v>
      </c>
      <c r="Y38" s="444">
        <v>0</v>
      </c>
      <c r="Z38" s="349">
        <f t="shared" si="10"/>
        <v>466671.81000000006</v>
      </c>
      <c r="AA38" s="349">
        <f t="shared" si="11"/>
        <v>0</v>
      </c>
      <c r="AB38" s="407">
        <f t="shared" si="12"/>
        <v>466671.81000000006</v>
      </c>
      <c r="AC38" s="421">
        <f t="shared" si="28"/>
        <v>148650</v>
      </c>
      <c r="AD38" s="118">
        <f t="shared" si="28"/>
        <v>0</v>
      </c>
      <c r="AE38" s="336">
        <f t="shared" si="15"/>
        <v>148650</v>
      </c>
      <c r="AG38" s="268">
        <f t="shared" si="29"/>
        <v>148650</v>
      </c>
      <c r="AH38" s="255">
        <f t="shared" si="30"/>
        <v>0</v>
      </c>
      <c r="AI38" s="269">
        <f>148.65*$AF$4</f>
        <v>148650</v>
      </c>
      <c r="AJ38" s="259"/>
    </row>
    <row r="39" spans="1:40" ht="25.5" x14ac:dyDescent="0.25">
      <c r="A39" s="331" t="s">
        <v>258</v>
      </c>
      <c r="B39" s="758" t="s">
        <v>268</v>
      </c>
      <c r="C39" s="303"/>
      <c r="D39" s="106"/>
      <c r="E39" s="107"/>
      <c r="F39" s="108"/>
      <c r="G39" s="108"/>
      <c r="H39" s="108">
        <f t="shared" si="26"/>
        <v>0</v>
      </c>
      <c r="I39" s="108"/>
      <c r="J39" s="108"/>
      <c r="K39" s="108"/>
      <c r="L39" s="108"/>
      <c r="M39" s="281">
        <f t="shared" si="5"/>
        <v>0</v>
      </c>
      <c r="N39" s="114"/>
      <c r="O39" s="114"/>
      <c r="P39" s="113"/>
      <c r="Q39" s="113"/>
      <c r="R39" s="113"/>
      <c r="S39" s="441">
        <f t="shared" si="27"/>
        <v>533698</v>
      </c>
      <c r="T39" s="441"/>
      <c r="U39" s="441"/>
      <c r="V39" s="404">
        <f t="shared" si="31"/>
        <v>0</v>
      </c>
      <c r="W39" s="441">
        <f t="shared" si="24"/>
        <v>533698</v>
      </c>
      <c r="X39" s="444">
        <v>1</v>
      </c>
      <c r="Y39" s="444">
        <v>0</v>
      </c>
      <c r="Z39" s="349">
        <f t="shared" si="10"/>
        <v>533698</v>
      </c>
      <c r="AA39" s="349">
        <f t="shared" si="11"/>
        <v>0</v>
      </c>
      <c r="AB39" s="407">
        <f t="shared" si="12"/>
        <v>533698</v>
      </c>
      <c r="AC39" s="421">
        <f t="shared" si="28"/>
        <v>170000</v>
      </c>
      <c r="AD39" s="118">
        <f t="shared" si="28"/>
        <v>0</v>
      </c>
      <c r="AE39" s="336">
        <f t="shared" si="15"/>
        <v>170000</v>
      </c>
      <c r="AG39" s="268">
        <f t="shared" si="29"/>
        <v>170000</v>
      </c>
      <c r="AH39" s="255">
        <f t="shared" si="30"/>
        <v>0</v>
      </c>
      <c r="AI39" s="269">
        <f>170*$AF$4</f>
        <v>170000</v>
      </c>
      <c r="AJ39" s="259"/>
    </row>
    <row r="40" spans="1:40" x14ac:dyDescent="0.25">
      <c r="A40" s="331" t="s">
        <v>260</v>
      </c>
      <c r="B40" s="758" t="s">
        <v>270</v>
      </c>
      <c r="C40" s="303"/>
      <c r="D40" s="106"/>
      <c r="E40" s="107"/>
      <c r="F40" s="108"/>
      <c r="G40" s="108"/>
      <c r="H40" s="108">
        <f t="shared" si="26"/>
        <v>0</v>
      </c>
      <c r="I40" s="108"/>
      <c r="J40" s="108"/>
      <c r="K40" s="108"/>
      <c r="L40" s="108"/>
      <c r="M40" s="281">
        <f t="shared" si="5"/>
        <v>0</v>
      </c>
      <c r="N40" s="114"/>
      <c r="O40" s="114"/>
      <c r="P40" s="113"/>
      <c r="Q40" s="113"/>
      <c r="R40" s="113"/>
      <c r="S40" s="441">
        <f t="shared" si="27"/>
        <v>94182</v>
      </c>
      <c r="T40" s="441"/>
      <c r="U40" s="441"/>
      <c r="V40" s="404">
        <f t="shared" si="31"/>
        <v>0</v>
      </c>
      <c r="W40" s="441">
        <f t="shared" si="24"/>
        <v>94182</v>
      </c>
      <c r="X40" s="444">
        <v>1</v>
      </c>
      <c r="Y40" s="444">
        <v>0</v>
      </c>
      <c r="Z40" s="349">
        <f t="shared" si="10"/>
        <v>94182</v>
      </c>
      <c r="AA40" s="349">
        <f t="shared" si="11"/>
        <v>0</v>
      </c>
      <c r="AB40" s="407">
        <f t="shared" si="12"/>
        <v>94182</v>
      </c>
      <c r="AC40" s="421">
        <f t="shared" si="28"/>
        <v>30000</v>
      </c>
      <c r="AD40" s="118">
        <f t="shared" si="28"/>
        <v>0</v>
      </c>
      <c r="AE40" s="336">
        <f t="shared" si="15"/>
        <v>30000</v>
      </c>
      <c r="AG40" s="268">
        <f t="shared" si="29"/>
        <v>30000</v>
      </c>
      <c r="AH40" s="255">
        <f t="shared" si="30"/>
        <v>0</v>
      </c>
      <c r="AI40" s="269">
        <f>30*$AF$4</f>
        <v>30000</v>
      </c>
      <c r="AJ40" s="259"/>
    </row>
    <row r="41" spans="1:40" ht="38.25" x14ac:dyDescent="0.25">
      <c r="A41" s="331" t="s">
        <v>261</v>
      </c>
      <c r="B41" s="758" t="s">
        <v>461</v>
      </c>
      <c r="C41" s="316"/>
      <c r="D41" s="106"/>
      <c r="E41" s="107"/>
      <c r="F41" s="108"/>
      <c r="G41" s="108"/>
      <c r="H41" s="108">
        <f t="shared" si="26"/>
        <v>0</v>
      </c>
      <c r="I41" s="108"/>
      <c r="J41" s="108"/>
      <c r="K41" s="108"/>
      <c r="L41" s="108"/>
      <c r="M41" s="281">
        <f t="shared" si="5"/>
        <v>0</v>
      </c>
      <c r="N41" s="114"/>
      <c r="O41" s="114"/>
      <c r="P41" s="113"/>
      <c r="Q41" s="113"/>
      <c r="R41" s="113"/>
      <c r="S41" s="441">
        <f t="shared" si="27"/>
        <v>1318298.6060640002</v>
      </c>
      <c r="T41" s="441"/>
      <c r="U41" s="441"/>
      <c r="V41" s="404">
        <f t="shared" si="31"/>
        <v>0</v>
      </c>
      <c r="W41" s="441">
        <f t="shared" si="24"/>
        <v>1318298.6060640002</v>
      </c>
      <c r="X41" s="444">
        <v>1</v>
      </c>
      <c r="Y41" s="444">
        <v>0</v>
      </c>
      <c r="Z41" s="349">
        <f t="shared" si="10"/>
        <v>1318298.6060640002</v>
      </c>
      <c r="AA41" s="349">
        <f t="shared" si="11"/>
        <v>0</v>
      </c>
      <c r="AB41" s="407">
        <f t="shared" si="12"/>
        <v>1318298.6060640002</v>
      </c>
      <c r="AC41" s="472">
        <f>ROUND(Z41/$AF$2,2)</f>
        <v>419920.56</v>
      </c>
      <c r="AD41" s="118">
        <f t="shared" si="28"/>
        <v>0</v>
      </c>
      <c r="AE41" s="336">
        <f t="shared" si="15"/>
        <v>419920.56</v>
      </c>
      <c r="AG41" s="477">
        <f t="shared" si="29"/>
        <v>419920.56</v>
      </c>
      <c r="AH41" s="478">
        <f t="shared" si="30"/>
        <v>0</v>
      </c>
      <c r="AI41" s="479">
        <f>229*$AF$4+190920.56</f>
        <v>419920.56</v>
      </c>
      <c r="AJ41" s="259" t="s">
        <v>462</v>
      </c>
    </row>
    <row r="42" spans="1:40" ht="15.75" thickBot="1" x14ac:dyDescent="0.3">
      <c r="A42" s="445" t="s">
        <v>263</v>
      </c>
      <c r="B42" s="301" t="s">
        <v>456</v>
      </c>
      <c r="C42" s="303"/>
      <c r="D42" s="106"/>
      <c r="E42" s="107"/>
      <c r="F42" s="108"/>
      <c r="G42" s="108"/>
      <c r="H42" s="108">
        <f t="shared" si="26"/>
        <v>0</v>
      </c>
      <c r="I42" s="108"/>
      <c r="J42" s="108"/>
      <c r="K42" s="108"/>
      <c r="L42" s="108"/>
      <c r="M42" s="281">
        <f t="shared" si="5"/>
        <v>0</v>
      </c>
      <c r="N42" s="114"/>
      <c r="O42" s="114"/>
      <c r="P42" s="113"/>
      <c r="Q42" s="113"/>
      <c r="R42" s="113"/>
      <c r="S42" s="441">
        <v>0</v>
      </c>
      <c r="T42" s="441"/>
      <c r="U42" s="441"/>
      <c r="V42" s="404">
        <f t="shared" si="31"/>
        <v>0</v>
      </c>
      <c r="W42" s="441">
        <f>+S42+V42</f>
        <v>0</v>
      </c>
      <c r="X42" s="444">
        <v>0</v>
      </c>
      <c r="Y42" s="444">
        <v>1</v>
      </c>
      <c r="Z42" s="349">
        <f t="shared" si="10"/>
        <v>0</v>
      </c>
      <c r="AA42" s="349">
        <f t="shared" si="11"/>
        <v>0</v>
      </c>
      <c r="AB42" s="407">
        <f t="shared" si="12"/>
        <v>0</v>
      </c>
      <c r="AC42" s="421">
        <f t="shared" si="28"/>
        <v>0</v>
      </c>
      <c r="AD42" s="118">
        <f t="shared" si="28"/>
        <v>0</v>
      </c>
      <c r="AE42" s="336">
        <f t="shared" si="15"/>
        <v>0</v>
      </c>
      <c r="AG42" s="270">
        <f t="shared" si="29"/>
        <v>0</v>
      </c>
      <c r="AH42" s="271">
        <f t="shared" si="30"/>
        <v>756200.896958292</v>
      </c>
      <c r="AI42" s="272">
        <f>756.200896958292*$AF$4</f>
        <v>756200.896958292</v>
      </c>
      <c r="AJ42" s="259"/>
    </row>
    <row r="43" spans="1:40" ht="15.75" thickBot="1" x14ac:dyDescent="0.3">
      <c r="A43" s="342"/>
      <c r="B43" s="400" t="s">
        <v>193</v>
      </c>
      <c r="C43" s="319"/>
      <c r="D43" s="320"/>
      <c r="E43" s="321"/>
      <c r="F43" s="322">
        <f>SUM(F44:F49)</f>
        <v>57626835.129999995</v>
      </c>
      <c r="G43" s="322">
        <f>SUM(G44:G49)</f>
        <v>9043019.6899999958</v>
      </c>
      <c r="H43" s="322">
        <f>SUM(H44:H49)</f>
        <v>66669854.819999993</v>
      </c>
      <c r="I43" s="322">
        <f t="shared" ref="I43:AI43" si="32">SUM(I44:I49)</f>
        <v>14320668.879999992</v>
      </c>
      <c r="J43" s="322">
        <f t="shared" si="32"/>
        <v>1695666.15</v>
      </c>
      <c r="K43" s="322">
        <f t="shared" si="32"/>
        <v>43306166.25</v>
      </c>
      <c r="L43" s="322">
        <f t="shared" si="32"/>
        <v>7347353.5399999972</v>
      </c>
      <c r="M43" s="322">
        <f t="shared" si="32"/>
        <v>66669854.819999993</v>
      </c>
      <c r="N43" s="322">
        <f t="shared" si="32"/>
        <v>6946981.0599999996</v>
      </c>
      <c r="O43" s="322">
        <f t="shared" si="32"/>
        <v>825960.18999999983</v>
      </c>
      <c r="P43" s="322">
        <f t="shared" si="32"/>
        <v>15432049.82</v>
      </c>
      <c r="Q43" s="322">
        <f t="shared" si="32"/>
        <v>2447784.2700000005</v>
      </c>
      <c r="R43" s="322">
        <f t="shared" si="32"/>
        <v>25652775.340000004</v>
      </c>
      <c r="S43" s="442">
        <f t="shared" si="32"/>
        <v>38762877.101386003</v>
      </c>
      <c r="T43" s="442">
        <f t="shared" si="32"/>
        <v>0</v>
      </c>
      <c r="U43" s="442">
        <f t="shared" si="32"/>
        <v>0</v>
      </c>
      <c r="V43" s="442">
        <f t="shared" si="32"/>
        <v>0</v>
      </c>
      <c r="W43" s="442">
        <f t="shared" si="32"/>
        <v>38762877.101386003</v>
      </c>
      <c r="X43" s="323"/>
      <c r="Y43" s="323"/>
      <c r="Z43" s="322">
        <f>SUM(Z44:Z49)</f>
        <v>38762877.101386003</v>
      </c>
      <c r="AA43" s="322">
        <f t="shared" si="32"/>
        <v>0</v>
      </c>
      <c r="AB43" s="408">
        <f t="shared" si="32"/>
        <v>38762877.101386003</v>
      </c>
      <c r="AC43" s="322">
        <f t="shared" si="32"/>
        <v>12347224.66</v>
      </c>
      <c r="AD43" s="322">
        <f t="shared" si="32"/>
        <v>0</v>
      </c>
      <c r="AE43" s="322">
        <f t="shared" si="32"/>
        <v>12347224.66</v>
      </c>
      <c r="AF43" s="274"/>
      <c r="AG43" s="89">
        <f t="shared" si="32"/>
        <v>12347224.661204688</v>
      </c>
      <c r="AH43" s="89">
        <f t="shared" si="32"/>
        <v>0</v>
      </c>
      <c r="AI43" s="89">
        <f t="shared" si="32"/>
        <v>12347224.661204688</v>
      </c>
      <c r="AJ43" s="259"/>
    </row>
    <row r="44" spans="1:40" ht="38.25" x14ac:dyDescent="0.25">
      <c r="A44" s="332" t="s">
        <v>273</v>
      </c>
      <c r="B44" s="774" t="s">
        <v>621</v>
      </c>
      <c r="C44" s="312" t="s">
        <v>69</v>
      </c>
      <c r="D44" s="122" t="s">
        <v>72</v>
      </c>
      <c r="E44" s="123" t="s">
        <v>70</v>
      </c>
      <c r="F44" s="124">
        <v>37292132.569999985</v>
      </c>
      <c r="G44" s="124">
        <v>5111172.7299999977</v>
      </c>
      <c r="H44" s="124">
        <f t="shared" ref="H44:H49" si="33">F44+G44</f>
        <v>42403305.299999982</v>
      </c>
      <c r="I44" s="124">
        <v>11203288.549999991</v>
      </c>
      <c r="J44" s="124">
        <v>1234993.97</v>
      </c>
      <c r="K44" s="124">
        <v>26088844.019999992</v>
      </c>
      <c r="L44" s="124">
        <v>3876178.7599999988</v>
      </c>
      <c r="M44" s="127">
        <f t="shared" ref="M44:M49" si="34">I44+J44+K44+L44</f>
        <v>42403305.299999982</v>
      </c>
      <c r="N44" s="294">
        <f>6026186.47-O44</f>
        <v>5425119.9199999999</v>
      </c>
      <c r="O44" s="146">
        <v>601066.54999999981</v>
      </c>
      <c r="P44" s="147">
        <v>9450935.040000001</v>
      </c>
      <c r="Q44" s="146">
        <v>1294800.8200000005</v>
      </c>
      <c r="R44" s="127">
        <f>N44+O44+P44+Q44</f>
        <v>16771922.330000002</v>
      </c>
      <c r="S44" s="439">
        <f>H44-M44</f>
        <v>0</v>
      </c>
      <c r="T44" s="439"/>
      <c r="U44" s="439"/>
      <c r="V44" s="404">
        <f t="shared" si="31"/>
        <v>0</v>
      </c>
      <c r="W44" s="404">
        <f t="shared" ref="W44:W64" si="35">+S44+V44</f>
        <v>0</v>
      </c>
      <c r="X44" s="126">
        <f>M44/($M$44+$R$44)</f>
        <v>0.71657190007162452</v>
      </c>
      <c r="Y44" s="126">
        <f>R44/($M$44+$R$44)</f>
        <v>0.28342809992837553</v>
      </c>
      <c r="Z44" s="349">
        <f t="shared" ref="Z44:Z49" si="36">W44*X44</f>
        <v>0</v>
      </c>
      <c r="AA44" s="349">
        <f t="shared" ref="AA44:AA49" si="37">W44*Y44</f>
        <v>0</v>
      </c>
      <c r="AB44" s="409">
        <f t="shared" ref="AB44:AB49" si="38">Z44+AA44</f>
        <v>0</v>
      </c>
      <c r="AC44" s="422">
        <f>ROUND(Z44/$AF$2,2)</f>
        <v>0</v>
      </c>
      <c r="AD44" s="128">
        <f>ROUND(AA44/$AF$2,2)</f>
        <v>0</v>
      </c>
      <c r="AE44" s="333">
        <f t="shared" ref="AE44:AE49" si="39">AC44+AD44</f>
        <v>0</v>
      </c>
      <c r="AG44" s="266"/>
      <c r="AH44" s="128"/>
      <c r="AI44" s="129">
        <f>AG44+AH44</f>
        <v>0</v>
      </c>
      <c r="AJ44" s="259"/>
    </row>
    <row r="45" spans="1:40" ht="38.25" x14ac:dyDescent="0.25">
      <c r="A45" s="332" t="s">
        <v>274</v>
      </c>
      <c r="B45" s="760" t="s">
        <v>622</v>
      </c>
      <c r="C45" s="303" t="s">
        <v>71</v>
      </c>
      <c r="D45" s="106" t="s">
        <v>73</v>
      </c>
      <c r="E45" s="107" t="s">
        <v>70</v>
      </c>
      <c r="F45" s="108">
        <v>20334702.56000001</v>
      </c>
      <c r="G45" s="108">
        <v>3931846.9599999986</v>
      </c>
      <c r="H45" s="108">
        <f t="shared" si="33"/>
        <v>24266549.520000007</v>
      </c>
      <c r="I45" s="108">
        <v>3117380.3299999996</v>
      </c>
      <c r="J45" s="108">
        <v>460672.18000000005</v>
      </c>
      <c r="K45" s="108">
        <v>17217322.230000012</v>
      </c>
      <c r="L45" s="108">
        <v>3471174.7799999984</v>
      </c>
      <c r="M45" s="111">
        <f t="shared" si="34"/>
        <v>24266549.520000007</v>
      </c>
      <c r="N45" s="293">
        <f>1746754.78-O45</f>
        <v>1521861.14</v>
      </c>
      <c r="O45" s="151">
        <v>224893.64000000004</v>
      </c>
      <c r="P45" s="113">
        <v>5981114.7800000003</v>
      </c>
      <c r="Q45" s="151">
        <v>1152983.4499999997</v>
      </c>
      <c r="R45" s="111">
        <f>N45+O45+P45+Q45</f>
        <v>8880853.0099999998</v>
      </c>
      <c r="S45" s="439">
        <f>H45-M45</f>
        <v>0</v>
      </c>
      <c r="T45" s="440"/>
      <c r="U45" s="440"/>
      <c r="V45" s="404">
        <f t="shared" si="31"/>
        <v>0</v>
      </c>
      <c r="W45" s="404">
        <f t="shared" si="35"/>
        <v>0</v>
      </c>
      <c r="X45" s="110">
        <f>M45/($M$44+$R$44)</f>
        <v>0.41007952976082224</v>
      </c>
      <c r="Y45" s="110">
        <f>R45/($M$44+$R$44)</f>
        <v>0.15007720909040806</v>
      </c>
      <c r="Z45" s="349">
        <f t="shared" si="36"/>
        <v>0</v>
      </c>
      <c r="AA45" s="349">
        <f t="shared" si="37"/>
        <v>0</v>
      </c>
      <c r="AB45" s="405">
        <f t="shared" si="38"/>
        <v>0</v>
      </c>
      <c r="AC45" s="419">
        <f>ROUND(Z45/$AF$2,2)</f>
        <v>0</v>
      </c>
      <c r="AD45" s="114">
        <f>ROUND(AA45/$AF$2,2)</f>
        <v>0</v>
      </c>
      <c r="AE45" s="334">
        <f t="shared" si="39"/>
        <v>0</v>
      </c>
      <c r="AG45" s="267"/>
      <c r="AH45" s="114"/>
      <c r="AI45" s="131">
        <f>AG45+AH45</f>
        <v>0</v>
      </c>
      <c r="AJ45" s="29" t="s">
        <v>450</v>
      </c>
      <c r="AK45" s="29" t="s">
        <v>450</v>
      </c>
      <c r="AL45" s="29" t="s">
        <v>451</v>
      </c>
    </row>
    <row r="46" spans="1:40" ht="51" x14ac:dyDescent="0.25">
      <c r="A46" s="331" t="s">
        <v>275</v>
      </c>
      <c r="B46" s="775" t="s">
        <v>279</v>
      </c>
      <c r="C46" s="303"/>
      <c r="D46" s="106"/>
      <c r="E46" s="107"/>
      <c r="F46" s="108"/>
      <c r="G46" s="108"/>
      <c r="H46" s="108">
        <f t="shared" si="33"/>
        <v>0</v>
      </c>
      <c r="I46" s="108"/>
      <c r="J46" s="108"/>
      <c r="K46" s="108"/>
      <c r="L46" s="108"/>
      <c r="M46" s="111">
        <f t="shared" si="34"/>
        <v>0</v>
      </c>
      <c r="N46" s="293"/>
      <c r="O46" s="151"/>
      <c r="P46" s="192"/>
      <c r="Q46" s="151"/>
      <c r="R46" s="111"/>
      <c r="S46" s="753">
        <f>AI46*$AF$2</f>
        <v>22766377.361636002</v>
      </c>
      <c r="T46" s="753"/>
      <c r="U46" s="753"/>
      <c r="V46" s="754">
        <f t="shared" si="31"/>
        <v>0</v>
      </c>
      <c r="W46" s="753">
        <f t="shared" si="35"/>
        <v>22766377.361636002</v>
      </c>
      <c r="X46" s="756">
        <v>1</v>
      </c>
      <c r="Y46" s="756">
        <v>0</v>
      </c>
      <c r="Z46" s="349">
        <f t="shared" si="36"/>
        <v>22766377.361636002</v>
      </c>
      <c r="AA46" s="349">
        <f t="shared" si="37"/>
        <v>0</v>
      </c>
      <c r="AB46" s="407">
        <f t="shared" si="38"/>
        <v>22766377.361636002</v>
      </c>
      <c r="AC46" s="421">
        <f t="shared" ref="AC46:AD49" si="40">ROUND(Z46/$AF$2,2)</f>
        <v>7251824.3499999996</v>
      </c>
      <c r="AD46" s="118">
        <f t="shared" si="40"/>
        <v>0</v>
      </c>
      <c r="AE46" s="336">
        <f t="shared" si="39"/>
        <v>7251824.3499999996</v>
      </c>
      <c r="AG46" s="265">
        <f>X46*AI46</f>
        <v>7251824.3491227627</v>
      </c>
      <c r="AH46" s="118">
        <f>Y46*AI46</f>
        <v>0</v>
      </c>
      <c r="AI46" s="133">
        <f>AK46/AF2</f>
        <v>7251824.3491227627</v>
      </c>
      <c r="AJ46" s="838">
        <v>27696491.309999999</v>
      </c>
      <c r="AK46" s="839">
        <f>27696491.31+AN46</f>
        <v>22766377.361636002</v>
      </c>
      <c r="AL46" s="310">
        <f>AK46/AF2</f>
        <v>7251824.3491227627</v>
      </c>
      <c r="AM46" s="1">
        <v>-1570400.0599999987</v>
      </c>
      <c r="AN46" s="1">
        <f>+AM46*AF2</f>
        <v>-4930113.9483639961</v>
      </c>
    </row>
    <row r="47" spans="1:40" ht="153" x14ac:dyDescent="0.25">
      <c r="A47" s="331" t="s">
        <v>276</v>
      </c>
      <c r="B47" s="775" t="s">
        <v>280</v>
      </c>
      <c r="C47" s="303"/>
      <c r="D47" s="106"/>
      <c r="E47" s="107"/>
      <c r="F47" s="108"/>
      <c r="G47" s="108"/>
      <c r="H47" s="108">
        <f t="shared" si="33"/>
        <v>0</v>
      </c>
      <c r="I47" s="108"/>
      <c r="J47" s="108"/>
      <c r="K47" s="108"/>
      <c r="L47" s="108"/>
      <c r="M47" s="111">
        <f t="shared" si="34"/>
        <v>0</v>
      </c>
      <c r="N47" s="293"/>
      <c r="O47" s="151"/>
      <c r="P47" s="192"/>
      <c r="Q47" s="151"/>
      <c r="R47" s="111"/>
      <c r="S47" s="753">
        <f>AI47*$AF$2</f>
        <v>13487934.699999997</v>
      </c>
      <c r="T47" s="753"/>
      <c r="U47" s="753"/>
      <c r="V47" s="754">
        <f t="shared" si="31"/>
        <v>0</v>
      </c>
      <c r="W47" s="753">
        <f t="shared" si="35"/>
        <v>13487934.699999997</v>
      </c>
      <c r="X47" s="756">
        <v>1</v>
      </c>
      <c r="Y47" s="756">
        <v>0</v>
      </c>
      <c r="Z47" s="349">
        <f t="shared" si="36"/>
        <v>13487934.699999997</v>
      </c>
      <c r="AA47" s="349">
        <f t="shared" si="37"/>
        <v>0</v>
      </c>
      <c r="AB47" s="407">
        <f t="shared" si="38"/>
        <v>13487934.699999997</v>
      </c>
      <c r="AC47" s="421">
        <f t="shared" si="40"/>
        <v>4296341.5599999996</v>
      </c>
      <c r="AD47" s="118">
        <f t="shared" si="40"/>
        <v>0</v>
      </c>
      <c r="AE47" s="336">
        <f t="shared" si="39"/>
        <v>4296341.5599999996</v>
      </c>
      <c r="AG47" s="265">
        <f>X47*AI47</f>
        <v>4296341.5620819256</v>
      </c>
      <c r="AH47" s="118">
        <f>Y47*AI47</f>
        <v>0</v>
      </c>
      <c r="AI47" s="133">
        <f>AK47/AF2</f>
        <v>4296341.5620819256</v>
      </c>
      <c r="AJ47" s="838">
        <v>13487934.699999999</v>
      </c>
      <c r="AK47" s="838">
        <v>13487934.699999999</v>
      </c>
      <c r="AL47" s="310">
        <f>AK47/AF2</f>
        <v>4296341.5620819256</v>
      </c>
    </row>
    <row r="48" spans="1:40" ht="51" x14ac:dyDescent="0.25">
      <c r="A48" s="331" t="s">
        <v>277</v>
      </c>
      <c r="B48" s="758" t="s">
        <v>281</v>
      </c>
      <c r="C48" s="303"/>
      <c r="D48" s="106"/>
      <c r="E48" s="107"/>
      <c r="F48" s="108"/>
      <c r="G48" s="108"/>
      <c r="H48" s="108">
        <f t="shared" si="33"/>
        <v>0</v>
      </c>
      <c r="I48" s="108"/>
      <c r="J48" s="108"/>
      <c r="K48" s="108"/>
      <c r="L48" s="108"/>
      <c r="M48" s="111">
        <f t="shared" si="34"/>
        <v>0</v>
      </c>
      <c r="N48" s="293"/>
      <c r="O48" s="151"/>
      <c r="P48" s="192"/>
      <c r="Q48" s="151"/>
      <c r="R48" s="111"/>
      <c r="S48" s="753">
        <f>AI48*$AF$2</f>
        <v>2508565.03975</v>
      </c>
      <c r="T48" s="755"/>
      <c r="U48" s="755"/>
      <c r="V48" s="754">
        <f t="shared" si="31"/>
        <v>0</v>
      </c>
      <c r="W48" s="753">
        <f t="shared" si="35"/>
        <v>2508565.03975</v>
      </c>
      <c r="X48" s="756">
        <v>1</v>
      </c>
      <c r="Y48" s="756">
        <v>0</v>
      </c>
      <c r="Z48" s="349">
        <f t="shared" si="36"/>
        <v>2508565.03975</v>
      </c>
      <c r="AA48" s="349">
        <f t="shared" si="37"/>
        <v>0</v>
      </c>
      <c r="AB48" s="407">
        <f t="shared" si="38"/>
        <v>2508565.03975</v>
      </c>
      <c r="AC48" s="421">
        <f t="shared" si="40"/>
        <v>799058.75</v>
      </c>
      <c r="AD48" s="118">
        <f t="shared" si="40"/>
        <v>0</v>
      </c>
      <c r="AE48" s="336">
        <f t="shared" si="39"/>
        <v>799058.75</v>
      </c>
      <c r="AG48" s="265">
        <f>X48*AI48</f>
        <v>799058.75</v>
      </c>
      <c r="AH48" s="118">
        <f>Y48*AI48</f>
        <v>0</v>
      </c>
      <c r="AI48" s="133">
        <f>799.05875*$AF$4</f>
        <v>799058.75</v>
      </c>
      <c r="AJ48" s="259"/>
    </row>
    <row r="49" spans="1:36" s="463" customFormat="1" ht="39" thickBot="1" x14ac:dyDescent="0.3">
      <c r="A49" s="445" t="s">
        <v>278</v>
      </c>
      <c r="B49" s="758" t="s">
        <v>582</v>
      </c>
      <c r="C49" s="446"/>
      <c r="D49" s="447"/>
      <c r="E49" s="448"/>
      <c r="F49" s="449"/>
      <c r="G49" s="449"/>
      <c r="H49" s="450">
        <f t="shared" si="33"/>
        <v>0</v>
      </c>
      <c r="I49" s="449"/>
      <c r="J49" s="449"/>
      <c r="K49" s="449"/>
      <c r="L49" s="449"/>
      <c r="M49" s="452">
        <f t="shared" si="34"/>
        <v>0</v>
      </c>
      <c r="N49" s="453"/>
      <c r="O49" s="454"/>
      <c r="P49" s="455"/>
      <c r="Q49" s="454"/>
      <c r="R49" s="456"/>
      <c r="S49" s="457">
        <v>0</v>
      </c>
      <c r="T49" s="457"/>
      <c r="U49" s="457"/>
      <c r="V49" s="404">
        <f t="shared" si="31"/>
        <v>0</v>
      </c>
      <c r="W49" s="404">
        <f t="shared" si="35"/>
        <v>0</v>
      </c>
      <c r="X49" s="451">
        <v>0.80763854797555501</v>
      </c>
      <c r="Y49" s="451">
        <v>0.19236145202444499</v>
      </c>
      <c r="Z49" s="349">
        <f t="shared" si="36"/>
        <v>0</v>
      </c>
      <c r="AA49" s="349">
        <f t="shared" si="37"/>
        <v>0</v>
      </c>
      <c r="AB49" s="459">
        <f t="shared" si="38"/>
        <v>0</v>
      </c>
      <c r="AC49" s="460">
        <f t="shared" si="40"/>
        <v>0</v>
      </c>
      <c r="AD49" s="458">
        <f t="shared" si="40"/>
        <v>0</v>
      </c>
      <c r="AE49" s="461">
        <f t="shared" si="39"/>
        <v>0</v>
      </c>
      <c r="AF49" s="462"/>
      <c r="AG49" s="767"/>
      <c r="AH49" s="768"/>
      <c r="AI49" s="769"/>
      <c r="AJ49" s="840"/>
    </row>
    <row r="50" spans="1:36" ht="15.75" thickBot="1" x14ac:dyDescent="0.3">
      <c r="A50" s="331"/>
      <c r="B50" s="324" t="s">
        <v>198</v>
      </c>
      <c r="C50" s="325"/>
      <c r="D50" s="326"/>
      <c r="E50" s="324"/>
      <c r="F50" s="327">
        <f t="shared" ref="F50:W50" si="41">SUM(F51:F64)</f>
        <v>4331323.72</v>
      </c>
      <c r="G50" s="327">
        <f t="shared" si="41"/>
        <v>399960.33999999997</v>
      </c>
      <c r="H50" s="327">
        <f t="shared" si="41"/>
        <v>4731284.0600000005</v>
      </c>
      <c r="I50" s="327">
        <f t="shared" si="41"/>
        <v>4025615.3099999996</v>
      </c>
      <c r="J50" s="327">
        <f t="shared" si="41"/>
        <v>399960.33999999991</v>
      </c>
      <c r="K50" s="327">
        <f t="shared" si="41"/>
        <v>66591.98</v>
      </c>
      <c r="L50" s="327">
        <f t="shared" si="41"/>
        <v>0</v>
      </c>
      <c r="M50" s="327">
        <f t="shared" si="41"/>
        <v>4492167.6300000008</v>
      </c>
      <c r="N50" s="327">
        <f t="shared" si="41"/>
        <v>1907826.03</v>
      </c>
      <c r="O50" s="327">
        <f t="shared" si="41"/>
        <v>195255.01000000004</v>
      </c>
      <c r="P50" s="327">
        <f t="shared" si="41"/>
        <v>23066.11</v>
      </c>
      <c r="Q50" s="327">
        <f t="shared" si="41"/>
        <v>0</v>
      </c>
      <c r="R50" s="327">
        <f t="shared" si="41"/>
        <v>2126147.15</v>
      </c>
      <c r="S50" s="443">
        <f t="shared" si="41"/>
        <v>17420411.222270962</v>
      </c>
      <c r="T50" s="442">
        <f t="shared" si="41"/>
        <v>0</v>
      </c>
      <c r="U50" s="442">
        <f t="shared" si="41"/>
        <v>0</v>
      </c>
      <c r="V50" s="442">
        <f t="shared" si="41"/>
        <v>0</v>
      </c>
      <c r="W50" s="442">
        <f t="shared" si="41"/>
        <v>17420411.222270962</v>
      </c>
      <c r="X50" s="326"/>
      <c r="Y50" s="326"/>
      <c r="Z50" s="327">
        <f t="shared" ref="Z50:AE50" si="42">SUM(Z51:Z64)</f>
        <v>17420411.222270962</v>
      </c>
      <c r="AA50" s="327">
        <f t="shared" si="42"/>
        <v>0</v>
      </c>
      <c r="AB50" s="410">
        <f t="shared" si="42"/>
        <v>17420411.222270962</v>
      </c>
      <c r="AC50" s="423">
        <f t="shared" si="42"/>
        <v>5548961.9700000007</v>
      </c>
      <c r="AD50" s="327">
        <f t="shared" si="42"/>
        <v>0</v>
      </c>
      <c r="AE50" s="337">
        <f t="shared" si="42"/>
        <v>5548961.9700000007</v>
      </c>
      <c r="AF50" s="274"/>
      <c r="AG50" s="89">
        <f>SUM(AG51:AG64)</f>
        <v>6449713.0209826585</v>
      </c>
      <c r="AH50" s="89">
        <f>SUM(AH51:AH64)</f>
        <v>0</v>
      </c>
      <c r="AI50" s="89">
        <f>SUM(AI51:AI64)</f>
        <v>6449713.0209826585</v>
      </c>
      <c r="AJ50" s="259"/>
    </row>
    <row r="51" spans="1:36" ht="76.5" hidden="1" x14ac:dyDescent="0.25">
      <c r="A51" s="331" t="s">
        <v>282</v>
      </c>
      <c r="B51" s="774" t="s">
        <v>623</v>
      </c>
      <c r="C51" s="312" t="s">
        <v>78</v>
      </c>
      <c r="D51" s="122" t="s">
        <v>79</v>
      </c>
      <c r="E51" s="123" t="s">
        <v>80</v>
      </c>
      <c r="F51" s="124">
        <v>3781255.5799999996</v>
      </c>
      <c r="G51" s="124">
        <v>399960.33999999997</v>
      </c>
      <c r="H51" s="124">
        <f>F51+G51</f>
        <v>4181215.9199999995</v>
      </c>
      <c r="I51" s="124">
        <v>3781255.5799999996</v>
      </c>
      <c r="J51" s="124">
        <v>399960.33999999991</v>
      </c>
      <c r="K51" s="124"/>
      <c r="L51" s="124"/>
      <c r="M51" s="127">
        <f t="shared" si="5"/>
        <v>4181215.9199999995</v>
      </c>
      <c r="N51" s="294">
        <f>2020342.67-O51</f>
        <v>1825087.66</v>
      </c>
      <c r="O51" s="146">
        <v>195255.01000000004</v>
      </c>
      <c r="P51" s="128"/>
      <c r="Q51" s="128"/>
      <c r="R51" s="127">
        <f>N51+O51+P51+Q51</f>
        <v>2020342.67</v>
      </c>
      <c r="S51" s="439">
        <f>H51-M51</f>
        <v>0</v>
      </c>
      <c r="T51" s="439"/>
      <c r="U51" s="439"/>
      <c r="V51" s="404">
        <f t="shared" si="31"/>
        <v>0</v>
      </c>
      <c r="W51" s="404">
        <f t="shared" si="35"/>
        <v>0</v>
      </c>
      <c r="X51" s="126">
        <v>1</v>
      </c>
      <c r="Y51" s="126"/>
      <c r="Z51" s="349">
        <f t="shared" ref="Z51:Z64" si="43">W51*X51</f>
        <v>0</v>
      </c>
      <c r="AA51" s="349">
        <f t="shared" ref="AA51:AA64" si="44">W51*Y51</f>
        <v>0</v>
      </c>
      <c r="AB51" s="409">
        <f>Z51+AA51</f>
        <v>0</v>
      </c>
      <c r="AC51" s="422">
        <f t="shared" ref="AC51:AD64" si="45">ROUND(Z51/$AF$2,2)</f>
        <v>0</v>
      </c>
      <c r="AD51" s="128">
        <f t="shared" si="45"/>
        <v>0</v>
      </c>
      <c r="AE51" s="333">
        <f>AC51+AD51</f>
        <v>0</v>
      </c>
      <c r="AG51" s="266"/>
      <c r="AH51" s="128"/>
      <c r="AI51" s="129">
        <f>AG51+AH51</f>
        <v>0</v>
      </c>
      <c r="AJ51" s="259"/>
    </row>
    <row r="52" spans="1:36" ht="45" hidden="1" x14ac:dyDescent="0.25">
      <c r="A52" s="332" t="s">
        <v>283</v>
      </c>
      <c r="B52" s="760" t="s">
        <v>624</v>
      </c>
      <c r="C52" s="303" t="s">
        <v>28</v>
      </c>
      <c r="D52" s="106" t="s">
        <v>158</v>
      </c>
      <c r="E52" s="107" t="s">
        <v>2</v>
      </c>
      <c r="F52" s="108">
        <v>34800</v>
      </c>
      <c r="G52" s="108"/>
      <c r="H52" s="108">
        <f>F52+G52</f>
        <v>34800</v>
      </c>
      <c r="I52" s="108">
        <v>34800</v>
      </c>
      <c r="J52" s="108"/>
      <c r="K52" s="108"/>
      <c r="L52" s="108"/>
      <c r="M52" s="111">
        <f t="shared" si="5"/>
        <v>34800</v>
      </c>
      <c r="N52" s="293">
        <v>9239.35</v>
      </c>
      <c r="O52" s="113"/>
      <c r="P52" s="114"/>
      <c r="Q52" s="114"/>
      <c r="R52" s="111">
        <f>N52+O52+P52+Q52</f>
        <v>9239.35</v>
      </c>
      <c r="S52" s="439">
        <f>H52-M52</f>
        <v>0</v>
      </c>
      <c r="T52" s="440"/>
      <c r="U52" s="440"/>
      <c r="V52" s="404">
        <f t="shared" si="31"/>
        <v>0</v>
      </c>
      <c r="W52" s="404">
        <f t="shared" si="35"/>
        <v>0</v>
      </c>
      <c r="X52" s="110">
        <v>1</v>
      </c>
      <c r="Y52" s="110"/>
      <c r="Z52" s="349">
        <f t="shared" si="43"/>
        <v>0</v>
      </c>
      <c r="AA52" s="349">
        <f t="shared" si="44"/>
        <v>0</v>
      </c>
      <c r="AB52" s="405">
        <f>Z52+AA52</f>
        <v>0</v>
      </c>
      <c r="AC52" s="419">
        <f t="shared" si="45"/>
        <v>0</v>
      </c>
      <c r="AD52" s="114">
        <f t="shared" si="45"/>
        <v>0</v>
      </c>
      <c r="AE52" s="334">
        <f>AC52+AD52</f>
        <v>0</v>
      </c>
      <c r="AG52" s="267"/>
      <c r="AH52" s="114"/>
      <c r="AI52" s="131">
        <f>AG52+AH52</f>
        <v>0</v>
      </c>
      <c r="AJ52" s="259"/>
    </row>
    <row r="53" spans="1:36" ht="51" hidden="1" x14ac:dyDescent="0.25">
      <c r="A53" s="332" t="s">
        <v>284</v>
      </c>
      <c r="B53" s="760" t="s">
        <v>625</v>
      </c>
      <c r="C53" s="303" t="s">
        <v>36</v>
      </c>
      <c r="D53" s="106" t="s">
        <v>115</v>
      </c>
      <c r="E53" s="107" t="s">
        <v>65</v>
      </c>
      <c r="F53" s="108">
        <v>66591.98</v>
      </c>
      <c r="G53" s="108"/>
      <c r="H53" s="108">
        <f>F53+G53</f>
        <v>66591.98</v>
      </c>
      <c r="I53" s="108"/>
      <c r="J53" s="108"/>
      <c r="K53" s="108">
        <v>66591.98</v>
      </c>
      <c r="L53" s="108"/>
      <c r="M53" s="111">
        <f t="shared" si="5"/>
        <v>66591.98</v>
      </c>
      <c r="N53" s="114"/>
      <c r="O53" s="114"/>
      <c r="P53" s="113">
        <v>23066.11</v>
      </c>
      <c r="Q53" s="113"/>
      <c r="R53" s="111">
        <f>N53+O53+P53+Q53</f>
        <v>23066.11</v>
      </c>
      <c r="S53" s="439">
        <f>H53-M53</f>
        <v>0</v>
      </c>
      <c r="T53" s="440"/>
      <c r="U53" s="440"/>
      <c r="V53" s="404">
        <f t="shared" si="31"/>
        <v>0</v>
      </c>
      <c r="W53" s="404">
        <f t="shared" si="35"/>
        <v>0</v>
      </c>
      <c r="X53" s="110"/>
      <c r="Y53" s="110">
        <v>1</v>
      </c>
      <c r="Z53" s="349">
        <f t="shared" si="43"/>
        <v>0</v>
      </c>
      <c r="AA53" s="349">
        <f t="shared" si="44"/>
        <v>0</v>
      </c>
      <c r="AB53" s="405">
        <f>Z53+AA53</f>
        <v>0</v>
      </c>
      <c r="AC53" s="419">
        <f t="shared" si="45"/>
        <v>0</v>
      </c>
      <c r="AD53" s="114">
        <f t="shared" si="45"/>
        <v>0</v>
      </c>
      <c r="AE53" s="334">
        <f>AC53+AD53</f>
        <v>0</v>
      </c>
      <c r="AG53" s="267"/>
      <c r="AH53" s="114"/>
      <c r="AI53" s="131">
        <f>AG53+AH53</f>
        <v>0</v>
      </c>
      <c r="AJ53" s="259"/>
    </row>
    <row r="54" spans="1:36" ht="51" x14ac:dyDescent="0.25">
      <c r="A54" s="331" t="s">
        <v>293</v>
      </c>
      <c r="B54" s="773" t="s">
        <v>626</v>
      </c>
      <c r="C54" s="303" t="s">
        <v>440</v>
      </c>
      <c r="D54" s="106" t="s">
        <v>441</v>
      </c>
      <c r="E54" s="107"/>
      <c r="F54" s="108">
        <v>83030</v>
      </c>
      <c r="G54" s="108"/>
      <c r="H54" s="108">
        <f>F54+G54</f>
        <v>83030</v>
      </c>
      <c r="I54" s="108"/>
      <c r="J54" s="108"/>
      <c r="K54" s="108"/>
      <c r="L54" s="108"/>
      <c r="M54" s="111">
        <f>I54+J54+K54+L54</f>
        <v>0</v>
      </c>
      <c r="N54" s="293"/>
      <c r="O54" s="113"/>
      <c r="P54" s="114"/>
      <c r="Q54" s="114"/>
      <c r="R54" s="111"/>
      <c r="S54" s="439">
        <f>H54-M54</f>
        <v>83030</v>
      </c>
      <c r="T54" s="440"/>
      <c r="U54" s="440"/>
      <c r="V54" s="404">
        <f>T54+U54</f>
        <v>0</v>
      </c>
      <c r="W54" s="404">
        <f>+S54+V54</f>
        <v>83030</v>
      </c>
      <c r="X54" s="110">
        <v>1</v>
      </c>
      <c r="Y54" s="110">
        <v>0</v>
      </c>
      <c r="Z54" s="349">
        <f t="shared" si="43"/>
        <v>83030</v>
      </c>
      <c r="AA54" s="349">
        <f t="shared" si="44"/>
        <v>0</v>
      </c>
      <c r="AB54" s="405">
        <f>Z54+AA54</f>
        <v>83030</v>
      </c>
      <c r="AC54" s="419">
        <f>ROUND(Z54/$AF$2,2)</f>
        <v>26447.73</v>
      </c>
      <c r="AD54" s="114">
        <f>ROUND(AA54/$AF$2,2)</f>
        <v>0</v>
      </c>
      <c r="AE54" s="334">
        <f>AC54+AD54</f>
        <v>26447.73</v>
      </c>
      <c r="AG54" s="283"/>
      <c r="AH54" s="224"/>
      <c r="AI54" s="282"/>
      <c r="AJ54" s="259"/>
    </row>
    <row r="55" spans="1:36" ht="114" customHeight="1" x14ac:dyDescent="0.25">
      <c r="A55" s="332" t="s">
        <v>285</v>
      </c>
      <c r="B55" s="760" t="s">
        <v>627</v>
      </c>
      <c r="C55" s="303" t="s">
        <v>34</v>
      </c>
      <c r="D55" s="106" t="s">
        <v>138</v>
      </c>
      <c r="E55" s="107" t="s">
        <v>139</v>
      </c>
      <c r="F55" s="108">
        <v>365646.16</v>
      </c>
      <c r="G55" s="108"/>
      <c r="H55" s="108">
        <f>F55+G55</f>
        <v>365646.16</v>
      </c>
      <c r="I55" s="108">
        <v>209559.73</v>
      </c>
      <c r="J55" s="108"/>
      <c r="K55" s="108"/>
      <c r="L55" s="108"/>
      <c r="M55" s="111">
        <f>I55+J55+K55+L55</f>
        <v>209559.73</v>
      </c>
      <c r="N55" s="293">
        <v>73499.02</v>
      </c>
      <c r="O55" s="113"/>
      <c r="P55" s="114"/>
      <c r="Q55" s="114"/>
      <c r="R55" s="111">
        <f>N55+O55+P55+Q55</f>
        <v>73499.02</v>
      </c>
      <c r="S55" s="439">
        <f>H55-M55</f>
        <v>156086.42999999996</v>
      </c>
      <c r="T55" s="440"/>
      <c r="U55" s="440"/>
      <c r="V55" s="404">
        <f>T55+U55</f>
        <v>0</v>
      </c>
      <c r="W55" s="404">
        <f>+S55+V55</f>
        <v>156086.42999999996</v>
      </c>
      <c r="X55" s="110">
        <v>1</v>
      </c>
      <c r="Y55" s="110"/>
      <c r="Z55" s="349">
        <f t="shared" si="43"/>
        <v>156086.42999999996</v>
      </c>
      <c r="AA55" s="349">
        <f t="shared" si="44"/>
        <v>0</v>
      </c>
      <c r="AB55" s="405">
        <f>Z55+AA55</f>
        <v>156086.42999999996</v>
      </c>
      <c r="AC55" s="419">
        <f>ROUND(Z55/$AF$2,2)</f>
        <v>49718.55</v>
      </c>
      <c r="AD55" s="114">
        <f>ROUND(AA55/$AF$2,2)</f>
        <v>0</v>
      </c>
      <c r="AE55" s="334">
        <f>AC55+AD55</f>
        <v>49718.55</v>
      </c>
      <c r="AG55" s="267"/>
      <c r="AH55" s="114"/>
      <c r="AI55" s="131">
        <f>AG55+AH55</f>
        <v>0</v>
      </c>
      <c r="AJ55" s="259"/>
    </row>
    <row r="56" spans="1:36" ht="51" x14ac:dyDescent="0.25">
      <c r="A56" s="331" t="s">
        <v>286</v>
      </c>
      <c r="B56" s="758" t="s">
        <v>296</v>
      </c>
      <c r="C56" s="303"/>
      <c r="D56" s="106"/>
      <c r="E56" s="107"/>
      <c r="F56" s="108"/>
      <c r="G56" s="108"/>
      <c r="H56" s="108">
        <f t="shared" ref="H56:H64" si="46">F56+G56</f>
        <v>0</v>
      </c>
      <c r="I56" s="108"/>
      <c r="J56" s="108"/>
      <c r="K56" s="108"/>
      <c r="L56" s="108"/>
      <c r="M56" s="111">
        <f t="shared" si="5"/>
        <v>0</v>
      </c>
      <c r="N56" s="293"/>
      <c r="O56" s="113"/>
      <c r="P56" s="114"/>
      <c r="Q56" s="114"/>
      <c r="R56" s="111"/>
      <c r="S56" s="441">
        <f t="shared" ref="S56:S63" si="47">AI56*$AF$2</f>
        <v>3094394.1876653172</v>
      </c>
      <c r="T56" s="441"/>
      <c r="U56" s="441"/>
      <c r="V56" s="404">
        <f t="shared" si="31"/>
        <v>0</v>
      </c>
      <c r="W56" s="441">
        <f t="shared" si="35"/>
        <v>3094394.1876653172</v>
      </c>
      <c r="X56" s="110">
        <v>1</v>
      </c>
      <c r="Y56" s="110">
        <v>0</v>
      </c>
      <c r="Z56" s="349">
        <f t="shared" si="43"/>
        <v>3094394.1876653172</v>
      </c>
      <c r="AA56" s="349">
        <f t="shared" si="44"/>
        <v>0</v>
      </c>
      <c r="AB56" s="405">
        <f t="shared" ref="AB56:AB64" si="48">Z56+AA56</f>
        <v>3094394.1876653172</v>
      </c>
      <c r="AC56" s="419">
        <f t="shared" si="45"/>
        <v>985664.2</v>
      </c>
      <c r="AD56" s="114">
        <f t="shared" si="45"/>
        <v>0</v>
      </c>
      <c r="AE56" s="334">
        <f t="shared" ref="AE56:AE64" si="49">AC56+AD56</f>
        <v>985664.2</v>
      </c>
      <c r="AG56" s="265">
        <f t="shared" ref="AG56:AG62" si="50">X55*AI56</f>
        <v>985664.19942196505</v>
      </c>
      <c r="AH56" s="118">
        <f t="shared" ref="AH56:AH62" si="51">Y55*AI56</f>
        <v>0</v>
      </c>
      <c r="AI56" s="133">
        <f>985.664199421965*$AF$4</f>
        <v>985664.19942196505</v>
      </c>
      <c r="AJ56" s="1492" t="s">
        <v>653</v>
      </c>
    </row>
    <row r="57" spans="1:36" ht="38.25" x14ac:dyDescent="0.25">
      <c r="A57" s="331" t="s">
        <v>287</v>
      </c>
      <c r="B57" s="758" t="s">
        <v>297</v>
      </c>
      <c r="C57" s="303"/>
      <c r="D57" s="106"/>
      <c r="E57" s="107"/>
      <c r="F57" s="108"/>
      <c r="G57" s="108"/>
      <c r="H57" s="108">
        <f t="shared" si="46"/>
        <v>0</v>
      </c>
      <c r="I57" s="108"/>
      <c r="J57" s="108"/>
      <c r="K57" s="108"/>
      <c r="L57" s="108"/>
      <c r="M57" s="111">
        <f t="shared" si="5"/>
        <v>0</v>
      </c>
      <c r="N57" s="293"/>
      <c r="O57" s="113"/>
      <c r="P57" s="114"/>
      <c r="Q57" s="114"/>
      <c r="R57" s="111"/>
      <c r="S57" s="441">
        <f t="shared" si="47"/>
        <v>9418200</v>
      </c>
      <c r="T57" s="441"/>
      <c r="U57" s="441"/>
      <c r="V57" s="404">
        <f t="shared" si="31"/>
        <v>0</v>
      </c>
      <c r="W57" s="441">
        <f t="shared" si="35"/>
        <v>9418200</v>
      </c>
      <c r="X57" s="110">
        <v>1</v>
      </c>
      <c r="Y57" s="110">
        <v>0</v>
      </c>
      <c r="Z57" s="349">
        <f t="shared" si="43"/>
        <v>9418200</v>
      </c>
      <c r="AA57" s="349">
        <f t="shared" si="44"/>
        <v>0</v>
      </c>
      <c r="AB57" s="405">
        <f t="shared" si="48"/>
        <v>9418200</v>
      </c>
      <c r="AC57" s="419">
        <f t="shared" si="45"/>
        <v>3000000</v>
      </c>
      <c r="AD57" s="114">
        <f t="shared" si="45"/>
        <v>0</v>
      </c>
      <c r="AE57" s="334">
        <f t="shared" si="49"/>
        <v>3000000</v>
      </c>
      <c r="AG57" s="265">
        <f t="shared" si="50"/>
        <v>3000000</v>
      </c>
      <c r="AH57" s="118">
        <f t="shared" si="51"/>
        <v>0</v>
      </c>
      <c r="AI57" s="133">
        <f>3000*$AF$4</f>
        <v>3000000</v>
      </c>
      <c r="AJ57" s="1492"/>
    </row>
    <row r="58" spans="1:36" ht="25.5" x14ac:dyDescent="0.25">
      <c r="A58" s="331" t="s">
        <v>288</v>
      </c>
      <c r="B58" s="758" t="s">
        <v>298</v>
      </c>
      <c r="C58" s="303"/>
      <c r="D58" s="106"/>
      <c r="E58" s="107"/>
      <c r="F58" s="108"/>
      <c r="G58" s="108"/>
      <c r="H58" s="108">
        <f t="shared" si="46"/>
        <v>0</v>
      </c>
      <c r="I58" s="108"/>
      <c r="J58" s="108"/>
      <c r="K58" s="108"/>
      <c r="L58" s="108"/>
      <c r="M58" s="111">
        <f t="shared" si="5"/>
        <v>0</v>
      </c>
      <c r="N58" s="293"/>
      <c r="O58" s="113"/>
      <c r="P58" s="114"/>
      <c r="Q58" s="114"/>
      <c r="R58" s="111"/>
      <c r="S58" s="441">
        <f t="shared" si="47"/>
        <v>2859396.9140000003</v>
      </c>
      <c r="T58" s="441"/>
      <c r="U58" s="441"/>
      <c r="V58" s="404">
        <f t="shared" si="31"/>
        <v>0</v>
      </c>
      <c r="W58" s="441">
        <f t="shared" si="35"/>
        <v>2859396.9140000003</v>
      </c>
      <c r="X58" s="110">
        <v>1</v>
      </c>
      <c r="Y58" s="110">
        <v>0</v>
      </c>
      <c r="Z58" s="349">
        <f t="shared" si="43"/>
        <v>2859396.9140000003</v>
      </c>
      <c r="AA58" s="349">
        <f t="shared" si="44"/>
        <v>0</v>
      </c>
      <c r="AB58" s="405">
        <f t="shared" si="48"/>
        <v>2859396.9140000003</v>
      </c>
      <c r="AC58" s="419">
        <f t="shared" si="45"/>
        <v>910810</v>
      </c>
      <c r="AD58" s="114">
        <f t="shared" si="45"/>
        <v>0</v>
      </c>
      <c r="AE58" s="334">
        <f t="shared" si="49"/>
        <v>910810</v>
      </c>
      <c r="AG58" s="265">
        <f t="shared" si="50"/>
        <v>910810</v>
      </c>
      <c r="AH58" s="118">
        <f t="shared" si="51"/>
        <v>0</v>
      </c>
      <c r="AI58" s="133">
        <f>910.81*$AF$4</f>
        <v>910810</v>
      </c>
      <c r="AJ58" s="1492"/>
    </row>
    <row r="59" spans="1:36" ht="25.5" x14ac:dyDescent="0.25">
      <c r="A59" s="331" t="s">
        <v>289</v>
      </c>
      <c r="B59" s="758" t="s">
        <v>299</v>
      </c>
      <c r="C59" s="303"/>
      <c r="D59" s="106"/>
      <c r="E59" s="107"/>
      <c r="F59" s="108"/>
      <c r="G59" s="108"/>
      <c r="H59" s="108">
        <f t="shared" si="46"/>
        <v>0</v>
      </c>
      <c r="I59" s="108"/>
      <c r="J59" s="108"/>
      <c r="K59" s="108"/>
      <c r="L59" s="108"/>
      <c r="M59" s="111">
        <f t="shared" si="5"/>
        <v>0</v>
      </c>
      <c r="N59" s="293"/>
      <c r="O59" s="113"/>
      <c r="P59" s="114"/>
      <c r="Q59" s="114"/>
      <c r="R59" s="111"/>
      <c r="S59" s="441">
        <f t="shared" si="47"/>
        <v>922983.60000000009</v>
      </c>
      <c r="T59" s="441"/>
      <c r="U59" s="441"/>
      <c r="V59" s="404">
        <f t="shared" si="31"/>
        <v>0</v>
      </c>
      <c r="W59" s="441">
        <f t="shared" si="35"/>
        <v>922983.60000000009</v>
      </c>
      <c r="X59" s="110">
        <v>1</v>
      </c>
      <c r="Y59" s="110">
        <v>0</v>
      </c>
      <c r="Z59" s="349">
        <f t="shared" si="43"/>
        <v>922983.60000000009</v>
      </c>
      <c r="AA59" s="349">
        <f t="shared" si="44"/>
        <v>0</v>
      </c>
      <c r="AB59" s="405">
        <f t="shared" si="48"/>
        <v>922983.60000000009</v>
      </c>
      <c r="AC59" s="419">
        <f t="shared" si="45"/>
        <v>294000</v>
      </c>
      <c r="AD59" s="114">
        <f t="shared" si="45"/>
        <v>0</v>
      </c>
      <c r="AE59" s="334">
        <f t="shared" si="49"/>
        <v>294000</v>
      </c>
      <c r="AG59" s="265">
        <f t="shared" si="50"/>
        <v>294000</v>
      </c>
      <c r="AH59" s="118">
        <f t="shared" si="51"/>
        <v>0</v>
      </c>
      <c r="AI59" s="133">
        <f>294*$AF$4</f>
        <v>294000</v>
      </c>
      <c r="AJ59" s="1492"/>
    </row>
    <row r="60" spans="1:36" x14ac:dyDescent="0.25">
      <c r="A60" s="331" t="s">
        <v>290</v>
      </c>
      <c r="B60" s="787" t="s">
        <v>300</v>
      </c>
      <c r="C60" s="303"/>
      <c r="D60" s="106"/>
      <c r="E60" s="107"/>
      <c r="F60" s="108"/>
      <c r="G60" s="108"/>
      <c r="H60" s="108">
        <f t="shared" si="46"/>
        <v>0</v>
      </c>
      <c r="I60" s="108"/>
      <c r="J60" s="108"/>
      <c r="K60" s="108"/>
      <c r="L60" s="108"/>
      <c r="M60" s="111">
        <f t="shared" si="5"/>
        <v>0</v>
      </c>
      <c r="N60" s="293"/>
      <c r="O60" s="113"/>
      <c r="P60" s="114"/>
      <c r="Q60" s="114"/>
      <c r="R60" s="111"/>
      <c r="S60" s="441">
        <f t="shared" si="47"/>
        <v>313940</v>
      </c>
      <c r="T60" s="441"/>
      <c r="U60" s="441"/>
      <c r="V60" s="404">
        <f t="shared" si="31"/>
        <v>0</v>
      </c>
      <c r="W60" s="441">
        <f t="shared" si="35"/>
        <v>313940</v>
      </c>
      <c r="X60" s="110">
        <v>1</v>
      </c>
      <c r="Y60" s="110">
        <v>0</v>
      </c>
      <c r="Z60" s="349">
        <f t="shared" si="43"/>
        <v>313940</v>
      </c>
      <c r="AA60" s="349">
        <f t="shared" si="44"/>
        <v>0</v>
      </c>
      <c r="AB60" s="405">
        <f t="shared" si="48"/>
        <v>313940</v>
      </c>
      <c r="AC60" s="419">
        <f t="shared" si="45"/>
        <v>100000</v>
      </c>
      <c r="AD60" s="114">
        <f t="shared" si="45"/>
        <v>0</v>
      </c>
      <c r="AE60" s="334">
        <f t="shared" si="49"/>
        <v>100000</v>
      </c>
      <c r="AG60" s="265">
        <f t="shared" si="50"/>
        <v>100000</v>
      </c>
      <c r="AH60" s="118">
        <f t="shared" si="51"/>
        <v>0</v>
      </c>
      <c r="AI60" s="133">
        <f>100*$AF$4</f>
        <v>100000</v>
      </c>
      <c r="AJ60" s="259"/>
    </row>
    <row r="61" spans="1:36" ht="38.25" x14ac:dyDescent="0.25">
      <c r="A61" s="331" t="s">
        <v>291</v>
      </c>
      <c r="B61" s="787" t="s">
        <v>301</v>
      </c>
      <c r="C61" s="303"/>
      <c r="D61" s="106"/>
      <c r="E61" s="107"/>
      <c r="F61" s="108"/>
      <c r="G61" s="108"/>
      <c r="H61" s="108">
        <f t="shared" si="46"/>
        <v>0</v>
      </c>
      <c r="I61" s="108"/>
      <c r="J61" s="108"/>
      <c r="K61" s="108"/>
      <c r="L61" s="108"/>
      <c r="M61" s="111">
        <f t="shared" si="5"/>
        <v>0</v>
      </c>
      <c r="N61" s="293"/>
      <c r="O61" s="113"/>
      <c r="P61" s="114"/>
      <c r="Q61" s="114"/>
      <c r="R61" s="111"/>
      <c r="S61" s="441">
        <f t="shared" si="47"/>
        <v>125576.00000000001</v>
      </c>
      <c r="T61" s="441"/>
      <c r="U61" s="441"/>
      <c r="V61" s="404">
        <f t="shared" si="31"/>
        <v>0</v>
      </c>
      <c r="W61" s="441">
        <f t="shared" si="35"/>
        <v>125576.00000000001</v>
      </c>
      <c r="X61" s="110">
        <v>1</v>
      </c>
      <c r="Y61" s="110">
        <v>0</v>
      </c>
      <c r="Z61" s="349">
        <f t="shared" si="43"/>
        <v>125576.00000000001</v>
      </c>
      <c r="AA61" s="349">
        <f t="shared" si="44"/>
        <v>0</v>
      </c>
      <c r="AB61" s="405">
        <f t="shared" si="48"/>
        <v>125576.00000000001</v>
      </c>
      <c r="AC61" s="419">
        <f t="shared" si="45"/>
        <v>40000</v>
      </c>
      <c r="AD61" s="114">
        <f t="shared" si="45"/>
        <v>0</v>
      </c>
      <c r="AE61" s="334">
        <f t="shared" si="49"/>
        <v>40000</v>
      </c>
      <c r="AG61" s="265">
        <f t="shared" si="50"/>
        <v>40000</v>
      </c>
      <c r="AH61" s="118">
        <f t="shared" si="51"/>
        <v>0</v>
      </c>
      <c r="AI61" s="133">
        <f>40*$AF$4</f>
        <v>40000</v>
      </c>
      <c r="AJ61" s="259"/>
    </row>
    <row r="62" spans="1:36" ht="25.5" x14ac:dyDescent="0.25">
      <c r="A62" s="331" t="s">
        <v>292</v>
      </c>
      <c r="B62" s="787" t="s">
        <v>302</v>
      </c>
      <c r="C62" s="303"/>
      <c r="D62" s="106"/>
      <c r="E62" s="107"/>
      <c r="F62" s="108"/>
      <c r="G62" s="108"/>
      <c r="H62" s="108">
        <f t="shared" si="46"/>
        <v>0</v>
      </c>
      <c r="I62" s="108"/>
      <c r="J62" s="108"/>
      <c r="K62" s="108"/>
      <c r="L62" s="108"/>
      <c r="M62" s="111">
        <f t="shared" si="5"/>
        <v>0</v>
      </c>
      <c r="N62" s="293"/>
      <c r="O62" s="113"/>
      <c r="P62" s="114"/>
      <c r="Q62" s="114"/>
      <c r="R62" s="111"/>
      <c r="S62" s="441">
        <f t="shared" si="47"/>
        <v>188364</v>
      </c>
      <c r="T62" s="441"/>
      <c r="U62" s="441"/>
      <c r="V62" s="404">
        <f t="shared" si="31"/>
        <v>0</v>
      </c>
      <c r="W62" s="441">
        <f t="shared" si="35"/>
        <v>188364</v>
      </c>
      <c r="X62" s="110">
        <v>1</v>
      </c>
      <c r="Y62" s="110">
        <v>0</v>
      </c>
      <c r="Z62" s="349">
        <f t="shared" si="43"/>
        <v>188364</v>
      </c>
      <c r="AA62" s="349">
        <f t="shared" si="44"/>
        <v>0</v>
      </c>
      <c r="AB62" s="405">
        <f t="shared" si="48"/>
        <v>188364</v>
      </c>
      <c r="AC62" s="419">
        <f t="shared" si="45"/>
        <v>60000</v>
      </c>
      <c r="AD62" s="114">
        <f t="shared" si="45"/>
        <v>0</v>
      </c>
      <c r="AE62" s="334">
        <f t="shared" si="49"/>
        <v>60000</v>
      </c>
      <c r="AG62" s="265">
        <f t="shared" si="50"/>
        <v>60000</v>
      </c>
      <c r="AH62" s="118">
        <f t="shared" si="51"/>
        <v>0</v>
      </c>
      <c r="AI62" s="133">
        <f>60*$AF$4</f>
        <v>60000</v>
      </c>
      <c r="AJ62" s="259"/>
    </row>
    <row r="63" spans="1:36" ht="25.5" x14ac:dyDescent="0.25">
      <c r="A63" s="331" t="s">
        <v>294</v>
      </c>
      <c r="B63" s="787" t="s">
        <v>304</v>
      </c>
      <c r="C63" s="303"/>
      <c r="D63" s="106"/>
      <c r="E63" s="107"/>
      <c r="F63" s="108"/>
      <c r="G63" s="108"/>
      <c r="H63" s="108">
        <f t="shared" si="46"/>
        <v>0</v>
      </c>
      <c r="I63" s="108"/>
      <c r="J63" s="108"/>
      <c r="K63" s="108"/>
      <c r="L63" s="108"/>
      <c r="M63" s="111">
        <f t="shared" si="5"/>
        <v>0</v>
      </c>
      <c r="N63" s="293"/>
      <c r="O63" s="113"/>
      <c r="P63" s="114"/>
      <c r="Q63" s="114"/>
      <c r="R63" s="111"/>
      <c r="S63" s="441">
        <f t="shared" si="47"/>
        <v>258440.09060564148</v>
      </c>
      <c r="T63" s="441"/>
      <c r="U63" s="441"/>
      <c r="V63" s="404">
        <f t="shared" si="31"/>
        <v>0</v>
      </c>
      <c r="W63" s="441">
        <f t="shared" si="35"/>
        <v>258440.09060564148</v>
      </c>
      <c r="X63" s="110">
        <v>1</v>
      </c>
      <c r="Y63" s="110">
        <v>0</v>
      </c>
      <c r="Z63" s="349">
        <f t="shared" si="43"/>
        <v>258440.09060564148</v>
      </c>
      <c r="AA63" s="349">
        <f t="shared" si="44"/>
        <v>0</v>
      </c>
      <c r="AB63" s="405">
        <f t="shared" si="48"/>
        <v>258440.09060564148</v>
      </c>
      <c r="AC63" s="419">
        <f t="shared" si="45"/>
        <v>82321.490000000005</v>
      </c>
      <c r="AD63" s="114">
        <f t="shared" si="45"/>
        <v>0</v>
      </c>
      <c r="AE63" s="334">
        <f t="shared" si="49"/>
        <v>82321.490000000005</v>
      </c>
      <c r="AG63" s="265">
        <f>X54*AI63</f>
        <v>82321.491560693597</v>
      </c>
      <c r="AH63" s="118">
        <f>Y54*AI63</f>
        <v>0</v>
      </c>
      <c r="AI63" s="133">
        <f>82.3214915606936*$AF$4</f>
        <v>82321.491560693597</v>
      </c>
      <c r="AJ63" s="259"/>
    </row>
    <row r="64" spans="1:36" ht="26.25" hidden="1" thickBot="1" x14ac:dyDescent="0.3">
      <c r="A64" s="331" t="s">
        <v>295</v>
      </c>
      <c r="B64" s="776" t="s">
        <v>628</v>
      </c>
      <c r="C64" s="362"/>
      <c r="D64" s="363"/>
      <c r="E64" s="364"/>
      <c r="F64" s="307"/>
      <c r="G64" s="307"/>
      <c r="H64" s="307">
        <f t="shared" si="46"/>
        <v>0</v>
      </c>
      <c r="I64" s="307"/>
      <c r="J64" s="307"/>
      <c r="K64" s="307"/>
      <c r="L64" s="307"/>
      <c r="M64" s="111">
        <f t="shared" si="5"/>
        <v>0</v>
      </c>
      <c r="N64" s="366"/>
      <c r="O64" s="367"/>
      <c r="P64" s="368"/>
      <c r="Q64" s="368"/>
      <c r="R64" s="365"/>
      <c r="S64" s="434">
        <v>0</v>
      </c>
      <c r="T64" s="434"/>
      <c r="U64" s="434"/>
      <c r="V64" s="404">
        <f t="shared" si="31"/>
        <v>0</v>
      </c>
      <c r="W64" s="434">
        <f t="shared" si="35"/>
        <v>0</v>
      </c>
      <c r="X64" s="309">
        <v>1</v>
      </c>
      <c r="Y64" s="309">
        <v>0</v>
      </c>
      <c r="Z64" s="349">
        <f t="shared" si="43"/>
        <v>0</v>
      </c>
      <c r="AA64" s="349">
        <f t="shared" si="44"/>
        <v>0</v>
      </c>
      <c r="AB64" s="411">
        <f t="shared" si="48"/>
        <v>0</v>
      </c>
      <c r="AC64" s="424">
        <f t="shared" si="45"/>
        <v>0</v>
      </c>
      <c r="AD64" s="368">
        <f t="shared" si="45"/>
        <v>0</v>
      </c>
      <c r="AE64" s="369">
        <f t="shared" si="49"/>
        <v>0</v>
      </c>
      <c r="AG64" s="262">
        <f>X63*AI64</f>
        <v>976917.33</v>
      </c>
      <c r="AH64" s="160">
        <f>Y63*AI64</f>
        <v>0</v>
      </c>
      <c r="AI64" s="162">
        <f>976.91733*$AF$4</f>
        <v>976917.33</v>
      </c>
      <c r="AJ64" s="259"/>
    </row>
    <row r="65" spans="1:38" x14ac:dyDescent="0.25">
      <c r="A65" s="342"/>
      <c r="B65" s="371" t="s">
        <v>203</v>
      </c>
      <c r="C65" s="384"/>
      <c r="D65" s="373"/>
      <c r="E65" s="374"/>
      <c r="F65" s="385">
        <f t="shared" ref="F65:W65" si="52">F66+F97</f>
        <v>527137735.50999999</v>
      </c>
      <c r="G65" s="385">
        <f t="shared" si="52"/>
        <v>44841337.460000001</v>
      </c>
      <c r="H65" s="385">
        <f t="shared" si="52"/>
        <v>571979072.97000003</v>
      </c>
      <c r="I65" s="385">
        <f t="shared" si="52"/>
        <v>370917489.77000004</v>
      </c>
      <c r="J65" s="385">
        <f t="shared" si="52"/>
        <v>44841337.460000001</v>
      </c>
      <c r="K65" s="385">
        <f t="shared" si="52"/>
        <v>2995599.4499999997</v>
      </c>
      <c r="L65" s="385">
        <f t="shared" si="52"/>
        <v>0</v>
      </c>
      <c r="M65" s="385">
        <f t="shared" si="52"/>
        <v>418754426.68000007</v>
      </c>
      <c r="N65" s="385">
        <f t="shared" si="52"/>
        <v>146258887.20999992</v>
      </c>
      <c r="O65" s="385">
        <f t="shared" si="52"/>
        <v>14594960.769999996</v>
      </c>
      <c r="P65" s="385">
        <f t="shared" si="52"/>
        <v>1024826.48</v>
      </c>
      <c r="Q65" s="385">
        <f t="shared" si="52"/>
        <v>0</v>
      </c>
      <c r="R65" s="385">
        <f t="shared" si="52"/>
        <v>161878674.45999989</v>
      </c>
      <c r="S65" s="385">
        <f t="shared" si="52"/>
        <v>334112369.44827157</v>
      </c>
      <c r="T65" s="385">
        <f t="shared" si="52"/>
        <v>24995675.105555557</v>
      </c>
      <c r="U65" s="385">
        <f t="shared" si="52"/>
        <v>60145324.990053013</v>
      </c>
      <c r="V65" s="385">
        <f t="shared" si="52"/>
        <v>85141000.095608562</v>
      </c>
      <c r="W65" s="385">
        <f t="shared" si="52"/>
        <v>398558787.16435826</v>
      </c>
      <c r="X65" s="376"/>
      <c r="Y65" s="376"/>
      <c r="Z65" s="385">
        <f t="shared" ref="Z65:AE65" si="53">Z66+Z97</f>
        <v>239605111.72639924</v>
      </c>
      <c r="AA65" s="385">
        <f t="shared" si="53"/>
        <v>158953675.43795896</v>
      </c>
      <c r="AB65" s="385">
        <f t="shared" si="53"/>
        <v>398558787.16435814</v>
      </c>
      <c r="AC65" s="385">
        <f t="shared" si="53"/>
        <v>76327161.320000023</v>
      </c>
      <c r="AD65" s="385">
        <f t="shared" si="53"/>
        <v>50631864.510000005</v>
      </c>
      <c r="AE65" s="385">
        <f t="shared" si="53"/>
        <v>126959025.82999998</v>
      </c>
      <c r="AG65" s="385">
        <f>AG66+AG97</f>
        <v>41864701.415841714</v>
      </c>
      <c r="AH65" s="385">
        <f>AH66+AH97</f>
        <v>8788389.3525444791</v>
      </c>
      <c r="AI65" s="385">
        <f>AI66+AI97</f>
        <v>50653090.768386193</v>
      </c>
      <c r="AJ65" s="259"/>
    </row>
    <row r="66" spans="1:38" x14ac:dyDescent="0.25">
      <c r="A66" s="342"/>
      <c r="B66" s="371" t="s">
        <v>204</v>
      </c>
      <c r="C66" s="384"/>
      <c r="D66" s="373"/>
      <c r="E66" s="374"/>
      <c r="F66" s="375">
        <f t="shared" ref="F66:W66" si="54">F67+F89</f>
        <v>510724556</v>
      </c>
      <c r="G66" s="375">
        <f t="shared" si="54"/>
        <v>44731041.969999999</v>
      </c>
      <c r="H66" s="375">
        <f t="shared" si="54"/>
        <v>555455597.97000003</v>
      </c>
      <c r="I66" s="375">
        <f t="shared" si="54"/>
        <v>359872961.79000002</v>
      </c>
      <c r="J66" s="375">
        <f t="shared" si="54"/>
        <v>44731041.969999999</v>
      </c>
      <c r="K66" s="375">
        <f t="shared" si="54"/>
        <v>2995599.4499999997</v>
      </c>
      <c r="L66" s="375">
        <f t="shared" si="54"/>
        <v>0</v>
      </c>
      <c r="M66" s="375">
        <f t="shared" si="54"/>
        <v>407599603.21000004</v>
      </c>
      <c r="N66" s="375">
        <f t="shared" si="54"/>
        <v>143057031.52999991</v>
      </c>
      <c r="O66" s="375">
        <f t="shared" si="54"/>
        <v>14563650.539999995</v>
      </c>
      <c r="P66" s="375">
        <f t="shared" si="54"/>
        <v>1024826.48</v>
      </c>
      <c r="Q66" s="375">
        <f t="shared" si="54"/>
        <v>0</v>
      </c>
      <c r="R66" s="375">
        <f t="shared" si="54"/>
        <v>158645508.54999989</v>
      </c>
      <c r="S66" s="375">
        <f t="shared" si="54"/>
        <v>318261250.61164731</v>
      </c>
      <c r="T66" s="375">
        <f t="shared" si="54"/>
        <v>21498611.800000001</v>
      </c>
      <c r="U66" s="375">
        <f t="shared" si="54"/>
        <v>59795618.659497455</v>
      </c>
      <c r="V66" s="375">
        <f t="shared" si="54"/>
        <v>81294230.459497452</v>
      </c>
      <c r="W66" s="375">
        <f t="shared" si="54"/>
        <v>378860898.69162285</v>
      </c>
      <c r="X66" s="376"/>
      <c r="Y66" s="376"/>
      <c r="Z66" s="375">
        <f t="shared" ref="Z66:AE66" si="55">Z67+Z89</f>
        <v>219907223.25366384</v>
      </c>
      <c r="AA66" s="375">
        <f t="shared" si="55"/>
        <v>158953675.43795896</v>
      </c>
      <c r="AB66" s="375">
        <f t="shared" si="55"/>
        <v>378860898.69162273</v>
      </c>
      <c r="AC66" s="375">
        <f t="shared" si="55"/>
        <v>70052749.500000015</v>
      </c>
      <c r="AD66" s="375">
        <f t="shared" si="55"/>
        <v>50631864.510000005</v>
      </c>
      <c r="AE66" s="375">
        <f t="shared" si="55"/>
        <v>120684614.00999999</v>
      </c>
      <c r="AF66" s="274"/>
      <c r="AG66" s="375">
        <f>AG67+AG89</f>
        <v>38525698.005437091</v>
      </c>
      <c r="AH66" s="375">
        <f>AH67+AH89</f>
        <v>8788389.3525444791</v>
      </c>
      <c r="AI66" s="375">
        <f>AI67+AI89</f>
        <v>47314087.35798157</v>
      </c>
      <c r="AJ66" s="259"/>
    </row>
    <row r="67" spans="1:38" x14ac:dyDescent="0.25">
      <c r="A67" s="648"/>
      <c r="B67" s="656" t="s">
        <v>524</v>
      </c>
      <c r="C67" s="657"/>
      <c r="D67" s="658"/>
      <c r="E67" s="659"/>
      <c r="F67" s="660">
        <f t="shared" ref="F67:W67" si="56">SUM(F68:F88)</f>
        <v>370031362.19999999</v>
      </c>
      <c r="G67" s="660">
        <f t="shared" si="56"/>
        <v>44731041.969999999</v>
      </c>
      <c r="H67" s="660">
        <f t="shared" si="56"/>
        <v>414762404.16999996</v>
      </c>
      <c r="I67" s="660">
        <f t="shared" si="56"/>
        <v>222175367.44</v>
      </c>
      <c r="J67" s="660">
        <f t="shared" si="56"/>
        <v>44731041.969999999</v>
      </c>
      <c r="K67" s="660">
        <f t="shared" si="56"/>
        <v>0</v>
      </c>
      <c r="L67" s="660">
        <f t="shared" si="56"/>
        <v>0</v>
      </c>
      <c r="M67" s="660">
        <f t="shared" si="56"/>
        <v>266906409.41000003</v>
      </c>
      <c r="N67" s="660">
        <f t="shared" si="56"/>
        <v>81412339.50999999</v>
      </c>
      <c r="O67" s="660">
        <f t="shared" si="56"/>
        <v>14563650.539999995</v>
      </c>
      <c r="P67" s="660">
        <f t="shared" si="56"/>
        <v>0</v>
      </c>
      <c r="Q67" s="660">
        <f t="shared" si="56"/>
        <v>0</v>
      </c>
      <c r="R67" s="660">
        <f t="shared" si="56"/>
        <v>95975990.049999982</v>
      </c>
      <c r="S67" s="660">
        <f t="shared" si="56"/>
        <v>296393840.61164731</v>
      </c>
      <c r="T67" s="660">
        <f t="shared" si="56"/>
        <v>0</v>
      </c>
      <c r="U67" s="660">
        <f t="shared" si="56"/>
        <v>59795618.659497455</v>
      </c>
      <c r="V67" s="660">
        <f t="shared" si="56"/>
        <v>59795618.659497455</v>
      </c>
      <c r="W67" s="660">
        <f t="shared" si="56"/>
        <v>335494876.89162284</v>
      </c>
      <c r="X67" s="661"/>
      <c r="Y67" s="661"/>
      <c r="Z67" s="660">
        <f t="shared" ref="Z67:AE67" si="57">SUM(Z68:Z88)</f>
        <v>214598824.26006383</v>
      </c>
      <c r="AA67" s="660">
        <f t="shared" si="57"/>
        <v>120896052.63155894</v>
      </c>
      <c r="AB67" s="660">
        <f t="shared" si="57"/>
        <v>335494876.89162272</v>
      </c>
      <c r="AC67" s="660">
        <f t="shared" si="57"/>
        <v>68356636.38000001</v>
      </c>
      <c r="AD67" s="660">
        <f t="shared" si="57"/>
        <v>38509286.060000002</v>
      </c>
      <c r="AE67" s="660">
        <f t="shared" si="57"/>
        <v>106865922.44</v>
      </c>
      <c r="AF67" s="653"/>
      <c r="AG67" s="660">
        <f>SUM(AG68:AG88)</f>
        <v>38525698.005437091</v>
      </c>
      <c r="AH67" s="660">
        <f>SUM(AH68:AH88)</f>
        <v>8788389.3525444791</v>
      </c>
      <c r="AI67" s="660">
        <f>SUM(AI68:AI88)</f>
        <v>47314087.35798157</v>
      </c>
      <c r="AJ67" s="259"/>
    </row>
    <row r="68" spans="1:38" ht="51" hidden="1" x14ac:dyDescent="0.25">
      <c r="A68" s="338" t="s">
        <v>314</v>
      </c>
      <c r="B68" s="759" t="s">
        <v>654</v>
      </c>
      <c r="C68" s="348" t="s">
        <v>137</v>
      </c>
      <c r="D68" s="228" t="s">
        <v>77</v>
      </c>
      <c r="E68" s="229" t="s">
        <v>81</v>
      </c>
      <c r="F68" s="231">
        <v>38646295.750000007</v>
      </c>
      <c r="G68" s="231">
        <v>14806584.760000002</v>
      </c>
      <c r="H68" s="231">
        <f t="shared" ref="H68:H77" si="58">F68+G68</f>
        <v>53452880.510000005</v>
      </c>
      <c r="I68" s="231">
        <v>38646295.750000007</v>
      </c>
      <c r="J68" s="231">
        <v>14806584.760000002</v>
      </c>
      <c r="K68" s="231"/>
      <c r="L68" s="231"/>
      <c r="M68" s="234">
        <f t="shared" ref="M68:M130" si="59">I68+J68+K68+L68</f>
        <v>53452880.510000005</v>
      </c>
      <c r="N68" s="382">
        <f>14295271.88-O68</f>
        <v>10335444.950000001</v>
      </c>
      <c r="O68" s="383">
        <v>3959826.93</v>
      </c>
      <c r="P68" s="349"/>
      <c r="Q68" s="349"/>
      <c r="R68" s="234">
        <f t="shared" ref="R68:R83" si="60">N68+O68+P68+Q68</f>
        <v>14295271.880000001</v>
      </c>
      <c r="S68" s="439">
        <f t="shared" ref="S68:S74" si="61">H68-M68</f>
        <v>0</v>
      </c>
      <c r="T68" s="439"/>
      <c r="U68" s="439"/>
      <c r="V68" s="404">
        <f t="shared" ref="V68:V132" si="62">T68+U68</f>
        <v>0</v>
      </c>
      <c r="W68" s="404">
        <f t="shared" ref="W68:W132" si="63">+S68+V68</f>
        <v>0</v>
      </c>
      <c r="X68" s="233">
        <v>1</v>
      </c>
      <c r="Y68" s="233"/>
      <c r="Z68" s="349">
        <f t="shared" ref="Z68:Z74" si="64">W68*X68</f>
        <v>0</v>
      </c>
      <c r="AA68" s="349">
        <f t="shared" ref="AA68:AA74" si="65">W68*Y68</f>
        <v>0</v>
      </c>
      <c r="AB68" s="404">
        <f t="shared" ref="AB68:AB83" si="66">Z68+AA68</f>
        <v>0</v>
      </c>
      <c r="AC68" s="418">
        <f t="shared" ref="AC68:AD70" si="67">ROUND(Z68/$AF$2,2)</f>
        <v>0</v>
      </c>
      <c r="AD68" s="349">
        <f t="shared" si="67"/>
        <v>0</v>
      </c>
      <c r="AE68" s="350">
        <f t="shared" ref="AE68:AE83" si="68">AC68+AD68</f>
        <v>0</v>
      </c>
      <c r="AG68" s="266"/>
      <c r="AH68" s="128"/>
      <c r="AI68" s="129">
        <f>AG68+AH68</f>
        <v>0</v>
      </c>
      <c r="AJ68" s="259"/>
    </row>
    <row r="69" spans="1:38" ht="45" hidden="1" x14ac:dyDescent="0.25">
      <c r="A69" s="332" t="s">
        <v>308</v>
      </c>
      <c r="B69" s="760" t="s">
        <v>629</v>
      </c>
      <c r="C69" s="303" t="s">
        <v>413</v>
      </c>
      <c r="D69" s="106" t="s">
        <v>418</v>
      </c>
      <c r="E69" s="107"/>
      <c r="F69" s="279">
        <v>68580</v>
      </c>
      <c r="G69" s="108"/>
      <c r="H69" s="108">
        <f t="shared" si="58"/>
        <v>68580</v>
      </c>
      <c r="I69" s="108">
        <v>68580</v>
      </c>
      <c r="J69" s="108"/>
      <c r="K69" s="108"/>
      <c r="L69" s="108"/>
      <c r="M69" s="111">
        <f t="shared" si="59"/>
        <v>68580</v>
      </c>
      <c r="N69" s="293">
        <v>19820.810000000001</v>
      </c>
      <c r="O69" s="113"/>
      <c r="P69" s="114"/>
      <c r="Q69" s="114"/>
      <c r="R69" s="111">
        <f t="shared" si="60"/>
        <v>19820.810000000001</v>
      </c>
      <c r="S69" s="439">
        <f t="shared" si="61"/>
        <v>0</v>
      </c>
      <c r="T69" s="440"/>
      <c r="U69" s="440"/>
      <c r="V69" s="404">
        <f t="shared" si="62"/>
        <v>0</v>
      </c>
      <c r="W69" s="404">
        <f t="shared" si="63"/>
        <v>0</v>
      </c>
      <c r="X69" s="110">
        <v>1</v>
      </c>
      <c r="Y69" s="110"/>
      <c r="Z69" s="349">
        <f t="shared" si="64"/>
        <v>0</v>
      </c>
      <c r="AA69" s="349">
        <f t="shared" si="65"/>
        <v>0</v>
      </c>
      <c r="AB69" s="405">
        <f t="shared" si="66"/>
        <v>0</v>
      </c>
      <c r="AC69" s="419">
        <f t="shared" si="67"/>
        <v>0</v>
      </c>
      <c r="AD69" s="114">
        <f t="shared" si="67"/>
        <v>0</v>
      </c>
      <c r="AE69" s="334">
        <f t="shared" si="68"/>
        <v>0</v>
      </c>
      <c r="AG69" s="267"/>
      <c r="AH69" s="114"/>
      <c r="AI69" s="131"/>
      <c r="AJ69" s="259"/>
    </row>
    <row r="70" spans="1:38" ht="45" hidden="1" x14ac:dyDescent="0.25">
      <c r="A70" s="332" t="s">
        <v>307</v>
      </c>
      <c r="B70" s="760" t="s">
        <v>630</v>
      </c>
      <c r="C70" s="303" t="s">
        <v>412</v>
      </c>
      <c r="D70" s="106" t="s">
        <v>418</v>
      </c>
      <c r="E70" s="107"/>
      <c r="F70" s="279">
        <v>68580</v>
      </c>
      <c r="G70" s="108"/>
      <c r="H70" s="108">
        <f t="shared" si="58"/>
        <v>68580</v>
      </c>
      <c r="I70" s="108">
        <v>68580</v>
      </c>
      <c r="J70" s="108"/>
      <c r="K70" s="108"/>
      <c r="L70" s="108"/>
      <c r="M70" s="111">
        <f t="shared" si="59"/>
        <v>68580</v>
      </c>
      <c r="N70" s="293">
        <v>19820.810000000001</v>
      </c>
      <c r="O70" s="113"/>
      <c r="P70" s="401"/>
      <c r="Q70" s="114"/>
      <c r="R70" s="111">
        <f t="shared" si="60"/>
        <v>19820.810000000001</v>
      </c>
      <c r="S70" s="439">
        <f t="shared" si="61"/>
        <v>0</v>
      </c>
      <c r="T70" s="440"/>
      <c r="U70" s="440"/>
      <c r="V70" s="404">
        <f t="shared" si="62"/>
        <v>0</v>
      </c>
      <c r="W70" s="404">
        <f t="shared" si="63"/>
        <v>0</v>
      </c>
      <c r="X70" s="110">
        <v>1</v>
      </c>
      <c r="Y70" s="110"/>
      <c r="Z70" s="349">
        <f t="shared" si="64"/>
        <v>0</v>
      </c>
      <c r="AA70" s="349">
        <f t="shared" si="65"/>
        <v>0</v>
      </c>
      <c r="AB70" s="405">
        <f t="shared" si="66"/>
        <v>0</v>
      </c>
      <c r="AC70" s="419">
        <f t="shared" si="67"/>
        <v>0</v>
      </c>
      <c r="AD70" s="114">
        <f t="shared" si="67"/>
        <v>0</v>
      </c>
      <c r="AE70" s="334">
        <f t="shared" si="68"/>
        <v>0</v>
      </c>
      <c r="AG70" s="267"/>
      <c r="AH70" s="114"/>
      <c r="AI70" s="131"/>
      <c r="AJ70" s="259"/>
    </row>
    <row r="71" spans="1:38" ht="66.75" customHeight="1" x14ac:dyDescent="0.25">
      <c r="A71" s="340" t="s">
        <v>324</v>
      </c>
      <c r="B71" s="132" t="s">
        <v>631</v>
      </c>
      <c r="C71" s="303" t="s">
        <v>564</v>
      </c>
      <c r="D71" s="106" t="s">
        <v>428</v>
      </c>
      <c r="E71" s="107"/>
      <c r="F71" s="108">
        <v>68580</v>
      </c>
      <c r="G71" s="108"/>
      <c r="H71" s="108">
        <f t="shared" si="58"/>
        <v>68580</v>
      </c>
      <c r="I71" s="108"/>
      <c r="J71" s="108"/>
      <c r="K71" s="108"/>
      <c r="L71" s="108"/>
      <c r="M71" s="111">
        <f t="shared" ref="M71:M77" si="69">I71+J71+K71+L71</f>
        <v>0</v>
      </c>
      <c r="N71" s="293"/>
      <c r="O71" s="113"/>
      <c r="P71" s="113"/>
      <c r="Q71" s="113"/>
      <c r="R71" s="111">
        <f t="shared" si="60"/>
        <v>0</v>
      </c>
      <c r="S71" s="439">
        <f t="shared" si="61"/>
        <v>68580</v>
      </c>
      <c r="T71" s="440"/>
      <c r="U71" s="440"/>
      <c r="V71" s="404">
        <f t="shared" si="62"/>
        <v>0</v>
      </c>
      <c r="W71" s="404">
        <f t="shared" si="63"/>
        <v>68580</v>
      </c>
      <c r="X71" s="110">
        <v>1</v>
      </c>
      <c r="Y71" s="110"/>
      <c r="Z71" s="349">
        <f t="shared" si="64"/>
        <v>68580</v>
      </c>
      <c r="AA71" s="349">
        <f t="shared" si="65"/>
        <v>0</v>
      </c>
      <c r="AB71" s="405">
        <f t="shared" si="66"/>
        <v>68580</v>
      </c>
      <c r="AC71" s="419">
        <f t="shared" ref="AC71:AD73" si="70">ROUND(Z71/$AF$2,2)</f>
        <v>21844.94</v>
      </c>
      <c r="AD71" s="114">
        <f t="shared" si="70"/>
        <v>0</v>
      </c>
      <c r="AE71" s="334">
        <f t="shared" si="68"/>
        <v>21844.94</v>
      </c>
      <c r="AG71" s="283">
        <f>AI71*X71</f>
        <v>0</v>
      </c>
      <c r="AH71" s="224">
        <f>AI71*Y71</f>
        <v>0</v>
      </c>
      <c r="AI71" s="282"/>
      <c r="AJ71" s="259"/>
    </row>
    <row r="72" spans="1:38" ht="54.75" customHeight="1" x14ac:dyDescent="0.25">
      <c r="A72" s="340" t="s">
        <v>325</v>
      </c>
      <c r="B72" s="132" t="s">
        <v>632</v>
      </c>
      <c r="C72" s="303" t="s">
        <v>442</v>
      </c>
      <c r="D72" s="106" t="s">
        <v>443</v>
      </c>
      <c r="E72" s="107"/>
      <c r="F72" s="108">
        <v>68580</v>
      </c>
      <c r="G72" s="108"/>
      <c r="H72" s="108">
        <f t="shared" si="58"/>
        <v>68580</v>
      </c>
      <c r="I72" s="108"/>
      <c r="J72" s="108"/>
      <c r="K72" s="108"/>
      <c r="L72" s="108"/>
      <c r="M72" s="111">
        <f t="shared" si="69"/>
        <v>0</v>
      </c>
      <c r="N72" s="293"/>
      <c r="O72" s="113"/>
      <c r="P72" s="113"/>
      <c r="Q72" s="113"/>
      <c r="R72" s="111">
        <f t="shared" si="60"/>
        <v>0</v>
      </c>
      <c r="S72" s="439">
        <f t="shared" si="61"/>
        <v>68580</v>
      </c>
      <c r="T72" s="440"/>
      <c r="U72" s="440"/>
      <c r="V72" s="404">
        <f t="shared" si="62"/>
        <v>0</v>
      </c>
      <c r="W72" s="404">
        <f t="shared" si="63"/>
        <v>68580</v>
      </c>
      <c r="X72" s="110">
        <v>1</v>
      </c>
      <c r="Y72" s="110"/>
      <c r="Z72" s="349">
        <f t="shared" si="64"/>
        <v>68580</v>
      </c>
      <c r="AA72" s="349">
        <f t="shared" si="65"/>
        <v>0</v>
      </c>
      <c r="AB72" s="405">
        <f t="shared" si="66"/>
        <v>68580</v>
      </c>
      <c r="AC72" s="419">
        <f t="shared" si="70"/>
        <v>21844.94</v>
      </c>
      <c r="AD72" s="114">
        <f t="shared" si="70"/>
        <v>0</v>
      </c>
      <c r="AE72" s="334">
        <f t="shared" si="68"/>
        <v>21844.94</v>
      </c>
      <c r="AG72" s="283">
        <f>AI72*X72</f>
        <v>0</v>
      </c>
      <c r="AH72" s="224">
        <f>AI72*Y72</f>
        <v>0</v>
      </c>
      <c r="AI72" s="282"/>
    </row>
    <row r="73" spans="1:38" ht="51" x14ac:dyDescent="0.25">
      <c r="A73" s="340" t="s">
        <v>322</v>
      </c>
      <c r="B73" s="777" t="s">
        <v>633</v>
      </c>
      <c r="C73" s="303" t="s">
        <v>423</v>
      </c>
      <c r="D73" s="106" t="s">
        <v>427</v>
      </c>
      <c r="E73" s="107"/>
      <c r="F73" s="108">
        <v>45241.5</v>
      </c>
      <c r="G73" s="108"/>
      <c r="H73" s="108">
        <f t="shared" si="58"/>
        <v>45241.5</v>
      </c>
      <c r="I73" s="108">
        <v>26116.5</v>
      </c>
      <c r="J73" s="108"/>
      <c r="K73" s="108"/>
      <c r="L73" s="108"/>
      <c r="M73" s="111">
        <f t="shared" si="69"/>
        <v>26116.5</v>
      </c>
      <c r="N73" s="293">
        <v>7548.12</v>
      </c>
      <c r="O73" s="113"/>
      <c r="P73" s="113"/>
      <c r="Q73" s="113"/>
      <c r="R73" s="111">
        <f t="shared" si="60"/>
        <v>7548.12</v>
      </c>
      <c r="S73" s="439">
        <f t="shared" si="61"/>
        <v>19125</v>
      </c>
      <c r="T73" s="440"/>
      <c r="U73" s="440"/>
      <c r="V73" s="404">
        <f t="shared" si="62"/>
        <v>0</v>
      </c>
      <c r="W73" s="404">
        <f t="shared" si="63"/>
        <v>19125</v>
      </c>
      <c r="X73" s="110">
        <v>1</v>
      </c>
      <c r="Y73" s="110">
        <v>0</v>
      </c>
      <c r="Z73" s="349">
        <f t="shared" si="64"/>
        <v>19125</v>
      </c>
      <c r="AA73" s="349">
        <f t="shared" si="65"/>
        <v>0</v>
      </c>
      <c r="AB73" s="405">
        <f t="shared" si="66"/>
        <v>19125</v>
      </c>
      <c r="AC73" s="419">
        <f t="shared" si="70"/>
        <v>6091.93</v>
      </c>
      <c r="AD73" s="114">
        <f t="shared" si="70"/>
        <v>0</v>
      </c>
      <c r="AE73" s="334">
        <f t="shared" si="68"/>
        <v>6091.93</v>
      </c>
      <c r="AG73" s="283"/>
      <c r="AH73" s="224"/>
      <c r="AI73" s="282"/>
      <c r="AJ73" s="259"/>
    </row>
    <row r="74" spans="1:38" ht="51" x14ac:dyDescent="0.25">
      <c r="A74" s="340" t="s">
        <v>322</v>
      </c>
      <c r="B74" s="777" t="s">
        <v>634</v>
      </c>
      <c r="C74" s="303" t="s">
        <v>424</v>
      </c>
      <c r="D74" s="106" t="s">
        <v>427</v>
      </c>
      <c r="E74" s="107"/>
      <c r="F74" s="108">
        <v>40688</v>
      </c>
      <c r="G74" s="108"/>
      <c r="H74" s="108">
        <f t="shared" si="58"/>
        <v>40688</v>
      </c>
      <c r="I74" s="108">
        <v>35588</v>
      </c>
      <c r="J74" s="108"/>
      <c r="K74" s="108"/>
      <c r="L74" s="108"/>
      <c r="M74" s="111">
        <f t="shared" si="69"/>
        <v>35588</v>
      </c>
      <c r="N74" s="293">
        <v>10285.549999999999</v>
      </c>
      <c r="O74" s="113"/>
      <c r="P74" s="113"/>
      <c r="Q74" s="113"/>
      <c r="R74" s="111">
        <f t="shared" si="60"/>
        <v>10285.549999999999</v>
      </c>
      <c r="S74" s="439">
        <f t="shared" si="61"/>
        <v>5100</v>
      </c>
      <c r="T74" s="440"/>
      <c r="U74" s="440"/>
      <c r="V74" s="404">
        <f t="shared" si="62"/>
        <v>0</v>
      </c>
      <c r="W74" s="404">
        <f t="shared" si="63"/>
        <v>5100</v>
      </c>
      <c r="X74" s="110">
        <v>1</v>
      </c>
      <c r="Y74" s="110">
        <v>0</v>
      </c>
      <c r="Z74" s="349">
        <f t="shared" si="64"/>
        <v>5100</v>
      </c>
      <c r="AA74" s="349">
        <f t="shared" si="65"/>
        <v>0</v>
      </c>
      <c r="AB74" s="405">
        <f t="shared" si="66"/>
        <v>5100</v>
      </c>
      <c r="AC74" s="419">
        <f>ROUND(Z74/$AF$2,2)</f>
        <v>1624.51</v>
      </c>
      <c r="AD74" s="114">
        <f>ROUND(AA74/$AF$2,2)</f>
        <v>0</v>
      </c>
      <c r="AE74" s="334">
        <f t="shared" si="68"/>
        <v>1624.51</v>
      </c>
      <c r="AG74" s="283"/>
      <c r="AH74" s="224"/>
      <c r="AI74" s="282"/>
      <c r="AJ74" s="259"/>
      <c r="AK74" s="885"/>
      <c r="AL74">
        <v>1</v>
      </c>
    </row>
    <row r="75" spans="1:38" ht="89.25" x14ac:dyDescent="0.25">
      <c r="A75" s="332" t="s">
        <v>306</v>
      </c>
      <c r="B75" s="760" t="s">
        <v>635</v>
      </c>
      <c r="C75" s="303" t="s">
        <v>21</v>
      </c>
      <c r="D75" s="106" t="s">
        <v>103</v>
      </c>
      <c r="E75" s="107" t="s">
        <v>3</v>
      </c>
      <c r="F75" s="117">
        <f>277415678.7+53609138.25</f>
        <v>331024816.94999999</v>
      </c>
      <c r="G75" s="108">
        <v>29924457.210000001</v>
      </c>
      <c r="H75" s="108">
        <f t="shared" si="58"/>
        <v>360949274.15999997</v>
      </c>
      <c r="I75" s="108">
        <v>183330207.19</v>
      </c>
      <c r="J75" s="108">
        <v>29924457.210000001</v>
      </c>
      <c r="K75" s="108"/>
      <c r="L75" s="108"/>
      <c r="M75" s="111">
        <f t="shared" si="69"/>
        <v>213254664.40000001</v>
      </c>
      <c r="N75" s="293">
        <v>71019419.269999981</v>
      </c>
      <c r="O75" s="151">
        <v>10603823.609999996</v>
      </c>
      <c r="P75" s="113"/>
      <c r="Q75" s="113"/>
      <c r="R75" s="111">
        <f t="shared" si="60"/>
        <v>81623242.87999998</v>
      </c>
      <c r="S75" s="438">
        <f>H75-M75</f>
        <v>147694609.75999996</v>
      </c>
      <c r="T75" s="465"/>
      <c r="U75" s="815">
        <f>59251214.03522*S75/(H75-M75)</f>
        <v>59251214.035219997</v>
      </c>
      <c r="V75" s="404">
        <f t="shared" si="62"/>
        <v>59251214.035219997</v>
      </c>
      <c r="W75" s="816">
        <f>(S75+V75)*0.9</f>
        <v>186251241.41569796</v>
      </c>
      <c r="X75" s="842">
        <f>0.4990326916</f>
        <v>0.49903269160000002</v>
      </c>
      <c r="Y75" s="842">
        <v>0.50096730839999992</v>
      </c>
      <c r="Z75" s="349">
        <f t="shared" ref="Z75:Z88" si="71">W75*X75</f>
        <v>92945458.317517146</v>
      </c>
      <c r="AA75" s="349">
        <f t="shared" ref="AA75:AA88" si="72">W75*Y75</f>
        <v>93305783.098180801</v>
      </c>
      <c r="AB75" s="405">
        <f t="shared" si="66"/>
        <v>186251241.41569793</v>
      </c>
      <c r="AC75" s="419">
        <f t="shared" ref="AC75:AD77" si="73">ROUND(Z75/$AF$2,2)</f>
        <v>29606121.649999999</v>
      </c>
      <c r="AD75" s="114">
        <f t="shared" si="73"/>
        <v>29720896.699999999</v>
      </c>
      <c r="AE75" s="334">
        <f t="shared" si="68"/>
        <v>59327018.349999994</v>
      </c>
      <c r="AF75" s="275"/>
      <c r="AG75" s="267"/>
      <c r="AH75" s="114"/>
      <c r="AI75" s="131">
        <f>AG75+AH75</f>
        <v>0</v>
      </c>
      <c r="AJ75" s="881"/>
      <c r="AK75" s="881"/>
    </row>
    <row r="76" spans="1:38" ht="30" customHeight="1" x14ac:dyDescent="0.25">
      <c r="A76" s="340" t="s">
        <v>326</v>
      </c>
      <c r="B76" s="778" t="s">
        <v>342</v>
      </c>
      <c r="C76" s="303"/>
      <c r="D76" s="106"/>
      <c r="E76" s="107"/>
      <c r="F76" s="108"/>
      <c r="G76" s="108"/>
      <c r="H76" s="108">
        <f t="shared" si="58"/>
        <v>0</v>
      </c>
      <c r="I76" s="108"/>
      <c r="J76" s="108"/>
      <c r="K76" s="108"/>
      <c r="L76" s="108"/>
      <c r="M76" s="111">
        <f t="shared" si="69"/>
        <v>0</v>
      </c>
      <c r="N76" s="293"/>
      <c r="O76" s="113"/>
      <c r="P76" s="113"/>
      <c r="Q76" s="113"/>
      <c r="R76" s="111">
        <f t="shared" si="60"/>
        <v>0</v>
      </c>
      <c r="S76" s="663">
        <f>AI76*$AF$2</f>
        <v>90734.104046242646</v>
      </c>
      <c r="T76" s="663"/>
      <c r="U76" s="663"/>
      <c r="V76" s="404">
        <f>T76+U76</f>
        <v>0</v>
      </c>
      <c r="W76" s="663">
        <f>+S76+V76</f>
        <v>90734.104046242646</v>
      </c>
      <c r="X76" s="110">
        <v>1</v>
      </c>
      <c r="Y76" s="110"/>
      <c r="Z76" s="349">
        <f>W76*X76</f>
        <v>90734.104046242646</v>
      </c>
      <c r="AA76" s="349">
        <f>W76*Y76</f>
        <v>0</v>
      </c>
      <c r="AB76" s="405">
        <f t="shared" si="66"/>
        <v>90734.104046242646</v>
      </c>
      <c r="AC76" s="419">
        <f t="shared" si="73"/>
        <v>28901.73</v>
      </c>
      <c r="AD76" s="114">
        <f t="shared" si="73"/>
        <v>0</v>
      </c>
      <c r="AE76" s="334">
        <f t="shared" si="68"/>
        <v>28901.73</v>
      </c>
      <c r="AG76" s="265">
        <f>AI76*X76</f>
        <v>28901.734104046198</v>
      </c>
      <c r="AH76" s="118">
        <f>AI76*Y76</f>
        <v>0</v>
      </c>
      <c r="AI76" s="133">
        <f>28.9017341040462*$AF$4</f>
        <v>28901.734104046198</v>
      </c>
      <c r="AJ76" s="259"/>
    </row>
    <row r="77" spans="1:38" ht="38.25" x14ac:dyDescent="0.25">
      <c r="A77" s="340" t="s">
        <v>323</v>
      </c>
      <c r="B77" s="778" t="s">
        <v>339</v>
      </c>
      <c r="C77" s="303"/>
      <c r="D77" s="106"/>
      <c r="E77" s="107"/>
      <c r="F77" s="108"/>
      <c r="G77" s="108"/>
      <c r="H77" s="108">
        <f t="shared" si="58"/>
        <v>0</v>
      </c>
      <c r="I77" s="108"/>
      <c r="J77" s="108"/>
      <c r="K77" s="108"/>
      <c r="L77" s="108"/>
      <c r="M77" s="111">
        <f t="shared" si="69"/>
        <v>0</v>
      </c>
      <c r="N77" s="293"/>
      <c r="O77" s="113"/>
      <c r="P77" s="113"/>
      <c r="Q77" s="113"/>
      <c r="R77" s="111">
        <f t="shared" si="60"/>
        <v>0</v>
      </c>
      <c r="S77" s="441">
        <f>AI77*$AF$2</f>
        <v>219758</v>
      </c>
      <c r="T77" s="441"/>
      <c r="U77" s="441"/>
      <c r="V77" s="404">
        <f>T77+U77</f>
        <v>0</v>
      </c>
      <c r="W77" s="441">
        <f>+S77+V77</f>
        <v>219758</v>
      </c>
      <c r="X77" s="110">
        <v>1</v>
      </c>
      <c r="Y77" s="110">
        <v>0</v>
      </c>
      <c r="Z77" s="349">
        <f>W77*X77</f>
        <v>219758</v>
      </c>
      <c r="AA77" s="349">
        <f>W77*Y77</f>
        <v>0</v>
      </c>
      <c r="AB77" s="405">
        <f t="shared" si="66"/>
        <v>219758</v>
      </c>
      <c r="AC77" s="419">
        <f t="shared" si="73"/>
        <v>70000</v>
      </c>
      <c r="AD77" s="114">
        <f t="shared" si="73"/>
        <v>0</v>
      </c>
      <c r="AE77" s="334">
        <f t="shared" si="68"/>
        <v>70000</v>
      </c>
      <c r="AG77" s="265">
        <f>AI77*X77</f>
        <v>70000</v>
      </c>
      <c r="AH77" s="118">
        <f>AI77*Y77</f>
        <v>0</v>
      </c>
      <c r="AI77" s="133">
        <f>70*$AF$4</f>
        <v>70000</v>
      </c>
      <c r="AJ77" s="259"/>
    </row>
    <row r="78" spans="1:38" ht="38.25" x14ac:dyDescent="0.25">
      <c r="A78" s="340" t="s">
        <v>315</v>
      </c>
      <c r="B78" s="778" t="s">
        <v>331</v>
      </c>
      <c r="C78" s="303"/>
      <c r="D78" s="106"/>
      <c r="E78" s="107"/>
      <c r="F78" s="108"/>
      <c r="G78" s="108"/>
      <c r="H78" s="108">
        <f t="shared" ref="H78:H96" si="74">F78+G78</f>
        <v>0</v>
      </c>
      <c r="I78" s="108"/>
      <c r="J78" s="108"/>
      <c r="K78" s="108"/>
      <c r="L78" s="108"/>
      <c r="M78" s="111">
        <f t="shared" si="59"/>
        <v>0</v>
      </c>
      <c r="N78" s="293"/>
      <c r="O78" s="113"/>
      <c r="P78" s="113"/>
      <c r="Q78" s="113"/>
      <c r="R78" s="111">
        <f t="shared" si="60"/>
        <v>0</v>
      </c>
      <c r="S78" s="441">
        <f t="shared" ref="S78:S96" si="75">AI78*$AF$2</f>
        <v>40000000</v>
      </c>
      <c r="T78" s="441"/>
      <c r="U78" s="441"/>
      <c r="V78" s="404">
        <f t="shared" si="62"/>
        <v>0</v>
      </c>
      <c r="W78" s="441">
        <f t="shared" si="63"/>
        <v>40000000</v>
      </c>
      <c r="X78" s="110">
        <v>1</v>
      </c>
      <c r="Y78" s="110">
        <v>0</v>
      </c>
      <c r="Z78" s="349">
        <f t="shared" si="71"/>
        <v>40000000</v>
      </c>
      <c r="AA78" s="349">
        <f t="shared" si="72"/>
        <v>0</v>
      </c>
      <c r="AB78" s="405">
        <f t="shared" si="66"/>
        <v>40000000</v>
      </c>
      <c r="AC78" s="419">
        <f t="shared" ref="AC78:AD88" si="76">ROUND(Z78/$AF$2,2)</f>
        <v>12741288.140000001</v>
      </c>
      <c r="AD78" s="114">
        <f t="shared" si="76"/>
        <v>0</v>
      </c>
      <c r="AE78" s="334">
        <f t="shared" si="68"/>
        <v>12741288.140000001</v>
      </c>
      <c r="AG78" s="265">
        <f t="shared" ref="AG78:AG88" si="77">AI78*X78</f>
        <v>12741288.144231381</v>
      </c>
      <c r="AH78" s="118">
        <f t="shared" ref="AH78:AH88" si="78">AI78*Y78</f>
        <v>0</v>
      </c>
      <c r="AI78" s="133">
        <v>12741288.144231381</v>
      </c>
      <c r="AJ78" s="259"/>
      <c r="AK78" s="1"/>
    </row>
    <row r="79" spans="1:38" ht="38.25" x14ac:dyDescent="0.25">
      <c r="A79" s="340" t="s">
        <v>316</v>
      </c>
      <c r="B79" s="778" t="s">
        <v>332</v>
      </c>
      <c r="C79" s="303"/>
      <c r="D79" s="106"/>
      <c r="E79" s="107"/>
      <c r="F79" s="108"/>
      <c r="G79" s="108"/>
      <c r="H79" s="108">
        <f t="shared" si="74"/>
        <v>0</v>
      </c>
      <c r="I79" s="108"/>
      <c r="J79" s="108"/>
      <c r="K79" s="108"/>
      <c r="L79" s="108"/>
      <c r="M79" s="111">
        <f t="shared" si="59"/>
        <v>0</v>
      </c>
      <c r="N79" s="293"/>
      <c r="O79" s="113"/>
      <c r="P79" s="113"/>
      <c r="Q79" s="113"/>
      <c r="R79" s="111">
        <f t="shared" si="60"/>
        <v>0</v>
      </c>
      <c r="S79" s="441">
        <f t="shared" si="75"/>
        <v>3489961.1826606919</v>
      </c>
      <c r="T79" s="441"/>
      <c r="U79" s="441"/>
      <c r="V79" s="404">
        <f t="shared" si="62"/>
        <v>0</v>
      </c>
      <c r="W79" s="441">
        <f t="shared" si="63"/>
        <v>3489961.1826606919</v>
      </c>
      <c r="X79" s="110">
        <v>1</v>
      </c>
      <c r="Y79" s="110">
        <v>0</v>
      </c>
      <c r="Z79" s="349">
        <f t="shared" si="71"/>
        <v>3489961.1826606919</v>
      </c>
      <c r="AA79" s="349">
        <f t="shared" si="72"/>
        <v>0</v>
      </c>
      <c r="AB79" s="405">
        <f t="shared" si="66"/>
        <v>3489961.1826606919</v>
      </c>
      <c r="AC79" s="419">
        <f t="shared" si="76"/>
        <v>1111665.03</v>
      </c>
      <c r="AD79" s="114">
        <f t="shared" si="76"/>
        <v>0</v>
      </c>
      <c r="AE79" s="334">
        <f t="shared" si="68"/>
        <v>1111665.03</v>
      </c>
      <c r="AG79" s="265">
        <f t="shared" si="77"/>
        <v>1111665.0260115601</v>
      </c>
      <c r="AH79" s="118">
        <f t="shared" si="78"/>
        <v>0</v>
      </c>
      <c r="AI79" s="133">
        <f>1111.66502601156*$AF$4</f>
        <v>1111665.0260115601</v>
      </c>
      <c r="AJ79" s="259"/>
      <c r="AK79" s="27"/>
    </row>
    <row r="80" spans="1:38" ht="84" customHeight="1" x14ac:dyDescent="0.25">
      <c r="A80" s="340" t="s">
        <v>317</v>
      </c>
      <c r="B80" s="778" t="s">
        <v>333</v>
      </c>
      <c r="C80" s="303"/>
      <c r="D80" s="106"/>
      <c r="E80" s="107"/>
      <c r="F80" s="108"/>
      <c r="G80" s="108"/>
      <c r="H80" s="108">
        <f t="shared" si="74"/>
        <v>0</v>
      </c>
      <c r="I80" s="108"/>
      <c r="J80" s="108"/>
      <c r="K80" s="108"/>
      <c r="L80" s="108"/>
      <c r="M80" s="111">
        <f t="shared" si="59"/>
        <v>0</v>
      </c>
      <c r="N80" s="293"/>
      <c r="O80" s="113"/>
      <c r="P80" s="113"/>
      <c r="Q80" s="113"/>
      <c r="R80" s="111">
        <f t="shared" si="60"/>
        <v>0</v>
      </c>
      <c r="S80" s="441">
        <f t="shared" si="75"/>
        <v>5444046.2427745527</v>
      </c>
      <c r="T80" s="441"/>
      <c r="U80" s="441">
        <f>0.1*S80</f>
        <v>544404.62427745527</v>
      </c>
      <c r="V80" s="816">
        <f t="shared" si="62"/>
        <v>544404.62427745527</v>
      </c>
      <c r="W80" s="441">
        <f t="shared" si="63"/>
        <v>5988450.8670520075</v>
      </c>
      <c r="X80" s="110">
        <v>1</v>
      </c>
      <c r="Y80" s="110">
        <v>0</v>
      </c>
      <c r="Z80" s="349">
        <f t="shared" si="71"/>
        <v>5988450.8670520075</v>
      </c>
      <c r="AA80" s="349">
        <f t="shared" si="72"/>
        <v>0</v>
      </c>
      <c r="AB80" s="405">
        <f t="shared" si="66"/>
        <v>5988450.8670520075</v>
      </c>
      <c r="AC80" s="419">
        <f t="shared" si="76"/>
        <v>1907514.45</v>
      </c>
      <c r="AD80" s="114">
        <f t="shared" si="76"/>
        <v>0</v>
      </c>
      <c r="AE80" s="334">
        <f t="shared" si="68"/>
        <v>1907514.45</v>
      </c>
      <c r="AG80" s="265">
        <f t="shared" si="77"/>
        <v>1734104.04624277</v>
      </c>
      <c r="AH80" s="118">
        <f t="shared" si="78"/>
        <v>0</v>
      </c>
      <c r="AI80" s="133">
        <f>1734.10404624277*$AF$4</f>
        <v>1734104.04624277</v>
      </c>
      <c r="AJ80" s="259"/>
    </row>
    <row r="81" spans="1:43" ht="51" x14ac:dyDescent="0.25">
      <c r="A81" s="340" t="s">
        <v>318</v>
      </c>
      <c r="B81" s="778" t="s">
        <v>664</v>
      </c>
      <c r="C81" s="303"/>
      <c r="D81" s="106"/>
      <c r="E81" s="107"/>
      <c r="F81" s="108"/>
      <c r="G81" s="108"/>
      <c r="H81" s="108">
        <f t="shared" si="74"/>
        <v>0</v>
      </c>
      <c r="I81" s="108"/>
      <c r="J81" s="108"/>
      <c r="K81" s="108"/>
      <c r="L81" s="108"/>
      <c r="M81" s="111">
        <f t="shared" si="59"/>
        <v>0</v>
      </c>
      <c r="N81" s="293"/>
      <c r="O81" s="113"/>
      <c r="P81" s="113"/>
      <c r="Q81" s="113"/>
      <c r="R81" s="111">
        <f t="shared" si="60"/>
        <v>0</v>
      </c>
      <c r="S81" s="441">
        <f t="shared" si="75"/>
        <v>1717621.6775751442</v>
      </c>
      <c r="T81" s="441"/>
      <c r="U81" s="441"/>
      <c r="V81" s="404">
        <f t="shared" si="62"/>
        <v>0</v>
      </c>
      <c r="W81" s="441">
        <f t="shared" si="63"/>
        <v>1717621.6775751442</v>
      </c>
      <c r="X81" s="110">
        <v>1</v>
      </c>
      <c r="Y81" s="110">
        <v>0</v>
      </c>
      <c r="Z81" s="349">
        <f t="shared" si="71"/>
        <v>1717621.6775751442</v>
      </c>
      <c r="AA81" s="349">
        <f t="shared" si="72"/>
        <v>0</v>
      </c>
      <c r="AB81" s="405">
        <f t="shared" si="66"/>
        <v>1717621.6775751442</v>
      </c>
      <c r="AC81" s="419">
        <f t="shared" si="76"/>
        <v>547117.81999999995</v>
      </c>
      <c r="AD81" s="114">
        <f t="shared" si="76"/>
        <v>0</v>
      </c>
      <c r="AE81" s="334">
        <f t="shared" si="68"/>
        <v>547117.81999999995</v>
      </c>
      <c r="AG81" s="265">
        <f t="shared" si="77"/>
        <v>547117.81791907502</v>
      </c>
      <c r="AH81" s="118">
        <f t="shared" si="78"/>
        <v>0</v>
      </c>
      <c r="AI81" s="133">
        <f>547.117817919075*$AF$4</f>
        <v>547117.81791907502</v>
      </c>
      <c r="AJ81" s="259"/>
    </row>
    <row r="82" spans="1:43" ht="38.25" x14ac:dyDescent="0.25">
      <c r="A82" s="468" t="s">
        <v>319</v>
      </c>
      <c r="B82" s="778" t="s">
        <v>335</v>
      </c>
      <c r="C82" s="303"/>
      <c r="D82" s="106"/>
      <c r="E82" s="107"/>
      <c r="F82" s="108"/>
      <c r="G82" s="108"/>
      <c r="H82" s="108">
        <f t="shared" si="74"/>
        <v>0</v>
      </c>
      <c r="I82" s="108"/>
      <c r="J82" s="108"/>
      <c r="K82" s="108"/>
      <c r="L82" s="108"/>
      <c r="M82" s="111">
        <f t="shared" si="59"/>
        <v>0</v>
      </c>
      <c r="N82" s="293"/>
      <c r="O82" s="113"/>
      <c r="P82" s="113"/>
      <c r="Q82" s="113"/>
      <c r="R82" s="111">
        <f t="shared" si="60"/>
        <v>0</v>
      </c>
      <c r="S82" s="441">
        <f t="shared" si="75"/>
        <v>18092091.760000002</v>
      </c>
      <c r="T82" s="441"/>
      <c r="U82" s="441"/>
      <c r="V82" s="404">
        <f t="shared" si="62"/>
        <v>0</v>
      </c>
      <c r="W82" s="441">
        <f t="shared" si="63"/>
        <v>18092091.760000002</v>
      </c>
      <c r="X82" s="110"/>
      <c r="Y82" s="464">
        <v>1</v>
      </c>
      <c r="Z82" s="349">
        <f t="shared" si="71"/>
        <v>0</v>
      </c>
      <c r="AA82" s="349">
        <f t="shared" si="72"/>
        <v>18092091.760000002</v>
      </c>
      <c r="AB82" s="405">
        <f t="shared" si="66"/>
        <v>18092091.760000002</v>
      </c>
      <c r="AC82" s="419">
        <f t="shared" si="76"/>
        <v>0</v>
      </c>
      <c r="AD82" s="114">
        <f t="shared" si="76"/>
        <v>5762913.8600000003</v>
      </c>
      <c r="AE82" s="334">
        <f t="shared" si="68"/>
        <v>5762913.8600000003</v>
      </c>
      <c r="AG82" s="265">
        <f t="shared" si="77"/>
        <v>0</v>
      </c>
      <c r="AH82" s="118">
        <f t="shared" si="78"/>
        <v>5762913.8561508572</v>
      </c>
      <c r="AI82" s="133">
        <f>AK82/AF2</f>
        <v>5762913.8561508572</v>
      </c>
      <c r="AJ82" s="841" t="s">
        <v>655</v>
      </c>
      <c r="AK82" s="817">
        <v>18092091.760000002</v>
      </c>
      <c r="AM82" t="s">
        <v>568</v>
      </c>
    </row>
    <row r="83" spans="1:43" ht="26.25" x14ac:dyDescent="0.25">
      <c r="A83" s="468" t="s">
        <v>320</v>
      </c>
      <c r="B83" s="775" t="s">
        <v>336</v>
      </c>
      <c r="C83" s="303"/>
      <c r="D83" s="106"/>
      <c r="E83" s="107"/>
      <c r="F83" s="108"/>
      <c r="G83" s="108"/>
      <c r="H83" s="108">
        <f t="shared" si="74"/>
        <v>0</v>
      </c>
      <c r="I83" s="108"/>
      <c r="J83" s="108"/>
      <c r="K83" s="108"/>
      <c r="L83" s="108"/>
      <c r="M83" s="111">
        <f t="shared" si="59"/>
        <v>0</v>
      </c>
      <c r="N83" s="293"/>
      <c r="O83" s="113"/>
      <c r="P83" s="113"/>
      <c r="Q83" s="113"/>
      <c r="R83" s="111">
        <f t="shared" si="60"/>
        <v>0</v>
      </c>
      <c r="S83" s="441">
        <f t="shared" si="75"/>
        <v>44905770.960000001</v>
      </c>
      <c r="T83" s="441"/>
      <c r="U83" s="441"/>
      <c r="V83" s="404">
        <f t="shared" si="62"/>
        <v>0</v>
      </c>
      <c r="W83" s="441">
        <f t="shared" si="63"/>
        <v>44905770.960000001</v>
      </c>
      <c r="X83" s="464">
        <v>0.78848647801106275</v>
      </c>
      <c r="Y83" s="464">
        <v>0.21151352198893725</v>
      </c>
      <c r="Z83" s="349">
        <f t="shared" si="71"/>
        <v>35407593.18662186</v>
      </c>
      <c r="AA83" s="349">
        <f t="shared" si="72"/>
        <v>9498177.7733781394</v>
      </c>
      <c r="AB83" s="770">
        <f t="shared" si="66"/>
        <v>44905770.960000001</v>
      </c>
      <c r="AC83" s="818">
        <f t="shared" si="76"/>
        <v>11278458.68</v>
      </c>
      <c r="AD83" s="771">
        <f t="shared" si="76"/>
        <v>3025475.5</v>
      </c>
      <c r="AE83" s="772">
        <f t="shared" si="68"/>
        <v>14303934.18</v>
      </c>
      <c r="AG83" s="265">
        <f t="shared" si="77"/>
        <v>11278458.682111824</v>
      </c>
      <c r="AH83" s="118">
        <f t="shared" si="78"/>
        <v>3025475.4963936228</v>
      </c>
      <c r="AI83" s="133">
        <f>AK83/AF2</f>
        <v>14303934.178505447</v>
      </c>
      <c r="AJ83" s="841" t="s">
        <v>655</v>
      </c>
      <c r="AK83" s="817">
        <v>44905770.960000001</v>
      </c>
      <c r="AM83" s="1">
        <v>11278458.682111824</v>
      </c>
      <c r="AN83" t="s">
        <v>656</v>
      </c>
      <c r="AP83" s="27">
        <f>+AM83/AI83</f>
        <v>0.78848647801106275</v>
      </c>
      <c r="AQ83" s="27">
        <f>1-AP83</f>
        <v>0.21151352198893725</v>
      </c>
    </row>
    <row r="84" spans="1:43" ht="26.25" x14ac:dyDescent="0.25">
      <c r="A84" s="468"/>
      <c r="B84" s="819" t="s">
        <v>657</v>
      </c>
      <c r="C84" s="303"/>
      <c r="D84" s="106"/>
      <c r="E84" s="107"/>
      <c r="F84" s="108"/>
      <c r="G84" s="108"/>
      <c r="H84" s="108"/>
      <c r="I84" s="108"/>
      <c r="J84" s="108"/>
      <c r="K84" s="108"/>
      <c r="L84" s="108"/>
      <c r="M84" s="111"/>
      <c r="N84" s="293"/>
      <c r="O84" s="113"/>
      <c r="P84" s="113"/>
      <c r="Q84" s="113"/>
      <c r="R84" s="111"/>
      <c r="S84" s="441"/>
      <c r="T84" s="441"/>
      <c r="U84" s="441"/>
      <c r="V84" s="404"/>
      <c r="W84" s="441"/>
      <c r="X84" s="464"/>
      <c r="Y84" s="464"/>
      <c r="Z84" s="349"/>
      <c r="AA84" s="349"/>
      <c r="AB84" s="770"/>
      <c r="AC84" s="770"/>
      <c r="AD84" s="771"/>
      <c r="AE84" s="772"/>
      <c r="AG84" s="265"/>
      <c r="AH84" s="118"/>
      <c r="AI84" s="133"/>
      <c r="AJ84" s="841"/>
      <c r="AK84" s="817"/>
      <c r="AM84" s="1"/>
      <c r="AP84" s="27"/>
      <c r="AQ84" s="27"/>
    </row>
    <row r="85" spans="1:43" ht="26.25" x14ac:dyDescent="0.25">
      <c r="A85" s="468"/>
      <c r="B85" s="819" t="s">
        <v>658</v>
      </c>
      <c r="C85" s="303"/>
      <c r="D85" s="106"/>
      <c r="E85" s="107"/>
      <c r="F85" s="108"/>
      <c r="G85" s="108"/>
      <c r="H85" s="108"/>
      <c r="I85" s="108"/>
      <c r="J85" s="108"/>
      <c r="K85" s="108"/>
      <c r="L85" s="108"/>
      <c r="M85" s="111"/>
      <c r="N85" s="293"/>
      <c r="O85" s="113"/>
      <c r="P85" s="113"/>
      <c r="Q85" s="113"/>
      <c r="R85" s="111"/>
      <c r="S85" s="441"/>
      <c r="T85" s="441"/>
      <c r="U85" s="441"/>
      <c r="V85" s="404"/>
      <c r="W85" s="441"/>
      <c r="X85" s="464"/>
      <c r="Y85" s="464"/>
      <c r="Z85" s="349"/>
      <c r="AA85" s="349"/>
      <c r="AB85" s="770"/>
      <c r="AC85" s="770"/>
      <c r="AD85" s="771"/>
      <c r="AE85" s="772"/>
      <c r="AG85" s="265"/>
      <c r="AH85" s="118"/>
      <c r="AI85" s="133"/>
      <c r="AJ85" s="841"/>
      <c r="AK85" s="817"/>
      <c r="AM85" s="1"/>
      <c r="AP85" s="27"/>
      <c r="AQ85" s="27"/>
    </row>
    <row r="86" spans="1:43" ht="30" customHeight="1" x14ac:dyDescent="0.25">
      <c r="A86" s="648" t="s">
        <v>328</v>
      </c>
      <c r="B86" s="843" t="s">
        <v>344</v>
      </c>
      <c r="C86" s="649"/>
      <c r="D86" s="650"/>
      <c r="E86" s="651"/>
      <c r="F86" s="117"/>
      <c r="G86" s="117"/>
      <c r="H86" s="117">
        <f>F86+G86</f>
        <v>0</v>
      </c>
      <c r="I86" s="117"/>
      <c r="J86" s="117"/>
      <c r="K86" s="117"/>
      <c r="L86" s="117"/>
      <c r="M86" s="475">
        <f>I86+J86+K86+L86</f>
        <v>0</v>
      </c>
      <c r="N86" s="476"/>
      <c r="O86" s="844"/>
      <c r="P86" s="844"/>
      <c r="Q86" s="844"/>
      <c r="R86" s="475">
        <f>N86+O86+P86+Q86</f>
        <v>0</v>
      </c>
      <c r="S86" s="832">
        <f>AI86*$AF$2</f>
        <v>2509501.5405882299</v>
      </c>
      <c r="T86" s="832"/>
      <c r="U86" s="832"/>
      <c r="V86" s="816">
        <f t="shared" si="62"/>
        <v>0</v>
      </c>
      <c r="W86" s="832">
        <f t="shared" si="63"/>
        <v>2509501.5405882299</v>
      </c>
      <c r="X86" s="845">
        <v>1</v>
      </c>
      <c r="Y86" s="110"/>
      <c r="Z86" s="349">
        <f t="shared" si="71"/>
        <v>2509501.5405882299</v>
      </c>
      <c r="AA86" s="349">
        <f t="shared" si="72"/>
        <v>0</v>
      </c>
      <c r="AB86" s="405">
        <f>Z86+AA86</f>
        <v>2509501.5405882299</v>
      </c>
      <c r="AC86" s="473">
        <f>ROUND(Z86/$AF$2,2)</f>
        <v>799357.06</v>
      </c>
      <c r="AD86" s="114">
        <f>ROUND(AA86/$AF$2,2)</f>
        <v>0</v>
      </c>
      <c r="AE86" s="334">
        <f>AC86+AD86</f>
        <v>799357.06</v>
      </c>
      <c r="AG86" s="265">
        <f t="shared" si="77"/>
        <v>799357.05567567993</v>
      </c>
      <c r="AH86" s="118">
        <f t="shared" si="78"/>
        <v>0</v>
      </c>
      <c r="AI86" s="133">
        <f>(1445.37660567568*$AF$4)-(28901.73+70000+547117.82)</f>
        <v>799357.05567567993</v>
      </c>
      <c r="AJ86" s="841" t="s">
        <v>593</v>
      </c>
      <c r="AK86" s="817">
        <v>6735865.6399999997</v>
      </c>
      <c r="AL86" s="27">
        <f>+AK83+AK86</f>
        <v>51641636.600000001</v>
      </c>
      <c r="AM86" s="27">
        <f>AL86/3.1394</f>
        <v>16449524.304007135</v>
      </c>
    </row>
    <row r="87" spans="1:43" ht="30" customHeight="1" thickBot="1" x14ac:dyDescent="0.3">
      <c r="A87" s="648" t="s">
        <v>330</v>
      </c>
      <c r="B87" s="846" t="s">
        <v>346</v>
      </c>
      <c r="C87" s="824"/>
      <c r="D87" s="825"/>
      <c r="E87" s="826"/>
      <c r="F87" s="827"/>
      <c r="G87" s="827"/>
      <c r="H87" s="827">
        <f>F87+G87</f>
        <v>0</v>
      </c>
      <c r="I87" s="827"/>
      <c r="J87" s="827"/>
      <c r="K87" s="827"/>
      <c r="L87" s="827"/>
      <c r="M87" s="475">
        <f>I87+J87+K87+L87</f>
        <v>0</v>
      </c>
      <c r="N87" s="829"/>
      <c r="O87" s="830"/>
      <c r="P87" s="830"/>
      <c r="Q87" s="830"/>
      <c r="R87" s="475">
        <f>N87+O87+P87+Q87</f>
        <v>0</v>
      </c>
      <c r="S87" s="847">
        <f>AI87*$AF$2</f>
        <v>3214915.2972972849</v>
      </c>
      <c r="T87" s="847"/>
      <c r="U87" s="847"/>
      <c r="V87" s="816">
        <f t="shared" si="62"/>
        <v>0</v>
      </c>
      <c r="W87" s="847">
        <f t="shared" si="63"/>
        <v>3214915.2972972849</v>
      </c>
      <c r="X87" s="848">
        <v>1</v>
      </c>
      <c r="Y87" s="309"/>
      <c r="Z87" s="349">
        <f t="shared" si="71"/>
        <v>3214915.2972972849</v>
      </c>
      <c r="AA87" s="349">
        <f t="shared" si="72"/>
        <v>0</v>
      </c>
      <c r="AB87" s="411">
        <f>Z87+AA87</f>
        <v>3214915.2972972849</v>
      </c>
      <c r="AC87" s="474">
        <f>ROUND(Z87/$AF$2,2)</f>
        <v>1024054.05</v>
      </c>
      <c r="AD87" s="368">
        <f>ROUND(AA87/$AF$2,2)</f>
        <v>0</v>
      </c>
      <c r="AE87" s="369">
        <f>AC87+AD87</f>
        <v>1024054.05</v>
      </c>
      <c r="AG87" s="262">
        <f t="shared" si="77"/>
        <v>1024054.0540540501</v>
      </c>
      <c r="AH87" s="160">
        <f t="shared" si="78"/>
        <v>0</v>
      </c>
      <c r="AI87" s="162">
        <f>1024.05405405405*$AF$4</f>
        <v>1024054.0540540501</v>
      </c>
      <c r="AJ87" s="841" t="s">
        <v>592</v>
      </c>
      <c r="AK87" s="817"/>
    </row>
    <row r="88" spans="1:43" ht="33.75" customHeight="1" x14ac:dyDescent="0.25">
      <c r="A88" s="648" t="s">
        <v>321</v>
      </c>
      <c r="B88" s="843" t="s">
        <v>337</v>
      </c>
      <c r="C88" s="649"/>
      <c r="D88" s="650"/>
      <c r="E88" s="651"/>
      <c r="F88" s="117"/>
      <c r="G88" s="117"/>
      <c r="H88" s="117">
        <f t="shared" si="74"/>
        <v>0</v>
      </c>
      <c r="I88" s="117"/>
      <c r="J88" s="117"/>
      <c r="K88" s="117"/>
      <c r="L88" s="117"/>
      <c r="M88" s="475">
        <f t="shared" si="59"/>
        <v>0</v>
      </c>
      <c r="N88" s="476"/>
      <c r="O88" s="844"/>
      <c r="P88" s="844"/>
      <c r="Q88" s="844"/>
      <c r="R88" s="475">
        <f>N88+O88+P88+Q88</f>
        <v>0</v>
      </c>
      <c r="S88" s="832">
        <f t="shared" si="75"/>
        <v>28853445.086705189</v>
      </c>
      <c r="T88" s="832"/>
      <c r="U88" s="832"/>
      <c r="V88" s="816">
        <f t="shared" si="62"/>
        <v>0</v>
      </c>
      <c r="W88" s="832">
        <f t="shared" si="63"/>
        <v>28853445.086705189</v>
      </c>
      <c r="X88" s="110">
        <v>1</v>
      </c>
      <c r="Y88" s="110">
        <v>0</v>
      </c>
      <c r="Z88" s="349">
        <f t="shared" si="71"/>
        <v>28853445.086705189</v>
      </c>
      <c r="AA88" s="349">
        <f t="shared" si="72"/>
        <v>0</v>
      </c>
      <c r="AB88" s="405">
        <f>Z88+AA88</f>
        <v>28853445.086705189</v>
      </c>
      <c r="AC88" s="419">
        <f t="shared" si="76"/>
        <v>9190751.4499999993</v>
      </c>
      <c r="AD88" s="114">
        <f t="shared" si="76"/>
        <v>0</v>
      </c>
      <c r="AE88" s="334">
        <f>AC88+AD88</f>
        <v>9190751.4499999993</v>
      </c>
      <c r="AG88" s="265">
        <f t="shared" si="77"/>
        <v>9190751.4450867008</v>
      </c>
      <c r="AH88" s="118">
        <f t="shared" si="78"/>
        <v>0</v>
      </c>
      <c r="AI88" s="133">
        <f>9190.7514450867*$AF$4</f>
        <v>9190751.4450867008</v>
      </c>
      <c r="AJ88" s="259"/>
    </row>
    <row r="89" spans="1:43" x14ac:dyDescent="0.25">
      <c r="A89" s="648"/>
      <c r="B89" s="656" t="s">
        <v>563</v>
      </c>
      <c r="C89" s="649"/>
      <c r="D89" s="650"/>
      <c r="E89" s="651"/>
      <c r="F89" s="660">
        <f>SUM(F90:F96)</f>
        <v>140693193.80000001</v>
      </c>
      <c r="G89" s="660">
        <f>SUM(G90:G96)</f>
        <v>0</v>
      </c>
      <c r="H89" s="660">
        <f>SUM(H90:H96)</f>
        <v>140693193.80000001</v>
      </c>
      <c r="I89" s="660">
        <f t="shared" ref="I89:R89" si="79">SUM(I90:I96)</f>
        <v>137697594.35000002</v>
      </c>
      <c r="J89" s="660">
        <f t="shared" si="79"/>
        <v>0</v>
      </c>
      <c r="K89" s="660">
        <f t="shared" si="79"/>
        <v>2995599.4499999997</v>
      </c>
      <c r="L89" s="660">
        <f t="shared" si="79"/>
        <v>0</v>
      </c>
      <c r="M89" s="660">
        <f t="shared" si="79"/>
        <v>140693193.80000001</v>
      </c>
      <c r="N89" s="660">
        <f t="shared" si="79"/>
        <v>61644692.019999914</v>
      </c>
      <c r="O89" s="660">
        <f t="shared" si="79"/>
        <v>0</v>
      </c>
      <c r="P89" s="660">
        <f t="shared" si="79"/>
        <v>1024826.48</v>
      </c>
      <c r="Q89" s="660">
        <f t="shared" si="79"/>
        <v>0</v>
      </c>
      <c r="R89" s="660">
        <f t="shared" si="79"/>
        <v>62669518.499999918</v>
      </c>
      <c r="S89" s="660">
        <f>SUM(S90:S96)</f>
        <v>21867410</v>
      </c>
      <c r="T89" s="660">
        <f>SUM(T90:T96)</f>
        <v>21498611.800000001</v>
      </c>
      <c r="U89" s="660">
        <f>SUM(U90:U96)</f>
        <v>0</v>
      </c>
      <c r="V89" s="660">
        <f>SUM(V90:V96)</f>
        <v>21498611.800000001</v>
      </c>
      <c r="W89" s="660">
        <f>SUM(W90:W96)</f>
        <v>43366021.799999997</v>
      </c>
      <c r="X89" s="652"/>
      <c r="Y89" s="652"/>
      <c r="Z89" s="660">
        <f t="shared" ref="Z89:AE89" si="80">SUM(Z90:Z96)</f>
        <v>5308398.9936000006</v>
      </c>
      <c r="AA89" s="660">
        <f t="shared" si="80"/>
        <v>38057622.806400001</v>
      </c>
      <c r="AB89" s="660">
        <f t="shared" si="80"/>
        <v>43366021.799999997</v>
      </c>
      <c r="AC89" s="660">
        <f t="shared" si="80"/>
        <v>1696113.12</v>
      </c>
      <c r="AD89" s="660">
        <f t="shared" si="80"/>
        <v>12122578.449999999</v>
      </c>
      <c r="AE89" s="660">
        <f t="shared" si="80"/>
        <v>13818691.57</v>
      </c>
      <c r="AF89" s="653"/>
      <c r="AG89" s="654"/>
      <c r="AH89" s="471"/>
      <c r="AI89" s="655"/>
      <c r="AJ89" s="259"/>
    </row>
    <row r="90" spans="1:43" ht="25.5" hidden="1" x14ac:dyDescent="0.25">
      <c r="A90" s="332" t="s">
        <v>309</v>
      </c>
      <c r="B90" s="760" t="s">
        <v>636</v>
      </c>
      <c r="C90" s="303" t="s">
        <v>16</v>
      </c>
      <c r="D90" s="106"/>
      <c r="E90" s="107" t="s">
        <v>70</v>
      </c>
      <c r="F90" s="466">
        <v>5393280</v>
      </c>
      <c r="G90" s="108"/>
      <c r="H90" s="108">
        <f>F90+G90</f>
        <v>5393280</v>
      </c>
      <c r="I90" s="108">
        <v>5345280</v>
      </c>
      <c r="J90" s="108"/>
      <c r="K90" s="108">
        <v>48000</v>
      </c>
      <c r="L90" s="108"/>
      <c r="M90" s="111">
        <f>I90+J90+K90+L90</f>
        <v>5393280</v>
      </c>
      <c r="N90" s="293">
        <v>2403012.0000000177</v>
      </c>
      <c r="O90" s="113"/>
      <c r="P90" s="192">
        <v>16627.560000000001</v>
      </c>
      <c r="Q90" s="113"/>
      <c r="R90" s="111">
        <f t="shared" ref="R90:R96" si="81">N90+O90+P90+Q90</f>
        <v>2419639.5600000178</v>
      </c>
      <c r="S90" s="439">
        <f>H90-M90</f>
        <v>0</v>
      </c>
      <c r="T90" s="440"/>
      <c r="U90" s="440"/>
      <c r="V90" s="404">
        <f t="shared" si="62"/>
        <v>0</v>
      </c>
      <c r="W90" s="404">
        <f t="shared" si="63"/>
        <v>0</v>
      </c>
      <c r="X90" s="467">
        <v>0.99</v>
      </c>
      <c r="Y90" s="467">
        <v>0.01</v>
      </c>
      <c r="Z90" s="349">
        <f t="shared" ref="Z90:Z96" si="82">W90*X90</f>
        <v>0</v>
      </c>
      <c r="AA90" s="349">
        <f t="shared" ref="AA90:AA96" si="83">W90*Y90</f>
        <v>0</v>
      </c>
      <c r="AB90" s="405">
        <f t="shared" ref="AB90:AB96" si="84">Z90+AA90</f>
        <v>0</v>
      </c>
      <c r="AC90" s="419">
        <v>5217.09</v>
      </c>
      <c r="AD90" s="114"/>
      <c r="AE90" s="334">
        <f t="shared" ref="AE90:AE96" si="85">AC90+AD90</f>
        <v>5217.09</v>
      </c>
      <c r="AG90" s="267"/>
      <c r="AH90" s="114"/>
      <c r="AI90" s="131">
        <f>AG90+AH90</f>
        <v>0</v>
      </c>
      <c r="AJ90" s="259"/>
    </row>
    <row r="91" spans="1:43" ht="38.25" hidden="1" x14ac:dyDescent="0.25">
      <c r="A91" s="332" t="s">
        <v>310</v>
      </c>
      <c r="B91" s="760" t="s">
        <v>637</v>
      </c>
      <c r="C91" s="303" t="s">
        <v>16</v>
      </c>
      <c r="D91" s="106"/>
      <c r="E91" s="107" t="s">
        <v>70</v>
      </c>
      <c r="F91" s="466">
        <v>389200</v>
      </c>
      <c r="G91" s="108"/>
      <c r="H91" s="108">
        <f>F91+G91</f>
        <v>389200</v>
      </c>
      <c r="I91" s="108">
        <v>389200</v>
      </c>
      <c r="J91" s="108"/>
      <c r="K91" s="108"/>
      <c r="L91" s="108"/>
      <c r="M91" s="111">
        <f>I91+J91+K91+L91</f>
        <v>389200</v>
      </c>
      <c r="N91" s="293">
        <v>173164.79</v>
      </c>
      <c r="O91" s="113"/>
      <c r="P91" s="401"/>
      <c r="Q91" s="114"/>
      <c r="R91" s="111">
        <f t="shared" si="81"/>
        <v>173164.79</v>
      </c>
      <c r="S91" s="439">
        <f>H91-M91</f>
        <v>0</v>
      </c>
      <c r="T91" s="440"/>
      <c r="U91" s="440"/>
      <c r="V91" s="404">
        <f t="shared" si="62"/>
        <v>0</v>
      </c>
      <c r="W91" s="404">
        <f t="shared" si="63"/>
        <v>0</v>
      </c>
      <c r="X91" s="467">
        <v>1</v>
      </c>
      <c r="Y91" s="467"/>
      <c r="Z91" s="349">
        <f t="shared" si="82"/>
        <v>0</v>
      </c>
      <c r="AA91" s="349">
        <f t="shared" si="83"/>
        <v>0</v>
      </c>
      <c r="AB91" s="405">
        <f t="shared" si="84"/>
        <v>0</v>
      </c>
      <c r="AC91" s="419">
        <f t="shared" ref="AC91:AD94" si="86">ROUND(Z91/$AF$2,2)</f>
        <v>0</v>
      </c>
      <c r="AD91" s="114">
        <f t="shared" si="86"/>
        <v>0</v>
      </c>
      <c r="AE91" s="334">
        <f t="shared" si="85"/>
        <v>0</v>
      </c>
      <c r="AG91" s="267"/>
      <c r="AH91" s="114"/>
      <c r="AI91" s="131">
        <f>AG91+AH91</f>
        <v>0</v>
      </c>
      <c r="AJ91" s="259"/>
    </row>
    <row r="92" spans="1:43" ht="25.5" hidden="1" x14ac:dyDescent="0.25">
      <c r="A92" s="332" t="s">
        <v>311</v>
      </c>
      <c r="B92" s="132" t="s">
        <v>638</v>
      </c>
      <c r="C92" s="303" t="s">
        <v>16</v>
      </c>
      <c r="D92" s="106"/>
      <c r="E92" s="107" t="s">
        <v>70</v>
      </c>
      <c r="F92" s="466">
        <v>7033184.4700000007</v>
      </c>
      <c r="G92" s="108"/>
      <c r="H92" s="108">
        <f>F92+G92</f>
        <v>7033184.4700000007</v>
      </c>
      <c r="I92" s="108">
        <v>7033184.4700000007</v>
      </c>
      <c r="J92" s="108"/>
      <c r="K92" s="108"/>
      <c r="L92" s="108"/>
      <c r="M92" s="111">
        <f>I92+J92+K92+L92</f>
        <v>7033184.4700000007</v>
      </c>
      <c r="N92" s="293">
        <v>3240686.84</v>
      </c>
      <c r="O92" s="113"/>
      <c r="P92" s="401"/>
      <c r="Q92" s="114"/>
      <c r="R92" s="111">
        <f t="shared" si="81"/>
        <v>3240686.84</v>
      </c>
      <c r="S92" s="439">
        <f>H92-M92</f>
        <v>0</v>
      </c>
      <c r="T92" s="440"/>
      <c r="U92" s="440"/>
      <c r="V92" s="404">
        <f t="shared" si="62"/>
        <v>0</v>
      </c>
      <c r="W92" s="404">
        <f t="shared" si="63"/>
        <v>0</v>
      </c>
      <c r="X92" s="467">
        <v>1</v>
      </c>
      <c r="Y92" s="467"/>
      <c r="Z92" s="349">
        <f t="shared" si="82"/>
        <v>0</v>
      </c>
      <c r="AA92" s="349">
        <f t="shared" si="83"/>
        <v>0</v>
      </c>
      <c r="AB92" s="405">
        <f t="shared" si="84"/>
        <v>0</v>
      </c>
      <c r="AC92" s="419">
        <f t="shared" si="86"/>
        <v>0</v>
      </c>
      <c r="AD92" s="114">
        <f t="shared" si="86"/>
        <v>0</v>
      </c>
      <c r="AE92" s="334">
        <f t="shared" si="85"/>
        <v>0</v>
      </c>
      <c r="AG92" s="267"/>
      <c r="AH92" s="114"/>
      <c r="AI92" s="131">
        <f>AG92+AH92</f>
        <v>0</v>
      </c>
      <c r="AJ92" s="259"/>
      <c r="AK92" s="1"/>
    </row>
    <row r="93" spans="1:43" ht="25.5" hidden="1" x14ac:dyDescent="0.25">
      <c r="A93" s="332" t="s">
        <v>312</v>
      </c>
      <c r="B93" s="132" t="s">
        <v>639</v>
      </c>
      <c r="C93" s="303" t="s">
        <v>16</v>
      </c>
      <c r="D93" s="106"/>
      <c r="E93" s="107" t="s">
        <v>70</v>
      </c>
      <c r="F93" s="466">
        <v>24430000</v>
      </c>
      <c r="G93" s="108"/>
      <c r="H93" s="108">
        <f>F93+G93</f>
        <v>24430000</v>
      </c>
      <c r="I93" s="108">
        <v>24255000</v>
      </c>
      <c r="J93" s="108"/>
      <c r="K93" s="108">
        <v>175000</v>
      </c>
      <c r="L93" s="108"/>
      <c r="M93" s="111">
        <f>I93+J93+K93+L93</f>
        <v>24430000</v>
      </c>
      <c r="N93" s="293">
        <v>11598865.49</v>
      </c>
      <c r="O93" s="113"/>
      <c r="P93" s="192">
        <v>74687.399999999994</v>
      </c>
      <c r="Q93" s="113"/>
      <c r="R93" s="111">
        <f t="shared" si="81"/>
        <v>11673552.890000001</v>
      </c>
      <c r="S93" s="439">
        <f>H93-M93</f>
        <v>0</v>
      </c>
      <c r="T93" s="440"/>
      <c r="U93" s="440"/>
      <c r="V93" s="404">
        <f t="shared" si="62"/>
        <v>0</v>
      </c>
      <c r="W93" s="404">
        <f t="shared" si="63"/>
        <v>0</v>
      </c>
      <c r="X93" s="467">
        <v>0.99</v>
      </c>
      <c r="Y93" s="467">
        <v>0.01</v>
      </c>
      <c r="Z93" s="349">
        <f t="shared" si="82"/>
        <v>0</v>
      </c>
      <c r="AA93" s="349">
        <f t="shared" si="83"/>
        <v>0</v>
      </c>
      <c r="AB93" s="405">
        <f t="shared" si="84"/>
        <v>0</v>
      </c>
      <c r="AC93" s="419">
        <f t="shared" si="86"/>
        <v>0</v>
      </c>
      <c r="AD93" s="114">
        <f t="shared" si="86"/>
        <v>0</v>
      </c>
      <c r="AE93" s="334">
        <f t="shared" si="85"/>
        <v>0</v>
      </c>
      <c r="AG93" s="267"/>
      <c r="AH93" s="114"/>
      <c r="AI93" s="131">
        <f>AG93+AH93</f>
        <v>0</v>
      </c>
      <c r="AJ93" s="259"/>
      <c r="AM93" s="761">
        <f>AM94/V94</f>
        <v>0.15200748915332291</v>
      </c>
    </row>
    <row r="94" spans="1:43" ht="25.5" x14ac:dyDescent="0.25">
      <c r="A94" s="339" t="s">
        <v>313</v>
      </c>
      <c r="B94" s="132" t="s">
        <v>640</v>
      </c>
      <c r="C94" s="303" t="s">
        <v>16</v>
      </c>
      <c r="D94" s="106"/>
      <c r="E94" s="107" t="s">
        <v>70</v>
      </c>
      <c r="F94" s="466">
        <v>103447529.33000001</v>
      </c>
      <c r="G94" s="108"/>
      <c r="H94" s="108">
        <f>F94+G94</f>
        <v>103447529.33000001</v>
      </c>
      <c r="I94" s="108">
        <v>100674929.88000001</v>
      </c>
      <c r="J94" s="108"/>
      <c r="K94" s="108">
        <v>2772599.4499999997</v>
      </c>
      <c r="L94" s="108"/>
      <c r="M94" s="111">
        <f>I94+J94+K94+L94</f>
        <v>103447529.33000001</v>
      </c>
      <c r="N94" s="293">
        <v>44228962.899999894</v>
      </c>
      <c r="O94" s="113"/>
      <c r="P94" s="192">
        <v>933511.52</v>
      </c>
      <c r="Q94" s="113"/>
      <c r="R94" s="111">
        <f t="shared" si="81"/>
        <v>45162474.419999897</v>
      </c>
      <c r="S94" s="441">
        <f t="shared" si="75"/>
        <v>0</v>
      </c>
      <c r="T94" s="440">
        <f>3195112.8+8715499+9588000</f>
        <v>21498611.800000001</v>
      </c>
      <c r="U94" s="440"/>
      <c r="V94" s="404">
        <f t="shared" si="62"/>
        <v>21498611.800000001</v>
      </c>
      <c r="W94" s="404">
        <f t="shared" si="63"/>
        <v>21498611.800000001</v>
      </c>
      <c r="X94" s="467">
        <v>0.152</v>
      </c>
      <c r="Y94" s="467">
        <f>100%-X94</f>
        <v>0.84799999999999998</v>
      </c>
      <c r="Z94" s="349">
        <f t="shared" si="82"/>
        <v>3267788.9936000002</v>
      </c>
      <c r="AA94" s="349">
        <f t="shared" si="83"/>
        <v>18230822.806400001</v>
      </c>
      <c r="AB94" s="405">
        <f t="shared" si="84"/>
        <v>21498611.800000001</v>
      </c>
      <c r="AC94" s="419">
        <f t="shared" si="86"/>
        <v>1040896.03</v>
      </c>
      <c r="AD94" s="114">
        <f t="shared" si="86"/>
        <v>5807104.1600000001</v>
      </c>
      <c r="AE94" s="334">
        <f t="shared" si="85"/>
        <v>6848000.1900000004</v>
      </c>
      <c r="AG94" s="267"/>
      <c r="AH94" s="114"/>
      <c r="AI94" s="131"/>
      <c r="AJ94" s="1"/>
      <c r="AK94" s="1"/>
      <c r="AM94" s="1">
        <v>3267950</v>
      </c>
    </row>
    <row r="95" spans="1:43" ht="27.75" customHeight="1" x14ac:dyDescent="0.25">
      <c r="A95" s="340" t="s">
        <v>327</v>
      </c>
      <c r="B95" s="778" t="s">
        <v>343</v>
      </c>
      <c r="C95" s="303"/>
      <c r="D95" s="106"/>
      <c r="E95" s="107"/>
      <c r="F95" s="108"/>
      <c r="G95" s="108"/>
      <c r="H95" s="108">
        <f t="shared" si="74"/>
        <v>0</v>
      </c>
      <c r="I95" s="108"/>
      <c r="J95" s="108"/>
      <c r="K95" s="108"/>
      <c r="L95" s="108"/>
      <c r="M95" s="111">
        <f t="shared" si="59"/>
        <v>0</v>
      </c>
      <c r="N95" s="293"/>
      <c r="O95" s="113"/>
      <c r="P95" s="113"/>
      <c r="Q95" s="113"/>
      <c r="R95" s="111">
        <f t="shared" si="81"/>
        <v>0</v>
      </c>
      <c r="S95" s="441">
        <f t="shared" si="75"/>
        <v>2040610.0000000002</v>
      </c>
      <c r="T95" s="441"/>
      <c r="U95" s="441"/>
      <c r="V95" s="404">
        <f t="shared" si="62"/>
        <v>0</v>
      </c>
      <c r="W95" s="441">
        <f t="shared" si="63"/>
        <v>2040610.0000000002</v>
      </c>
      <c r="X95" s="110">
        <v>1</v>
      </c>
      <c r="Y95" s="110"/>
      <c r="Z95" s="349">
        <f t="shared" si="82"/>
        <v>2040610.0000000002</v>
      </c>
      <c r="AA95" s="349">
        <f t="shared" si="83"/>
        <v>0</v>
      </c>
      <c r="AB95" s="405">
        <f t="shared" si="84"/>
        <v>2040610.0000000002</v>
      </c>
      <c r="AC95" s="472">
        <f>ROUND(Z95/$AF$2,2)</f>
        <v>650000</v>
      </c>
      <c r="AD95" s="114">
        <f>ROUND(AA95/$AF$2,2)</f>
        <v>0</v>
      </c>
      <c r="AE95" s="334">
        <f t="shared" si="85"/>
        <v>650000</v>
      </c>
      <c r="AG95" s="265">
        <f>AI95*X95</f>
        <v>650000</v>
      </c>
      <c r="AH95" s="118">
        <f>AI95*Y95</f>
        <v>0</v>
      </c>
      <c r="AI95" s="133">
        <v>650000</v>
      </c>
      <c r="AJ95" s="1">
        <f>1969720</f>
        <v>1969720</v>
      </c>
      <c r="AK95" s="27">
        <f>AJ95/3.1394</f>
        <v>627419.25208638585</v>
      </c>
    </row>
    <row r="96" spans="1:43" ht="27" customHeight="1" thickBot="1" x14ac:dyDescent="0.3">
      <c r="A96" s="648" t="s">
        <v>329</v>
      </c>
      <c r="B96" s="843" t="s">
        <v>345</v>
      </c>
      <c r="C96" s="649"/>
      <c r="D96" s="650"/>
      <c r="E96" s="651"/>
      <c r="F96" s="117"/>
      <c r="G96" s="117"/>
      <c r="H96" s="117">
        <f t="shared" si="74"/>
        <v>0</v>
      </c>
      <c r="I96" s="117"/>
      <c r="J96" s="117"/>
      <c r="K96" s="117"/>
      <c r="L96" s="117"/>
      <c r="M96" s="475">
        <f t="shared" si="59"/>
        <v>0</v>
      </c>
      <c r="N96" s="476"/>
      <c r="O96" s="844"/>
      <c r="P96" s="844"/>
      <c r="Q96" s="844"/>
      <c r="R96" s="475">
        <f t="shared" si="81"/>
        <v>0</v>
      </c>
      <c r="S96" s="832">
        <f t="shared" si="75"/>
        <v>19826800</v>
      </c>
      <c r="T96" s="832"/>
      <c r="U96" s="832"/>
      <c r="V96" s="816">
        <f t="shared" si="62"/>
        <v>0</v>
      </c>
      <c r="W96" s="832">
        <f t="shared" si="63"/>
        <v>19826800</v>
      </c>
      <c r="X96" s="464">
        <v>0</v>
      </c>
      <c r="Y96" s="464">
        <v>1</v>
      </c>
      <c r="Z96" s="349">
        <f t="shared" si="82"/>
        <v>0</v>
      </c>
      <c r="AA96" s="349">
        <f t="shared" si="83"/>
        <v>19826800</v>
      </c>
      <c r="AB96" s="405">
        <f t="shared" si="84"/>
        <v>19826800</v>
      </c>
      <c r="AC96" s="419">
        <f>ROUND(Z96/$AF$2,2)</f>
        <v>0</v>
      </c>
      <c r="AD96" s="471">
        <f>ROUND(AA96/$AF$2,2)</f>
        <v>6315474.29</v>
      </c>
      <c r="AE96" s="334">
        <f t="shared" si="85"/>
        <v>6315474.29</v>
      </c>
      <c r="AG96" s="265">
        <f>AI96*X96</f>
        <v>0</v>
      </c>
      <c r="AH96" s="118">
        <f>AI96*Y96</f>
        <v>6315474.2944511687</v>
      </c>
      <c r="AI96" s="133">
        <v>6315474.2944511687</v>
      </c>
      <c r="AJ96" s="1">
        <f>14312000+3974000+1540800</f>
        <v>19826800</v>
      </c>
      <c r="AK96" s="27">
        <f>AJ96/3.1394</f>
        <v>6315474.2944511687</v>
      </c>
    </row>
    <row r="97" spans="1:37" ht="15.75" thickBot="1" x14ac:dyDescent="0.3">
      <c r="A97" s="342"/>
      <c r="B97" s="371" t="s">
        <v>219</v>
      </c>
      <c r="C97" s="372"/>
      <c r="D97" s="373"/>
      <c r="E97" s="374"/>
      <c r="F97" s="375">
        <f>SUM(F98:F132)</f>
        <v>16413179.510000002</v>
      </c>
      <c r="G97" s="375">
        <f>SUM(G98:G132)</f>
        <v>110295.48999999999</v>
      </c>
      <c r="H97" s="375">
        <f>SUM(H98:H132)</f>
        <v>16523475</v>
      </c>
      <c r="I97" s="375">
        <f t="shared" ref="I97:AE97" si="87">SUM(I98:I132)</f>
        <v>11044527.98</v>
      </c>
      <c r="J97" s="375">
        <f t="shared" si="87"/>
        <v>110295.48999999999</v>
      </c>
      <c r="K97" s="375">
        <f t="shared" si="87"/>
        <v>0</v>
      </c>
      <c r="L97" s="375">
        <f t="shared" si="87"/>
        <v>0</v>
      </c>
      <c r="M97" s="375">
        <f t="shared" si="87"/>
        <v>11154823.470000001</v>
      </c>
      <c r="N97" s="375">
        <f t="shared" si="87"/>
        <v>3201855.6799999997</v>
      </c>
      <c r="O97" s="375">
        <f t="shared" si="87"/>
        <v>31310.229999999996</v>
      </c>
      <c r="P97" s="375">
        <f t="shared" si="87"/>
        <v>0</v>
      </c>
      <c r="Q97" s="375">
        <f t="shared" si="87"/>
        <v>0</v>
      </c>
      <c r="R97" s="375">
        <f t="shared" si="87"/>
        <v>3233165.9099999997</v>
      </c>
      <c r="S97" s="436">
        <f t="shared" si="87"/>
        <v>15851118.836624278</v>
      </c>
      <c r="T97" s="436">
        <f>SUM(T98:T132)</f>
        <v>3497063.3055555555</v>
      </c>
      <c r="U97" s="436">
        <f>SUM(U98:U132)</f>
        <v>349706.33055555553</v>
      </c>
      <c r="V97" s="436">
        <f>SUM(V98:V132)</f>
        <v>3846769.6361111114</v>
      </c>
      <c r="W97" s="436">
        <f>SUM(W98:W132)</f>
        <v>19697888.47273539</v>
      </c>
      <c r="X97" s="376"/>
      <c r="Y97" s="376"/>
      <c r="Z97" s="375">
        <f t="shared" si="87"/>
        <v>19697888.47273539</v>
      </c>
      <c r="AA97" s="361">
        <f t="shared" si="87"/>
        <v>0</v>
      </c>
      <c r="AB97" s="403">
        <f>SUM(AB98:AB132)</f>
        <v>19697888.47273539</v>
      </c>
      <c r="AC97" s="361">
        <f t="shared" si="87"/>
        <v>6274411.8200000003</v>
      </c>
      <c r="AD97" s="361">
        <f t="shared" si="87"/>
        <v>0</v>
      </c>
      <c r="AE97" s="361">
        <f t="shared" si="87"/>
        <v>6274411.8200000003</v>
      </c>
      <c r="AF97" s="274"/>
      <c r="AG97" s="89">
        <f>SUM(AG98:AG132)</f>
        <v>3339003.4104046244</v>
      </c>
      <c r="AH97" s="89">
        <f>SUM(AH98:AH132)</f>
        <v>0</v>
      </c>
      <c r="AI97" s="89">
        <f>SUM(AI98:AI132)</f>
        <v>3339003.4104046244</v>
      </c>
      <c r="AJ97" s="259"/>
    </row>
    <row r="98" spans="1:37" ht="102" hidden="1" x14ac:dyDescent="0.25">
      <c r="A98" s="332" t="s">
        <v>347</v>
      </c>
      <c r="B98" s="759" t="s">
        <v>583</v>
      </c>
      <c r="C98" s="348" t="s">
        <v>39</v>
      </c>
      <c r="D98" s="228" t="s">
        <v>117</v>
      </c>
      <c r="E98" s="229" t="s">
        <v>67</v>
      </c>
      <c r="F98" s="231">
        <v>204584</v>
      </c>
      <c r="G98" s="231"/>
      <c r="H98" s="231">
        <f t="shared" ref="H98:H132" si="88">F98+G98</f>
        <v>204584</v>
      </c>
      <c r="I98" s="231">
        <v>204584</v>
      </c>
      <c r="J98" s="231"/>
      <c r="K98" s="231"/>
      <c r="L98" s="231"/>
      <c r="M98" s="234">
        <f t="shared" si="59"/>
        <v>204584</v>
      </c>
      <c r="N98" s="370">
        <v>86036.36</v>
      </c>
      <c r="O98" s="349"/>
      <c r="P98" s="349"/>
      <c r="Q98" s="349"/>
      <c r="R98" s="234">
        <f t="shared" ref="R98:R110" si="89">N98+O98+P98+Q98</f>
        <v>86036.36</v>
      </c>
      <c r="S98" s="439">
        <f t="shared" ref="S98:S115" si="90">H98-M98</f>
        <v>0</v>
      </c>
      <c r="T98" s="439"/>
      <c r="U98" s="439"/>
      <c r="V98" s="404">
        <f t="shared" si="62"/>
        <v>0</v>
      </c>
      <c r="W98" s="404">
        <f t="shared" si="63"/>
        <v>0</v>
      </c>
      <c r="X98" s="233">
        <v>1</v>
      </c>
      <c r="Y98" s="233"/>
      <c r="Z98" s="349">
        <f>S98*X98</f>
        <v>0</v>
      </c>
      <c r="AA98" s="349">
        <f t="shared" ref="AA98:AA132" si="91">S98*Y98</f>
        <v>0</v>
      </c>
      <c r="AB98" s="404">
        <f t="shared" ref="AB98:AB132" si="92">Z98+AA98</f>
        <v>0</v>
      </c>
      <c r="AC98" s="418">
        <f t="shared" ref="AC98:AD113" si="93">ROUND(Z98/$AF$2,2)</f>
        <v>0</v>
      </c>
      <c r="AD98" s="349">
        <f t="shared" si="93"/>
        <v>0</v>
      </c>
      <c r="AE98" s="350">
        <f t="shared" ref="AE98:AE132" si="94">AC98+AD98</f>
        <v>0</v>
      </c>
      <c r="AG98" s="266"/>
      <c r="AH98" s="128"/>
      <c r="AI98" s="129">
        <f t="shared" ref="AI98:AI111" si="95">AG98+AH98</f>
        <v>0</v>
      </c>
      <c r="AJ98" s="259"/>
      <c r="AK98" s="1"/>
    </row>
    <row r="99" spans="1:37" ht="102" x14ac:dyDescent="0.25">
      <c r="A99" s="332" t="s">
        <v>349</v>
      </c>
      <c r="B99" s="760" t="s">
        <v>584</v>
      </c>
      <c r="C99" s="314" t="s">
        <v>136</v>
      </c>
      <c r="D99" s="106" t="s">
        <v>102</v>
      </c>
      <c r="E99" s="107" t="s">
        <v>1</v>
      </c>
      <c r="F99" s="108">
        <v>404440</v>
      </c>
      <c r="G99" s="108">
        <v>42137.9</v>
      </c>
      <c r="H99" s="108">
        <f t="shared" si="88"/>
        <v>446577.9</v>
      </c>
      <c r="I99" s="108">
        <v>385619.4</v>
      </c>
      <c r="J99" s="108">
        <v>42137.9</v>
      </c>
      <c r="K99" s="108"/>
      <c r="L99" s="108"/>
      <c r="M99" s="111">
        <f t="shared" si="59"/>
        <v>427757.30000000005</v>
      </c>
      <c r="N99" s="293">
        <f>118438.37-O99</f>
        <v>106259.76999999999</v>
      </c>
      <c r="O99" s="151">
        <v>12178.6</v>
      </c>
      <c r="P99" s="114"/>
      <c r="Q99" s="114"/>
      <c r="R99" s="111">
        <f t="shared" si="89"/>
        <v>118438.37</v>
      </c>
      <c r="S99" s="439">
        <f t="shared" si="90"/>
        <v>18820.599999999977</v>
      </c>
      <c r="T99" s="820">
        <f>(404440/25)*(12+9)</f>
        <v>339729.60000000003</v>
      </c>
      <c r="U99" s="820">
        <f>T99*0.1</f>
        <v>33972.960000000006</v>
      </c>
      <c r="V99" s="404">
        <f t="shared" si="62"/>
        <v>373702.56000000006</v>
      </c>
      <c r="W99" s="404">
        <f t="shared" si="63"/>
        <v>392523.16000000003</v>
      </c>
      <c r="X99" s="110">
        <v>1</v>
      </c>
      <c r="Y99" s="110"/>
      <c r="Z99" s="349">
        <f t="shared" ref="Z99:Z132" si="96">W99*X99</f>
        <v>392523.16000000003</v>
      </c>
      <c r="AA99" s="114">
        <f t="shared" si="91"/>
        <v>0</v>
      </c>
      <c r="AB99" s="405">
        <f t="shared" si="92"/>
        <v>392523.16000000003</v>
      </c>
      <c r="AC99" s="419">
        <f t="shared" si="93"/>
        <v>125031.27</v>
      </c>
      <c r="AD99" s="114">
        <f t="shared" si="93"/>
        <v>0</v>
      </c>
      <c r="AE99" s="334">
        <f t="shared" si="94"/>
        <v>125031.27</v>
      </c>
      <c r="AG99" s="267"/>
      <c r="AH99" s="114"/>
      <c r="AI99" s="131">
        <f t="shared" si="95"/>
        <v>0</v>
      </c>
      <c r="AJ99" s="259"/>
      <c r="AK99" s="27"/>
    </row>
    <row r="100" spans="1:37" ht="105" x14ac:dyDescent="0.25">
      <c r="A100" s="332" t="s">
        <v>350</v>
      </c>
      <c r="B100" s="305" t="s">
        <v>436</v>
      </c>
      <c r="C100" s="303" t="s">
        <v>52</v>
      </c>
      <c r="D100" s="106" t="s">
        <v>101</v>
      </c>
      <c r="E100" s="107" t="s">
        <v>4</v>
      </c>
      <c r="F100" s="108">
        <v>2493626.6</v>
      </c>
      <c r="G100" s="108">
        <v>68157.59</v>
      </c>
      <c r="H100" s="108">
        <f t="shared" si="88"/>
        <v>2561784.19</v>
      </c>
      <c r="I100" s="108">
        <v>1754153</v>
      </c>
      <c r="J100" s="108">
        <v>68157.59</v>
      </c>
      <c r="K100" s="108"/>
      <c r="L100" s="108"/>
      <c r="M100" s="111">
        <f t="shared" si="59"/>
        <v>1822310.59</v>
      </c>
      <c r="N100" s="293">
        <f>540664.48-O100</f>
        <v>521532.85</v>
      </c>
      <c r="O100" s="151">
        <v>19131.629999999997</v>
      </c>
      <c r="P100" s="114"/>
      <c r="Q100" s="114"/>
      <c r="R100" s="111">
        <f t="shared" si="89"/>
        <v>540664.48</v>
      </c>
      <c r="S100" s="439">
        <f t="shared" si="90"/>
        <v>739473.59999999986</v>
      </c>
      <c r="T100" s="820">
        <f>(2493626.6/36)*(12+7)</f>
        <v>1316080.7055555554</v>
      </c>
      <c r="U100" s="820">
        <f>T100*0.1</f>
        <v>131608.07055555555</v>
      </c>
      <c r="V100" s="404">
        <f t="shared" si="62"/>
        <v>1447688.776111111</v>
      </c>
      <c r="W100" s="404">
        <f t="shared" si="63"/>
        <v>2187162.3761111107</v>
      </c>
      <c r="X100" s="110">
        <v>1</v>
      </c>
      <c r="Y100" s="110"/>
      <c r="Z100" s="349">
        <f t="shared" si="96"/>
        <v>2187162.3761111107</v>
      </c>
      <c r="AA100" s="114">
        <f t="shared" si="91"/>
        <v>0</v>
      </c>
      <c r="AB100" s="405">
        <f t="shared" si="92"/>
        <v>2187162.3761111107</v>
      </c>
      <c r="AC100" s="419">
        <f t="shared" si="93"/>
        <v>696681.65</v>
      </c>
      <c r="AD100" s="114">
        <f t="shared" si="93"/>
        <v>0</v>
      </c>
      <c r="AE100" s="334">
        <f t="shared" si="94"/>
        <v>696681.65</v>
      </c>
      <c r="AG100" s="267"/>
      <c r="AH100" s="114"/>
      <c r="AI100" s="131">
        <f t="shared" si="95"/>
        <v>0</v>
      </c>
      <c r="AJ100" s="259"/>
    </row>
    <row r="101" spans="1:37" ht="153" x14ac:dyDescent="0.25">
      <c r="A101" s="332" t="s">
        <v>351</v>
      </c>
      <c r="B101" s="760" t="s">
        <v>585</v>
      </c>
      <c r="C101" s="303" t="s">
        <v>20</v>
      </c>
      <c r="D101" s="106" t="s">
        <v>95</v>
      </c>
      <c r="E101" s="107" t="s">
        <v>135</v>
      </c>
      <c r="F101" s="108">
        <v>2652007.2000000002</v>
      </c>
      <c r="G101" s="108"/>
      <c r="H101" s="108">
        <f t="shared" si="88"/>
        <v>2652007.2000000002</v>
      </c>
      <c r="I101" s="108">
        <v>560428.62</v>
      </c>
      <c r="J101" s="108"/>
      <c r="K101" s="108"/>
      <c r="L101" s="108"/>
      <c r="M101" s="111">
        <f t="shared" si="59"/>
        <v>560428.62</v>
      </c>
      <c r="N101" s="293">
        <v>158723.79999999999</v>
      </c>
      <c r="O101" s="113"/>
      <c r="P101" s="114"/>
      <c r="Q101" s="114"/>
      <c r="R101" s="111">
        <f t="shared" si="89"/>
        <v>158723.79999999999</v>
      </c>
      <c r="S101" s="439">
        <f t="shared" si="90"/>
        <v>2091578.58</v>
      </c>
      <c r="T101" s="820">
        <f>(2652007.2/24)*(10)</f>
        <v>1105003</v>
      </c>
      <c r="U101" s="820">
        <f>T101*0.1</f>
        <v>110500.3</v>
      </c>
      <c r="V101" s="404">
        <f t="shared" si="62"/>
        <v>1215503.3</v>
      </c>
      <c r="W101" s="404">
        <f t="shared" si="63"/>
        <v>3307081.88</v>
      </c>
      <c r="X101" s="110">
        <v>1</v>
      </c>
      <c r="Y101" s="110"/>
      <c r="Z101" s="349">
        <f t="shared" si="96"/>
        <v>3307081.88</v>
      </c>
      <c r="AA101" s="114">
        <f t="shared" si="91"/>
        <v>0</v>
      </c>
      <c r="AB101" s="405">
        <f t="shared" si="92"/>
        <v>3307081.88</v>
      </c>
      <c r="AC101" s="419">
        <f t="shared" si="93"/>
        <v>1053412.08</v>
      </c>
      <c r="AD101" s="114">
        <f t="shared" si="93"/>
        <v>0</v>
      </c>
      <c r="AE101" s="334">
        <f t="shared" si="94"/>
        <v>1053412.08</v>
      </c>
      <c r="AG101" s="267"/>
      <c r="AH101" s="114"/>
      <c r="AI101" s="131">
        <f t="shared" si="95"/>
        <v>0</v>
      </c>
      <c r="AJ101" s="259"/>
    </row>
    <row r="102" spans="1:37" ht="76.5" x14ac:dyDescent="0.25">
      <c r="A102" s="332" t="s">
        <v>353</v>
      </c>
      <c r="B102" s="760" t="s">
        <v>586</v>
      </c>
      <c r="C102" s="303" t="s">
        <v>19</v>
      </c>
      <c r="D102" s="106" t="s">
        <v>100</v>
      </c>
      <c r="E102" s="107" t="s">
        <v>129</v>
      </c>
      <c r="F102" s="108">
        <v>3102464.71</v>
      </c>
      <c r="G102" s="108"/>
      <c r="H102" s="108">
        <f t="shared" si="88"/>
        <v>3102464.71</v>
      </c>
      <c r="I102" s="108">
        <v>1895585.96</v>
      </c>
      <c r="J102" s="108"/>
      <c r="K102" s="108"/>
      <c r="L102" s="108"/>
      <c r="M102" s="111">
        <f t="shared" si="59"/>
        <v>1895585.96</v>
      </c>
      <c r="N102" s="293">
        <v>524278.73</v>
      </c>
      <c r="O102" s="113"/>
      <c r="P102" s="114"/>
      <c r="Q102" s="114"/>
      <c r="R102" s="111">
        <f t="shared" si="89"/>
        <v>524278.73</v>
      </c>
      <c r="S102" s="439">
        <f t="shared" si="90"/>
        <v>1206878.75</v>
      </c>
      <c r="T102" s="440"/>
      <c r="U102" s="440"/>
      <c r="V102" s="404">
        <f t="shared" si="62"/>
        <v>0</v>
      </c>
      <c r="W102" s="404">
        <f t="shared" si="63"/>
        <v>1206878.75</v>
      </c>
      <c r="X102" s="110">
        <v>1</v>
      </c>
      <c r="Y102" s="110"/>
      <c r="Z102" s="349">
        <f t="shared" si="96"/>
        <v>1206878.75</v>
      </c>
      <c r="AA102" s="114">
        <f t="shared" si="91"/>
        <v>0</v>
      </c>
      <c r="AB102" s="405">
        <f t="shared" si="92"/>
        <v>1206878.75</v>
      </c>
      <c r="AC102" s="419">
        <f t="shared" si="93"/>
        <v>384429.75</v>
      </c>
      <c r="AD102" s="114">
        <f t="shared" si="93"/>
        <v>0</v>
      </c>
      <c r="AE102" s="334">
        <f t="shared" si="94"/>
        <v>384429.75</v>
      </c>
      <c r="AG102" s="267"/>
      <c r="AH102" s="114"/>
      <c r="AI102" s="131">
        <f t="shared" si="95"/>
        <v>0</v>
      </c>
      <c r="AJ102" s="259"/>
    </row>
    <row r="103" spans="1:37" ht="60" hidden="1" x14ac:dyDescent="0.25">
      <c r="A103" s="332" t="s">
        <v>352</v>
      </c>
      <c r="B103" s="305" t="s">
        <v>437</v>
      </c>
      <c r="C103" s="303" t="s">
        <v>24</v>
      </c>
      <c r="D103" s="106" t="s">
        <v>106</v>
      </c>
      <c r="E103" s="107" t="s">
        <v>58</v>
      </c>
      <c r="F103" s="108">
        <v>2672</v>
      </c>
      <c r="G103" s="108"/>
      <c r="H103" s="108">
        <f t="shared" si="88"/>
        <v>2672</v>
      </c>
      <c r="I103" s="108">
        <v>2672</v>
      </c>
      <c r="J103" s="108"/>
      <c r="K103" s="108"/>
      <c r="L103" s="108"/>
      <c r="M103" s="111">
        <f t="shared" si="59"/>
        <v>2672</v>
      </c>
      <c r="N103" s="293">
        <v>901.85</v>
      </c>
      <c r="O103" s="113"/>
      <c r="P103" s="114"/>
      <c r="Q103" s="114"/>
      <c r="R103" s="111">
        <f t="shared" si="89"/>
        <v>901.85</v>
      </c>
      <c r="S103" s="439">
        <f t="shared" si="90"/>
        <v>0</v>
      </c>
      <c r="T103" s="440"/>
      <c r="U103" s="440"/>
      <c r="V103" s="404">
        <f t="shared" si="62"/>
        <v>0</v>
      </c>
      <c r="W103" s="404">
        <f t="shared" si="63"/>
        <v>0</v>
      </c>
      <c r="X103" s="110"/>
      <c r="Y103" s="110">
        <v>1</v>
      </c>
      <c r="Z103" s="349">
        <f t="shared" si="96"/>
        <v>0</v>
      </c>
      <c r="AA103" s="114">
        <f t="shared" si="91"/>
        <v>0</v>
      </c>
      <c r="AB103" s="405">
        <f t="shared" si="92"/>
        <v>0</v>
      </c>
      <c r="AC103" s="419">
        <f t="shared" si="93"/>
        <v>0</v>
      </c>
      <c r="AD103" s="114">
        <f t="shared" si="93"/>
        <v>0</v>
      </c>
      <c r="AE103" s="334">
        <f t="shared" si="94"/>
        <v>0</v>
      </c>
      <c r="AG103" s="267"/>
      <c r="AH103" s="114"/>
      <c r="AI103" s="131">
        <f t="shared" si="95"/>
        <v>0</v>
      </c>
      <c r="AJ103" s="259"/>
    </row>
    <row r="104" spans="1:37" ht="127.5" hidden="1" x14ac:dyDescent="0.25">
      <c r="A104" s="332" t="s">
        <v>356</v>
      </c>
      <c r="B104" s="760" t="s">
        <v>641</v>
      </c>
      <c r="C104" s="303" t="s">
        <v>152</v>
      </c>
      <c r="D104" s="106" t="s">
        <v>153</v>
      </c>
      <c r="E104" s="107" t="s">
        <v>144</v>
      </c>
      <c r="F104" s="108">
        <v>1750100</v>
      </c>
      <c r="G104" s="108"/>
      <c r="H104" s="108">
        <f t="shared" si="88"/>
        <v>1750100</v>
      </c>
      <c r="I104" s="108">
        <v>1750100</v>
      </c>
      <c r="J104" s="108"/>
      <c r="K104" s="108"/>
      <c r="L104" s="108"/>
      <c r="M104" s="111">
        <f t="shared" si="59"/>
        <v>1750100</v>
      </c>
      <c r="N104" s="293">
        <v>505809.24</v>
      </c>
      <c r="O104" s="113"/>
      <c r="P104" s="114"/>
      <c r="Q104" s="114"/>
      <c r="R104" s="111">
        <f t="shared" si="89"/>
        <v>505809.24</v>
      </c>
      <c r="S104" s="439">
        <f t="shared" si="90"/>
        <v>0</v>
      </c>
      <c r="T104" s="440"/>
      <c r="U104" s="440"/>
      <c r="V104" s="404">
        <f t="shared" si="62"/>
        <v>0</v>
      </c>
      <c r="W104" s="404">
        <f t="shared" si="63"/>
        <v>0</v>
      </c>
      <c r="X104" s="110">
        <v>1</v>
      </c>
      <c r="Y104" s="110"/>
      <c r="Z104" s="349">
        <f t="shared" si="96"/>
        <v>0</v>
      </c>
      <c r="AA104" s="114">
        <f t="shared" si="91"/>
        <v>0</v>
      </c>
      <c r="AB104" s="405">
        <f t="shared" si="92"/>
        <v>0</v>
      </c>
      <c r="AC104" s="419">
        <f t="shared" si="93"/>
        <v>0</v>
      </c>
      <c r="AD104" s="114">
        <f t="shared" si="93"/>
        <v>0</v>
      </c>
      <c r="AE104" s="334">
        <f t="shared" si="94"/>
        <v>0</v>
      </c>
      <c r="AG104" s="267"/>
      <c r="AH104" s="114"/>
      <c r="AI104" s="131">
        <f t="shared" si="95"/>
        <v>0</v>
      </c>
      <c r="AJ104" s="259"/>
    </row>
    <row r="105" spans="1:37" ht="76.5" hidden="1" x14ac:dyDescent="0.25">
      <c r="A105" s="332" t="s">
        <v>358</v>
      </c>
      <c r="B105" s="760" t="s">
        <v>587</v>
      </c>
      <c r="C105" s="303" t="s">
        <v>154</v>
      </c>
      <c r="D105" s="106" t="s">
        <v>143</v>
      </c>
      <c r="E105" s="107" t="s">
        <v>144</v>
      </c>
      <c r="F105" s="108">
        <v>729280</v>
      </c>
      <c r="G105" s="108"/>
      <c r="H105" s="108">
        <f t="shared" si="88"/>
        <v>729280</v>
      </c>
      <c r="I105" s="108">
        <v>729280</v>
      </c>
      <c r="J105" s="108"/>
      <c r="K105" s="108"/>
      <c r="L105" s="108"/>
      <c r="M105" s="111">
        <f t="shared" si="59"/>
        <v>729280</v>
      </c>
      <c r="N105" s="293">
        <v>210774.57</v>
      </c>
      <c r="O105" s="113"/>
      <c r="P105" s="114"/>
      <c r="Q105" s="114"/>
      <c r="R105" s="111">
        <f t="shared" si="89"/>
        <v>210774.57</v>
      </c>
      <c r="S105" s="439">
        <f t="shared" si="90"/>
        <v>0</v>
      </c>
      <c r="T105" s="440"/>
      <c r="U105" s="440"/>
      <c r="V105" s="404">
        <f t="shared" si="62"/>
        <v>0</v>
      </c>
      <c r="W105" s="404">
        <f t="shared" si="63"/>
        <v>0</v>
      </c>
      <c r="X105" s="110">
        <v>1</v>
      </c>
      <c r="Y105" s="110"/>
      <c r="Z105" s="349">
        <f t="shared" si="96"/>
        <v>0</v>
      </c>
      <c r="AA105" s="114">
        <f t="shared" si="91"/>
        <v>0</v>
      </c>
      <c r="AB105" s="405">
        <f t="shared" si="92"/>
        <v>0</v>
      </c>
      <c r="AC105" s="419">
        <f t="shared" si="93"/>
        <v>0</v>
      </c>
      <c r="AD105" s="114">
        <f t="shared" si="93"/>
        <v>0</v>
      </c>
      <c r="AE105" s="334">
        <f t="shared" si="94"/>
        <v>0</v>
      </c>
      <c r="AG105" s="267"/>
      <c r="AH105" s="114"/>
      <c r="AI105" s="131">
        <f t="shared" si="95"/>
        <v>0</v>
      </c>
      <c r="AJ105" s="259"/>
    </row>
    <row r="106" spans="1:37" ht="60" hidden="1" x14ac:dyDescent="0.25">
      <c r="A106" s="332" t="s">
        <v>359</v>
      </c>
      <c r="B106" s="305" t="s">
        <v>434</v>
      </c>
      <c r="C106" s="303" t="s">
        <v>151</v>
      </c>
      <c r="D106" s="106" t="s">
        <v>150</v>
      </c>
      <c r="E106" s="107" t="s">
        <v>144</v>
      </c>
      <c r="F106" s="108">
        <v>49500</v>
      </c>
      <c r="G106" s="108"/>
      <c r="H106" s="108">
        <f t="shared" si="88"/>
        <v>49500</v>
      </c>
      <c r="I106" s="108">
        <v>49500</v>
      </c>
      <c r="J106" s="108"/>
      <c r="K106" s="108"/>
      <c r="L106" s="108"/>
      <c r="M106" s="111">
        <f t="shared" si="59"/>
        <v>49500</v>
      </c>
      <c r="N106" s="293">
        <v>14306.36</v>
      </c>
      <c r="O106" s="113"/>
      <c r="P106" s="114"/>
      <c r="Q106" s="114"/>
      <c r="R106" s="111">
        <f t="shared" si="89"/>
        <v>14306.36</v>
      </c>
      <c r="S106" s="439">
        <f t="shared" si="90"/>
        <v>0</v>
      </c>
      <c r="T106" s="440"/>
      <c r="U106" s="440"/>
      <c r="V106" s="404">
        <f t="shared" si="62"/>
        <v>0</v>
      </c>
      <c r="W106" s="404">
        <f t="shared" si="63"/>
        <v>0</v>
      </c>
      <c r="X106" s="110">
        <v>1</v>
      </c>
      <c r="Y106" s="110"/>
      <c r="Z106" s="349">
        <f t="shared" si="96"/>
        <v>0</v>
      </c>
      <c r="AA106" s="114">
        <f t="shared" si="91"/>
        <v>0</v>
      </c>
      <c r="AB106" s="405">
        <f t="shared" si="92"/>
        <v>0</v>
      </c>
      <c r="AC106" s="419">
        <f t="shared" si="93"/>
        <v>0</v>
      </c>
      <c r="AD106" s="114">
        <f t="shared" si="93"/>
        <v>0</v>
      </c>
      <c r="AE106" s="334">
        <f t="shared" si="94"/>
        <v>0</v>
      </c>
      <c r="AG106" s="267"/>
      <c r="AH106" s="114"/>
      <c r="AI106" s="131">
        <f t="shared" si="95"/>
        <v>0</v>
      </c>
      <c r="AJ106" s="259"/>
    </row>
    <row r="107" spans="1:37" ht="75" hidden="1" x14ac:dyDescent="0.25">
      <c r="A107" s="332" t="s">
        <v>360</v>
      </c>
      <c r="B107" s="305" t="s">
        <v>435</v>
      </c>
      <c r="C107" s="303" t="s">
        <v>147</v>
      </c>
      <c r="D107" s="106" t="s">
        <v>150</v>
      </c>
      <c r="E107" s="107" t="s">
        <v>144</v>
      </c>
      <c r="F107" s="108">
        <v>1495245</v>
      </c>
      <c r="G107" s="108"/>
      <c r="H107" s="108">
        <f t="shared" si="88"/>
        <v>1495245</v>
      </c>
      <c r="I107" s="108">
        <v>1495245</v>
      </c>
      <c r="J107" s="108"/>
      <c r="K107" s="108"/>
      <c r="L107" s="108"/>
      <c r="M107" s="111">
        <f t="shared" si="59"/>
        <v>1495245</v>
      </c>
      <c r="N107" s="293">
        <v>432151.73</v>
      </c>
      <c r="O107" s="113"/>
      <c r="P107" s="114"/>
      <c r="Q107" s="114"/>
      <c r="R107" s="111">
        <f t="shared" si="89"/>
        <v>432151.73</v>
      </c>
      <c r="S107" s="439">
        <f t="shared" si="90"/>
        <v>0</v>
      </c>
      <c r="T107" s="440"/>
      <c r="U107" s="440"/>
      <c r="V107" s="404">
        <f t="shared" si="62"/>
        <v>0</v>
      </c>
      <c r="W107" s="404">
        <f t="shared" si="63"/>
        <v>0</v>
      </c>
      <c r="X107" s="110">
        <v>1</v>
      </c>
      <c r="Y107" s="110"/>
      <c r="Z107" s="349">
        <f t="shared" si="96"/>
        <v>0</v>
      </c>
      <c r="AA107" s="114">
        <f t="shared" si="91"/>
        <v>0</v>
      </c>
      <c r="AB107" s="405">
        <f t="shared" si="92"/>
        <v>0</v>
      </c>
      <c r="AC107" s="419">
        <f t="shared" si="93"/>
        <v>0</v>
      </c>
      <c r="AD107" s="114">
        <f t="shared" si="93"/>
        <v>0</v>
      </c>
      <c r="AE107" s="334">
        <f t="shared" si="94"/>
        <v>0</v>
      </c>
      <c r="AG107" s="267"/>
      <c r="AH107" s="114"/>
      <c r="AI107" s="131">
        <f t="shared" si="95"/>
        <v>0</v>
      </c>
      <c r="AJ107" s="259"/>
    </row>
    <row r="108" spans="1:37" ht="60" hidden="1" x14ac:dyDescent="0.25">
      <c r="A108" s="332" t="s">
        <v>361</v>
      </c>
      <c r="B108" s="304" t="s">
        <v>433</v>
      </c>
      <c r="C108" s="303" t="s">
        <v>149</v>
      </c>
      <c r="D108" s="106" t="s">
        <v>143</v>
      </c>
      <c r="E108" s="107" t="s">
        <v>144</v>
      </c>
      <c r="F108" s="108">
        <v>1008000</v>
      </c>
      <c r="G108" s="108"/>
      <c r="H108" s="108">
        <f t="shared" si="88"/>
        <v>1008000</v>
      </c>
      <c r="I108" s="108">
        <v>1008000</v>
      </c>
      <c r="J108" s="108"/>
      <c r="K108" s="108"/>
      <c r="L108" s="108"/>
      <c r="M108" s="111">
        <f t="shared" si="59"/>
        <v>1008000</v>
      </c>
      <c r="N108" s="293">
        <v>291329.48</v>
      </c>
      <c r="O108" s="113"/>
      <c r="P108" s="114"/>
      <c r="Q108" s="114"/>
      <c r="R108" s="111">
        <f t="shared" si="89"/>
        <v>291329.48</v>
      </c>
      <c r="S108" s="439">
        <f t="shared" si="90"/>
        <v>0</v>
      </c>
      <c r="T108" s="440"/>
      <c r="U108" s="440"/>
      <c r="V108" s="404">
        <f t="shared" si="62"/>
        <v>0</v>
      </c>
      <c r="W108" s="404">
        <f t="shared" si="63"/>
        <v>0</v>
      </c>
      <c r="X108" s="110">
        <v>1</v>
      </c>
      <c r="Y108" s="110"/>
      <c r="Z108" s="349">
        <f t="shared" si="96"/>
        <v>0</v>
      </c>
      <c r="AA108" s="114">
        <f t="shared" si="91"/>
        <v>0</v>
      </c>
      <c r="AB108" s="405">
        <f t="shared" si="92"/>
        <v>0</v>
      </c>
      <c r="AC108" s="419">
        <f t="shared" si="93"/>
        <v>0</v>
      </c>
      <c r="AD108" s="114">
        <f t="shared" si="93"/>
        <v>0</v>
      </c>
      <c r="AE108" s="334">
        <f t="shared" si="94"/>
        <v>0</v>
      </c>
      <c r="AG108" s="267"/>
      <c r="AH108" s="114"/>
      <c r="AI108" s="131">
        <f t="shared" si="95"/>
        <v>0</v>
      </c>
      <c r="AJ108" s="259"/>
    </row>
    <row r="109" spans="1:37" ht="45" hidden="1" x14ac:dyDescent="0.25">
      <c r="A109" s="332" t="s">
        <v>354</v>
      </c>
      <c r="B109" s="773" t="s">
        <v>642</v>
      </c>
      <c r="C109" s="303" t="s">
        <v>38</v>
      </c>
      <c r="D109" s="106" t="s">
        <v>116</v>
      </c>
      <c r="E109" s="107" t="s">
        <v>64</v>
      </c>
      <c r="F109" s="279">
        <v>1965</v>
      </c>
      <c r="G109" s="108"/>
      <c r="H109" s="108">
        <f t="shared" si="88"/>
        <v>1965</v>
      </c>
      <c r="I109" s="108">
        <v>1965</v>
      </c>
      <c r="J109" s="108"/>
      <c r="K109" s="108"/>
      <c r="L109" s="108"/>
      <c r="M109" s="111">
        <f t="shared" si="59"/>
        <v>1965</v>
      </c>
      <c r="N109" s="293">
        <v>792.85</v>
      </c>
      <c r="O109" s="113"/>
      <c r="P109" s="114"/>
      <c r="Q109" s="114"/>
      <c r="R109" s="111">
        <f t="shared" si="89"/>
        <v>792.85</v>
      </c>
      <c r="S109" s="439">
        <f t="shared" si="90"/>
        <v>0</v>
      </c>
      <c r="T109" s="440"/>
      <c r="U109" s="440"/>
      <c r="V109" s="404">
        <f t="shared" si="62"/>
        <v>0</v>
      </c>
      <c r="W109" s="404">
        <f t="shared" si="63"/>
        <v>0</v>
      </c>
      <c r="X109" s="110">
        <v>1</v>
      </c>
      <c r="Y109" s="110"/>
      <c r="Z109" s="349">
        <f t="shared" si="96"/>
        <v>0</v>
      </c>
      <c r="AA109" s="114">
        <f t="shared" si="91"/>
        <v>0</v>
      </c>
      <c r="AB109" s="405">
        <f t="shared" si="92"/>
        <v>0</v>
      </c>
      <c r="AC109" s="419">
        <f t="shared" si="93"/>
        <v>0</v>
      </c>
      <c r="AD109" s="114">
        <f t="shared" si="93"/>
        <v>0</v>
      </c>
      <c r="AE109" s="334">
        <f t="shared" si="94"/>
        <v>0</v>
      </c>
      <c r="AG109" s="267"/>
      <c r="AH109" s="114"/>
      <c r="AI109" s="131">
        <f t="shared" si="95"/>
        <v>0</v>
      </c>
      <c r="AJ109" s="259"/>
    </row>
    <row r="110" spans="1:37" ht="51" x14ac:dyDescent="0.25">
      <c r="A110" s="332" t="s">
        <v>355</v>
      </c>
      <c r="B110" s="773" t="s">
        <v>643</v>
      </c>
      <c r="C110" s="303" t="s">
        <v>429</v>
      </c>
      <c r="D110" s="106" t="s">
        <v>444</v>
      </c>
      <c r="E110" s="107" t="s">
        <v>144</v>
      </c>
      <c r="F110" s="279">
        <v>531900</v>
      </c>
      <c r="G110" s="108"/>
      <c r="H110" s="108">
        <f t="shared" si="88"/>
        <v>531900</v>
      </c>
      <c r="I110" s="108"/>
      <c r="J110" s="108"/>
      <c r="K110" s="108"/>
      <c r="L110" s="108"/>
      <c r="M110" s="111">
        <f t="shared" si="59"/>
        <v>0</v>
      </c>
      <c r="N110" s="108"/>
      <c r="O110" s="113"/>
      <c r="P110" s="114"/>
      <c r="Q110" s="114"/>
      <c r="R110" s="111">
        <f t="shared" si="89"/>
        <v>0</v>
      </c>
      <c r="S110" s="439">
        <f t="shared" si="90"/>
        <v>531900</v>
      </c>
      <c r="T110" s="440"/>
      <c r="U110" s="440"/>
      <c r="V110" s="404">
        <f t="shared" si="62"/>
        <v>0</v>
      </c>
      <c r="W110" s="404">
        <f t="shared" si="63"/>
        <v>531900</v>
      </c>
      <c r="X110" s="110">
        <v>1</v>
      </c>
      <c r="Y110" s="110"/>
      <c r="Z110" s="349">
        <f t="shared" si="96"/>
        <v>531900</v>
      </c>
      <c r="AA110" s="114">
        <f t="shared" si="91"/>
        <v>0</v>
      </c>
      <c r="AB110" s="405">
        <f t="shared" si="92"/>
        <v>531900</v>
      </c>
      <c r="AC110" s="419">
        <f t="shared" si="93"/>
        <v>169427.28</v>
      </c>
      <c r="AD110" s="114">
        <f t="shared" si="93"/>
        <v>0</v>
      </c>
      <c r="AE110" s="334">
        <f t="shared" si="94"/>
        <v>169427.28</v>
      </c>
      <c r="AG110" s="267"/>
      <c r="AH110" s="114"/>
      <c r="AI110" s="131">
        <f t="shared" si="95"/>
        <v>0</v>
      </c>
      <c r="AJ110" s="259"/>
    </row>
    <row r="111" spans="1:37" ht="45" hidden="1" x14ac:dyDescent="0.25">
      <c r="A111" s="332" t="s">
        <v>362</v>
      </c>
      <c r="B111" s="773" t="s">
        <v>644</v>
      </c>
      <c r="C111" s="303" t="s">
        <v>431</v>
      </c>
      <c r="D111" s="106" t="s">
        <v>432</v>
      </c>
      <c r="E111" s="107"/>
      <c r="F111" s="108">
        <v>211500</v>
      </c>
      <c r="G111" s="108"/>
      <c r="H111" s="108">
        <f>F111+G111</f>
        <v>211500</v>
      </c>
      <c r="I111" s="279">
        <v>211500</v>
      </c>
      <c r="J111" s="108"/>
      <c r="K111" s="108"/>
      <c r="L111" s="108"/>
      <c r="M111" s="111">
        <f>I111+J111+K111+L111</f>
        <v>211500</v>
      </c>
      <c r="N111" s="293">
        <v>61127.17</v>
      </c>
      <c r="O111" s="113"/>
      <c r="P111" s="114"/>
      <c r="Q111" s="114"/>
      <c r="R111" s="111">
        <f t="shared" ref="R111:R132" si="97">N111+O111+P111+Q111</f>
        <v>61127.17</v>
      </c>
      <c r="S111" s="439">
        <f t="shared" si="90"/>
        <v>0</v>
      </c>
      <c r="T111" s="440"/>
      <c r="U111" s="440"/>
      <c r="V111" s="404">
        <f t="shared" si="62"/>
        <v>0</v>
      </c>
      <c r="W111" s="404">
        <f t="shared" si="63"/>
        <v>0</v>
      </c>
      <c r="X111" s="110">
        <v>1</v>
      </c>
      <c r="Y111" s="110"/>
      <c r="Z111" s="349">
        <f t="shared" si="96"/>
        <v>0</v>
      </c>
      <c r="AA111" s="114">
        <f t="shared" si="91"/>
        <v>0</v>
      </c>
      <c r="AB111" s="405">
        <f>Z111+AA111</f>
        <v>0</v>
      </c>
      <c r="AC111" s="419">
        <f>ROUND(Z111/$AF$2,2)</f>
        <v>0</v>
      </c>
      <c r="AD111" s="114">
        <f>ROUND(AA111/$AF$2,2)</f>
        <v>0</v>
      </c>
      <c r="AE111" s="334">
        <f>AC111+AD111</f>
        <v>0</v>
      </c>
      <c r="AG111" s="267"/>
      <c r="AH111" s="114"/>
      <c r="AI111" s="131">
        <f t="shared" si="95"/>
        <v>0</v>
      </c>
      <c r="AJ111" s="259"/>
    </row>
    <row r="112" spans="1:37" ht="45" hidden="1" x14ac:dyDescent="0.25">
      <c r="A112" s="332" t="s">
        <v>362</v>
      </c>
      <c r="B112" s="773" t="s">
        <v>645</v>
      </c>
      <c r="C112" s="303" t="s">
        <v>414</v>
      </c>
      <c r="D112" s="106" t="s">
        <v>420</v>
      </c>
      <c r="E112" s="107"/>
      <c r="F112" s="279">
        <f>355920</f>
        <v>355920</v>
      </c>
      <c r="G112" s="108"/>
      <c r="H112" s="108">
        <f t="shared" si="88"/>
        <v>355920</v>
      </c>
      <c r="I112" s="108">
        <v>355920</v>
      </c>
      <c r="J112" s="108"/>
      <c r="K112" s="108"/>
      <c r="L112" s="108"/>
      <c r="M112" s="111">
        <f t="shared" si="59"/>
        <v>355920</v>
      </c>
      <c r="N112" s="108">
        <v>102867.05</v>
      </c>
      <c r="O112" s="155"/>
      <c r="P112" s="118"/>
      <c r="Q112" s="118"/>
      <c r="R112" s="111">
        <f t="shared" si="97"/>
        <v>102867.05</v>
      </c>
      <c r="S112" s="439">
        <f t="shared" si="90"/>
        <v>0</v>
      </c>
      <c r="T112" s="440"/>
      <c r="U112" s="440"/>
      <c r="V112" s="404">
        <f t="shared" si="62"/>
        <v>0</v>
      </c>
      <c r="W112" s="404">
        <f t="shared" si="63"/>
        <v>0</v>
      </c>
      <c r="X112" s="110">
        <v>1</v>
      </c>
      <c r="Y112" s="110"/>
      <c r="Z112" s="349">
        <f t="shared" si="96"/>
        <v>0</v>
      </c>
      <c r="AA112" s="114">
        <f t="shared" si="91"/>
        <v>0</v>
      </c>
      <c r="AB112" s="405">
        <f t="shared" si="92"/>
        <v>0</v>
      </c>
      <c r="AC112" s="419">
        <f t="shared" si="93"/>
        <v>0</v>
      </c>
      <c r="AD112" s="114">
        <f t="shared" si="93"/>
        <v>0</v>
      </c>
      <c r="AE112" s="334">
        <f t="shared" si="94"/>
        <v>0</v>
      </c>
      <c r="AG112" s="267"/>
      <c r="AH112" s="114"/>
      <c r="AI112" s="131"/>
      <c r="AJ112" s="259"/>
    </row>
    <row r="113" spans="1:36" ht="45" hidden="1" x14ac:dyDescent="0.25">
      <c r="A113" s="332" t="s">
        <v>363</v>
      </c>
      <c r="B113" s="773" t="s">
        <v>646</v>
      </c>
      <c r="C113" s="303" t="s">
        <v>415</v>
      </c>
      <c r="D113" s="106" t="s">
        <v>419</v>
      </c>
      <c r="E113" s="107"/>
      <c r="F113" s="279">
        <v>639975</v>
      </c>
      <c r="G113" s="108"/>
      <c r="H113" s="108">
        <f t="shared" si="88"/>
        <v>639975</v>
      </c>
      <c r="I113" s="108">
        <v>639975</v>
      </c>
      <c r="J113" s="108"/>
      <c r="K113" s="108"/>
      <c r="L113" s="108"/>
      <c r="M113" s="111">
        <f t="shared" si="59"/>
        <v>639975</v>
      </c>
      <c r="N113" s="295">
        <v>184963.87</v>
      </c>
      <c r="O113" s="280"/>
      <c r="P113" s="224"/>
      <c r="Q113" s="224"/>
      <c r="R113" s="111">
        <f t="shared" si="97"/>
        <v>184963.87</v>
      </c>
      <c r="S113" s="439">
        <f t="shared" si="90"/>
        <v>0</v>
      </c>
      <c r="T113" s="440"/>
      <c r="U113" s="440"/>
      <c r="V113" s="404">
        <f t="shared" si="62"/>
        <v>0</v>
      </c>
      <c r="W113" s="404">
        <f t="shared" si="63"/>
        <v>0</v>
      </c>
      <c r="X113" s="110">
        <v>1</v>
      </c>
      <c r="Y113" s="110"/>
      <c r="Z113" s="349">
        <f t="shared" si="96"/>
        <v>0</v>
      </c>
      <c r="AA113" s="224">
        <f t="shared" si="91"/>
        <v>0</v>
      </c>
      <c r="AB113" s="406">
        <f t="shared" si="92"/>
        <v>0</v>
      </c>
      <c r="AC113" s="420">
        <f t="shared" si="93"/>
        <v>0</v>
      </c>
      <c r="AD113" s="224">
        <f t="shared" si="93"/>
        <v>0</v>
      </c>
      <c r="AE113" s="335">
        <f t="shared" si="94"/>
        <v>0</v>
      </c>
      <c r="AG113" s="283"/>
      <c r="AH113" s="224"/>
      <c r="AI113" s="282">
        <f>AG113+AH113</f>
        <v>0</v>
      </c>
      <c r="AJ113" s="259"/>
    </row>
    <row r="114" spans="1:36" ht="45" x14ac:dyDescent="0.25">
      <c r="A114" s="331" t="s">
        <v>364</v>
      </c>
      <c r="B114" s="773" t="s">
        <v>647</v>
      </c>
      <c r="C114" s="303" t="s">
        <v>430</v>
      </c>
      <c r="D114" s="106" t="s">
        <v>446</v>
      </c>
      <c r="E114" s="107"/>
      <c r="F114" s="279">
        <v>315000</v>
      </c>
      <c r="G114" s="108"/>
      <c r="H114" s="108">
        <f t="shared" si="88"/>
        <v>315000</v>
      </c>
      <c r="I114" s="108"/>
      <c r="J114" s="108"/>
      <c r="K114" s="108"/>
      <c r="L114" s="108"/>
      <c r="M114" s="111">
        <f t="shared" si="59"/>
        <v>0</v>
      </c>
      <c r="N114" s="295"/>
      <c r="O114" s="280"/>
      <c r="P114" s="224"/>
      <c r="Q114" s="224"/>
      <c r="R114" s="111">
        <f t="shared" si="97"/>
        <v>0</v>
      </c>
      <c r="S114" s="439">
        <f t="shared" si="90"/>
        <v>315000</v>
      </c>
      <c r="T114" s="440"/>
      <c r="U114" s="440"/>
      <c r="V114" s="404">
        <f t="shared" si="62"/>
        <v>0</v>
      </c>
      <c r="W114" s="404">
        <f t="shared" si="63"/>
        <v>315000</v>
      </c>
      <c r="X114" s="233">
        <v>1</v>
      </c>
      <c r="Y114" s="110">
        <v>0</v>
      </c>
      <c r="Z114" s="349">
        <f t="shared" si="96"/>
        <v>315000</v>
      </c>
      <c r="AA114" s="224">
        <f t="shared" si="91"/>
        <v>0</v>
      </c>
      <c r="AB114" s="406">
        <f t="shared" si="92"/>
        <v>315000</v>
      </c>
      <c r="AC114" s="420">
        <f t="shared" ref="AC114:AD132" si="98">ROUND(Z114/$AF$2,2)</f>
        <v>100337.64</v>
      </c>
      <c r="AD114" s="224">
        <f t="shared" si="98"/>
        <v>0</v>
      </c>
      <c r="AE114" s="335">
        <f t="shared" si="94"/>
        <v>100337.64</v>
      </c>
      <c r="AG114" s="283">
        <f t="shared" ref="AG114:AG132" si="99">AI114*X114</f>
        <v>0</v>
      </c>
      <c r="AH114" s="224">
        <f t="shared" ref="AH114:AH132" si="100">AI114*Y114</f>
        <v>0</v>
      </c>
      <c r="AI114" s="282"/>
      <c r="AJ114" s="259"/>
    </row>
    <row r="115" spans="1:36" ht="63.75" x14ac:dyDescent="0.25">
      <c r="A115" s="332" t="s">
        <v>659</v>
      </c>
      <c r="B115" s="773" t="s">
        <v>648</v>
      </c>
      <c r="C115" s="303" t="s">
        <v>448</v>
      </c>
      <c r="D115" s="106" t="s">
        <v>449</v>
      </c>
      <c r="E115" s="107"/>
      <c r="F115" s="279">
        <v>465000</v>
      </c>
      <c r="G115" s="108"/>
      <c r="H115" s="108">
        <f t="shared" si="88"/>
        <v>465000</v>
      </c>
      <c r="I115" s="108"/>
      <c r="J115" s="108"/>
      <c r="K115" s="108"/>
      <c r="L115" s="108"/>
      <c r="M115" s="111">
        <f t="shared" si="59"/>
        <v>0</v>
      </c>
      <c r="N115" s="295"/>
      <c r="O115" s="280"/>
      <c r="P115" s="224"/>
      <c r="Q115" s="224"/>
      <c r="R115" s="111">
        <f t="shared" si="97"/>
        <v>0</v>
      </c>
      <c r="S115" s="439">
        <f t="shared" si="90"/>
        <v>465000</v>
      </c>
      <c r="T115" s="820">
        <f>(S115/12)*(12+7)</f>
        <v>736250</v>
      </c>
      <c r="U115" s="820">
        <f>T115*0.1</f>
        <v>73625</v>
      </c>
      <c r="V115" s="404">
        <f t="shared" si="62"/>
        <v>809875</v>
      </c>
      <c r="W115" s="404">
        <f t="shared" si="63"/>
        <v>1274875</v>
      </c>
      <c r="X115" s="110">
        <v>1</v>
      </c>
      <c r="Y115" s="110">
        <v>0</v>
      </c>
      <c r="Z115" s="349">
        <f t="shared" si="96"/>
        <v>1274875</v>
      </c>
      <c r="AA115" s="224">
        <f t="shared" si="91"/>
        <v>0</v>
      </c>
      <c r="AB115" s="406">
        <f>Z115+AA115</f>
        <v>1274875</v>
      </c>
      <c r="AC115" s="420">
        <f>ROUND(Z115/$AF$2,2)</f>
        <v>406088.74</v>
      </c>
      <c r="AD115" s="224">
        <f>ROUND(AA115/$AF$2,2)</f>
        <v>0</v>
      </c>
      <c r="AE115" s="335">
        <f>AC115+AD115</f>
        <v>406088.74</v>
      </c>
      <c r="AG115" s="283">
        <f t="shared" si="99"/>
        <v>0</v>
      </c>
      <c r="AH115" s="224">
        <f t="shared" si="100"/>
        <v>0</v>
      </c>
      <c r="AI115" s="282"/>
      <c r="AJ115" s="259"/>
    </row>
    <row r="116" spans="1:36" ht="25.5" x14ac:dyDescent="0.25">
      <c r="A116" s="331" t="s">
        <v>365</v>
      </c>
      <c r="B116" s="758" t="s">
        <v>382</v>
      </c>
      <c r="C116" s="303"/>
      <c r="D116" s="106"/>
      <c r="E116" s="107"/>
      <c r="F116" s="279"/>
      <c r="G116" s="108"/>
      <c r="H116" s="108">
        <f>F116+G116</f>
        <v>0</v>
      </c>
      <c r="I116" s="108"/>
      <c r="J116" s="108"/>
      <c r="K116" s="108"/>
      <c r="L116" s="108"/>
      <c r="M116" s="111">
        <f>I116+J116+K116+L116</f>
        <v>0</v>
      </c>
      <c r="N116" s="296"/>
      <c r="O116" s="155"/>
      <c r="P116" s="118"/>
      <c r="Q116" s="118"/>
      <c r="R116" s="111">
        <f>N116+O116+P116+Q116</f>
        <v>0</v>
      </c>
      <c r="S116" s="441">
        <f>AI116*$AF$2</f>
        <v>1233983.8150289021</v>
      </c>
      <c r="T116" s="441"/>
      <c r="U116" s="441"/>
      <c r="V116" s="404">
        <f t="shared" si="62"/>
        <v>0</v>
      </c>
      <c r="W116" s="441">
        <f t="shared" si="63"/>
        <v>1233983.8150289021</v>
      </c>
      <c r="X116" s="233">
        <v>1</v>
      </c>
      <c r="Y116" s="110">
        <v>0</v>
      </c>
      <c r="Z116" s="349">
        <f t="shared" si="96"/>
        <v>1233983.8150289021</v>
      </c>
      <c r="AA116" s="118">
        <f t="shared" si="91"/>
        <v>0</v>
      </c>
      <c r="AB116" s="407">
        <f>Z116+AA116</f>
        <v>1233983.8150289021</v>
      </c>
      <c r="AC116" s="421">
        <f t="shared" ref="AC116:AD119" si="101">ROUND(Z116/$AF$2,2)</f>
        <v>393063.58</v>
      </c>
      <c r="AD116" s="118">
        <f t="shared" si="101"/>
        <v>0</v>
      </c>
      <c r="AE116" s="336">
        <f>AC116+AD116</f>
        <v>393063.58</v>
      </c>
      <c r="AG116" s="265">
        <f t="shared" si="99"/>
        <v>393063.58381502901</v>
      </c>
      <c r="AH116" s="118">
        <f t="shared" si="100"/>
        <v>0</v>
      </c>
      <c r="AI116" s="133">
        <f>393.063583815029*$AF$4</f>
        <v>393063.58381502901</v>
      </c>
      <c r="AJ116" s="259"/>
    </row>
    <row r="117" spans="1:36" ht="25.5" x14ac:dyDescent="0.25">
      <c r="A117" s="331" t="s">
        <v>366</v>
      </c>
      <c r="B117" s="758" t="s">
        <v>383</v>
      </c>
      <c r="C117" s="303"/>
      <c r="D117" s="106"/>
      <c r="E117" s="107"/>
      <c r="F117" s="279"/>
      <c r="G117" s="108"/>
      <c r="H117" s="108">
        <f>F117+G117</f>
        <v>0</v>
      </c>
      <c r="I117" s="108"/>
      <c r="J117" s="108"/>
      <c r="K117" s="108"/>
      <c r="L117" s="108"/>
      <c r="M117" s="111">
        <f>I117+J117+K117+L117</f>
        <v>0</v>
      </c>
      <c r="N117" s="296"/>
      <c r="O117" s="155"/>
      <c r="P117" s="118"/>
      <c r="Q117" s="118"/>
      <c r="R117" s="111">
        <f>N117+O117+P117+Q117</f>
        <v>0</v>
      </c>
      <c r="S117" s="441">
        <f>AI117*$AF$2</f>
        <v>108880.92485549136</v>
      </c>
      <c r="T117" s="441"/>
      <c r="U117" s="441"/>
      <c r="V117" s="404">
        <f t="shared" si="62"/>
        <v>0</v>
      </c>
      <c r="W117" s="441">
        <f t="shared" si="63"/>
        <v>108880.92485549136</v>
      </c>
      <c r="X117" s="233">
        <v>1</v>
      </c>
      <c r="Y117" s="110">
        <v>0</v>
      </c>
      <c r="Z117" s="349">
        <f t="shared" si="96"/>
        <v>108880.92485549136</v>
      </c>
      <c r="AA117" s="118">
        <f t="shared" si="91"/>
        <v>0</v>
      </c>
      <c r="AB117" s="407">
        <f>Z117+AA117</f>
        <v>108880.92485549136</v>
      </c>
      <c r="AC117" s="421">
        <f t="shared" si="101"/>
        <v>34682.080000000002</v>
      </c>
      <c r="AD117" s="118">
        <f t="shared" si="101"/>
        <v>0</v>
      </c>
      <c r="AE117" s="336">
        <f>AC117+AD117</f>
        <v>34682.080000000002</v>
      </c>
      <c r="AG117" s="265">
        <f t="shared" si="99"/>
        <v>34682.080924855502</v>
      </c>
      <c r="AH117" s="118">
        <f t="shared" si="100"/>
        <v>0</v>
      </c>
      <c r="AI117" s="133">
        <f>34.6820809248555*$AF$4</f>
        <v>34682.080924855502</v>
      </c>
      <c r="AJ117" s="259"/>
    </row>
    <row r="118" spans="1:36" ht="25.5" x14ac:dyDescent="0.25">
      <c r="A118" s="341" t="s">
        <v>367</v>
      </c>
      <c r="B118" s="776" t="s">
        <v>384</v>
      </c>
      <c r="C118" s="303"/>
      <c r="D118" s="106"/>
      <c r="E118" s="107"/>
      <c r="F118" s="306"/>
      <c r="G118" s="307"/>
      <c r="H118" s="108">
        <f>F118+G118</f>
        <v>0</v>
      </c>
      <c r="I118" s="307"/>
      <c r="J118" s="307"/>
      <c r="K118" s="307"/>
      <c r="L118" s="307"/>
      <c r="M118" s="111">
        <f>I118+J118+K118+L118</f>
        <v>0</v>
      </c>
      <c r="N118" s="296"/>
      <c r="O118" s="155"/>
      <c r="P118" s="118"/>
      <c r="Q118" s="118"/>
      <c r="R118" s="111">
        <f>N118+O118+P118+Q118</f>
        <v>0</v>
      </c>
      <c r="S118" s="441">
        <f>AI118*$AF$2</f>
        <v>2515149.3641618504</v>
      </c>
      <c r="T118" s="441"/>
      <c r="U118" s="441"/>
      <c r="V118" s="404">
        <f t="shared" si="62"/>
        <v>0</v>
      </c>
      <c r="W118" s="441">
        <f t="shared" si="63"/>
        <v>2515149.3641618504</v>
      </c>
      <c r="X118" s="308">
        <v>1</v>
      </c>
      <c r="Y118" s="309">
        <v>0</v>
      </c>
      <c r="Z118" s="349">
        <f t="shared" si="96"/>
        <v>2515149.3641618504</v>
      </c>
      <c r="AA118" s="118">
        <f t="shared" si="91"/>
        <v>0</v>
      </c>
      <c r="AB118" s="407">
        <f>Z118+AA118</f>
        <v>2515149.3641618504</v>
      </c>
      <c r="AC118" s="421">
        <f t="shared" si="101"/>
        <v>801156.07</v>
      </c>
      <c r="AD118" s="118">
        <f t="shared" si="101"/>
        <v>0</v>
      </c>
      <c r="AE118" s="336">
        <f>AC118+AD118</f>
        <v>801156.07</v>
      </c>
      <c r="AG118" s="265">
        <f t="shared" si="99"/>
        <v>801156.06936416205</v>
      </c>
      <c r="AH118" s="118">
        <f t="shared" si="100"/>
        <v>0</v>
      </c>
      <c r="AI118" s="133">
        <f>801.156069364162*$AF$4</f>
        <v>801156.06936416205</v>
      </c>
      <c r="AJ118" s="259"/>
    </row>
    <row r="119" spans="1:36" ht="25.5" x14ac:dyDescent="0.25">
      <c r="A119" s="331" t="s">
        <v>357</v>
      </c>
      <c r="B119" s="758" t="s">
        <v>380</v>
      </c>
      <c r="C119" s="303"/>
      <c r="D119" s="106"/>
      <c r="E119" s="107"/>
      <c r="F119" s="279"/>
      <c r="G119" s="108"/>
      <c r="H119" s="108">
        <f>F119+G119</f>
        <v>0</v>
      </c>
      <c r="I119" s="108"/>
      <c r="J119" s="108"/>
      <c r="K119" s="108"/>
      <c r="L119" s="108"/>
      <c r="M119" s="111">
        <f>I119+J119+K119+L119</f>
        <v>0</v>
      </c>
      <c r="N119" s="296"/>
      <c r="O119" s="155"/>
      <c r="P119" s="118"/>
      <c r="Q119" s="118"/>
      <c r="R119" s="111">
        <f>N119+O119+P119+Q119</f>
        <v>0</v>
      </c>
      <c r="S119" s="441">
        <f>AI119*$AF$2</f>
        <v>1134176.3005780347</v>
      </c>
      <c r="T119" s="441"/>
      <c r="U119" s="441"/>
      <c r="V119" s="404">
        <f t="shared" si="62"/>
        <v>0</v>
      </c>
      <c r="W119" s="441">
        <f t="shared" si="63"/>
        <v>1134176.3005780347</v>
      </c>
      <c r="X119" s="110">
        <v>1</v>
      </c>
      <c r="Y119" s="110">
        <v>0</v>
      </c>
      <c r="Z119" s="349">
        <f t="shared" si="96"/>
        <v>1134176.3005780347</v>
      </c>
      <c r="AA119" s="118">
        <f t="shared" si="91"/>
        <v>0</v>
      </c>
      <c r="AB119" s="407">
        <f>Z119+AA119</f>
        <v>1134176.3005780347</v>
      </c>
      <c r="AC119" s="421">
        <f t="shared" si="101"/>
        <v>361271.68</v>
      </c>
      <c r="AD119" s="118">
        <f t="shared" si="101"/>
        <v>0</v>
      </c>
      <c r="AE119" s="336">
        <f>AC119+AD119</f>
        <v>361271.68</v>
      </c>
      <c r="AG119" s="265">
        <f t="shared" si="99"/>
        <v>361271.67630057799</v>
      </c>
      <c r="AH119" s="118">
        <f t="shared" si="100"/>
        <v>0</v>
      </c>
      <c r="AI119" s="133">
        <f>361.271676300578*$AF$4</f>
        <v>361271.67630057799</v>
      </c>
      <c r="AJ119" s="259"/>
    </row>
    <row r="120" spans="1:36" ht="25.5" x14ac:dyDescent="0.25">
      <c r="A120" s="331" t="s">
        <v>369</v>
      </c>
      <c r="B120" s="758" t="s">
        <v>386</v>
      </c>
      <c r="C120" s="303"/>
      <c r="D120" s="106"/>
      <c r="E120" s="107"/>
      <c r="F120" s="279"/>
      <c r="G120" s="108"/>
      <c r="H120" s="108">
        <f t="shared" si="88"/>
        <v>0</v>
      </c>
      <c r="I120" s="108"/>
      <c r="J120" s="108"/>
      <c r="K120" s="108"/>
      <c r="L120" s="108"/>
      <c r="M120" s="111">
        <f t="shared" si="59"/>
        <v>0</v>
      </c>
      <c r="N120" s="296"/>
      <c r="O120" s="155"/>
      <c r="P120" s="118"/>
      <c r="Q120" s="118"/>
      <c r="R120" s="111">
        <f t="shared" si="97"/>
        <v>0</v>
      </c>
      <c r="S120" s="441">
        <f t="shared" ref="S120:S132" si="102">AI120*$AF$2</f>
        <v>313940</v>
      </c>
      <c r="T120" s="441"/>
      <c r="U120" s="441"/>
      <c r="V120" s="404">
        <f t="shared" si="62"/>
        <v>0</v>
      </c>
      <c r="W120" s="441">
        <f t="shared" si="63"/>
        <v>313940</v>
      </c>
      <c r="X120" s="233">
        <v>1</v>
      </c>
      <c r="Y120" s="110">
        <v>0</v>
      </c>
      <c r="Z120" s="349">
        <f t="shared" si="96"/>
        <v>313940</v>
      </c>
      <c r="AA120" s="118">
        <f t="shared" si="91"/>
        <v>0</v>
      </c>
      <c r="AB120" s="407">
        <f t="shared" si="92"/>
        <v>313940</v>
      </c>
      <c r="AC120" s="421">
        <f t="shared" si="98"/>
        <v>100000</v>
      </c>
      <c r="AD120" s="118">
        <f t="shared" si="98"/>
        <v>0</v>
      </c>
      <c r="AE120" s="336">
        <f t="shared" si="94"/>
        <v>100000</v>
      </c>
      <c r="AG120" s="265">
        <f t="shared" si="99"/>
        <v>100000</v>
      </c>
      <c r="AH120" s="118">
        <f t="shared" si="100"/>
        <v>0</v>
      </c>
      <c r="AI120" s="133">
        <f>100*$AF$4</f>
        <v>100000</v>
      </c>
      <c r="AJ120" s="259"/>
    </row>
    <row r="121" spans="1:36" x14ac:dyDescent="0.25">
      <c r="A121" s="331" t="s">
        <v>370</v>
      </c>
      <c r="B121" s="758" t="s">
        <v>387</v>
      </c>
      <c r="C121" s="303"/>
      <c r="D121" s="106"/>
      <c r="E121" s="107"/>
      <c r="F121" s="279"/>
      <c r="G121" s="108"/>
      <c r="H121" s="108">
        <f t="shared" si="88"/>
        <v>0</v>
      </c>
      <c r="I121" s="108"/>
      <c r="J121" s="108"/>
      <c r="K121" s="108"/>
      <c r="L121" s="108"/>
      <c r="M121" s="111">
        <f t="shared" si="59"/>
        <v>0</v>
      </c>
      <c r="N121" s="296"/>
      <c r="O121" s="155"/>
      <c r="P121" s="118"/>
      <c r="Q121" s="118"/>
      <c r="R121" s="111">
        <f t="shared" si="97"/>
        <v>0</v>
      </c>
      <c r="S121" s="441">
        <f t="shared" si="102"/>
        <v>75596.752000000008</v>
      </c>
      <c r="T121" s="441"/>
      <c r="U121" s="441"/>
      <c r="V121" s="404">
        <f t="shared" si="62"/>
        <v>0</v>
      </c>
      <c r="W121" s="441">
        <f t="shared" si="63"/>
        <v>75596.752000000008</v>
      </c>
      <c r="X121" s="233">
        <v>1</v>
      </c>
      <c r="Y121" s="110">
        <v>0</v>
      </c>
      <c r="Z121" s="349">
        <f t="shared" si="96"/>
        <v>75596.752000000008</v>
      </c>
      <c r="AA121" s="118">
        <f t="shared" si="91"/>
        <v>0</v>
      </c>
      <c r="AB121" s="407">
        <f t="shared" si="92"/>
        <v>75596.752000000008</v>
      </c>
      <c r="AC121" s="421">
        <f t="shared" si="98"/>
        <v>24080</v>
      </c>
      <c r="AD121" s="118">
        <f t="shared" si="98"/>
        <v>0</v>
      </c>
      <c r="AE121" s="336">
        <f t="shared" si="94"/>
        <v>24080</v>
      </c>
      <c r="AG121" s="265">
        <f t="shared" si="99"/>
        <v>24080</v>
      </c>
      <c r="AH121" s="118">
        <f t="shared" si="100"/>
        <v>0</v>
      </c>
      <c r="AI121" s="133">
        <f>24.08*$AF$4</f>
        <v>24080</v>
      </c>
      <c r="AJ121" s="259"/>
    </row>
    <row r="122" spans="1:36" x14ac:dyDescent="0.25">
      <c r="A122" s="331" t="s">
        <v>371</v>
      </c>
      <c r="B122" s="758" t="s">
        <v>388</v>
      </c>
      <c r="C122" s="303"/>
      <c r="D122" s="106"/>
      <c r="E122" s="107"/>
      <c r="F122" s="279"/>
      <c r="G122" s="108"/>
      <c r="H122" s="108">
        <f t="shared" si="88"/>
        <v>0</v>
      </c>
      <c r="I122" s="108"/>
      <c r="J122" s="108"/>
      <c r="K122" s="108"/>
      <c r="L122" s="108"/>
      <c r="M122" s="111">
        <f t="shared" si="59"/>
        <v>0</v>
      </c>
      <c r="N122" s="296"/>
      <c r="O122" s="155"/>
      <c r="P122" s="118"/>
      <c r="Q122" s="118"/>
      <c r="R122" s="111">
        <f t="shared" si="97"/>
        <v>0</v>
      </c>
      <c r="S122" s="441">
        <f t="shared" si="102"/>
        <v>115027.61600000001</v>
      </c>
      <c r="T122" s="441"/>
      <c r="U122" s="441"/>
      <c r="V122" s="404">
        <f t="shared" si="62"/>
        <v>0</v>
      </c>
      <c r="W122" s="441">
        <f t="shared" si="63"/>
        <v>115027.61600000001</v>
      </c>
      <c r="X122" s="233">
        <v>1</v>
      </c>
      <c r="Y122" s="110">
        <v>0</v>
      </c>
      <c r="Z122" s="349">
        <f t="shared" si="96"/>
        <v>115027.61600000001</v>
      </c>
      <c r="AA122" s="118">
        <f t="shared" si="91"/>
        <v>0</v>
      </c>
      <c r="AB122" s="407">
        <f t="shared" si="92"/>
        <v>115027.61600000001</v>
      </c>
      <c r="AC122" s="421">
        <f t="shared" si="98"/>
        <v>36640</v>
      </c>
      <c r="AD122" s="118">
        <f t="shared" si="98"/>
        <v>0</v>
      </c>
      <c r="AE122" s="336">
        <f t="shared" si="94"/>
        <v>36640</v>
      </c>
      <c r="AG122" s="265">
        <f t="shared" si="99"/>
        <v>36640</v>
      </c>
      <c r="AH122" s="118">
        <f t="shared" si="100"/>
        <v>0</v>
      </c>
      <c r="AI122" s="133">
        <f>36.64*$AF$4</f>
        <v>36640</v>
      </c>
      <c r="AJ122" s="259"/>
    </row>
    <row r="123" spans="1:36" ht="25.5" x14ac:dyDescent="0.25">
      <c r="A123" s="331" t="s">
        <v>372</v>
      </c>
      <c r="B123" s="758" t="s">
        <v>389</v>
      </c>
      <c r="C123" s="303"/>
      <c r="D123" s="106"/>
      <c r="E123" s="107"/>
      <c r="F123" s="279"/>
      <c r="G123" s="108"/>
      <c r="H123" s="108">
        <f t="shared" si="88"/>
        <v>0</v>
      </c>
      <c r="I123" s="108"/>
      <c r="J123" s="108"/>
      <c r="K123" s="108"/>
      <c r="L123" s="108"/>
      <c r="M123" s="111">
        <f t="shared" si="59"/>
        <v>0</v>
      </c>
      <c r="N123" s="296"/>
      <c r="O123" s="155"/>
      <c r="P123" s="118"/>
      <c r="Q123" s="118"/>
      <c r="R123" s="111">
        <f t="shared" si="97"/>
        <v>0</v>
      </c>
      <c r="S123" s="441">
        <f t="shared" si="102"/>
        <v>7220.6200000000008</v>
      </c>
      <c r="T123" s="441"/>
      <c r="U123" s="441"/>
      <c r="V123" s="404">
        <f t="shared" si="62"/>
        <v>0</v>
      </c>
      <c r="W123" s="441">
        <f t="shared" si="63"/>
        <v>7220.6200000000008</v>
      </c>
      <c r="X123" s="233">
        <v>1</v>
      </c>
      <c r="Y123" s="110">
        <v>0</v>
      </c>
      <c r="Z123" s="349">
        <f t="shared" si="96"/>
        <v>7220.6200000000008</v>
      </c>
      <c r="AA123" s="118">
        <f t="shared" si="91"/>
        <v>0</v>
      </c>
      <c r="AB123" s="407">
        <f t="shared" si="92"/>
        <v>7220.6200000000008</v>
      </c>
      <c r="AC123" s="421">
        <f t="shared" si="98"/>
        <v>2300</v>
      </c>
      <c r="AD123" s="118">
        <f t="shared" si="98"/>
        <v>0</v>
      </c>
      <c r="AE123" s="336">
        <f t="shared" si="94"/>
        <v>2300</v>
      </c>
      <c r="AG123" s="265">
        <f t="shared" si="99"/>
        <v>2300</v>
      </c>
      <c r="AH123" s="118">
        <f t="shared" si="100"/>
        <v>0</v>
      </c>
      <c r="AI123" s="133">
        <f>2.3*$AF$4</f>
        <v>2300</v>
      </c>
      <c r="AJ123" s="259"/>
    </row>
    <row r="124" spans="1:36" ht="38.25" x14ac:dyDescent="0.25">
      <c r="A124" s="331" t="s">
        <v>373</v>
      </c>
      <c r="B124" s="758" t="s">
        <v>390</v>
      </c>
      <c r="C124" s="303"/>
      <c r="D124" s="106"/>
      <c r="E124" s="107"/>
      <c r="F124" s="279"/>
      <c r="G124" s="108"/>
      <c r="H124" s="108">
        <f t="shared" si="88"/>
        <v>0</v>
      </c>
      <c r="I124" s="108"/>
      <c r="J124" s="108"/>
      <c r="K124" s="108"/>
      <c r="L124" s="108"/>
      <c r="M124" s="111">
        <f t="shared" si="59"/>
        <v>0</v>
      </c>
      <c r="N124" s="296"/>
      <c r="O124" s="155"/>
      <c r="P124" s="118"/>
      <c r="Q124" s="118"/>
      <c r="R124" s="111">
        <f t="shared" si="97"/>
        <v>0</v>
      </c>
      <c r="S124" s="441">
        <f t="shared" si="102"/>
        <v>144726.34</v>
      </c>
      <c r="T124" s="441"/>
      <c r="U124" s="441"/>
      <c r="V124" s="404">
        <f t="shared" si="62"/>
        <v>0</v>
      </c>
      <c r="W124" s="441">
        <f t="shared" si="63"/>
        <v>144726.34</v>
      </c>
      <c r="X124" s="233">
        <v>1</v>
      </c>
      <c r="Y124" s="110">
        <v>0</v>
      </c>
      <c r="Z124" s="349">
        <f t="shared" si="96"/>
        <v>144726.34</v>
      </c>
      <c r="AA124" s="118">
        <f t="shared" si="91"/>
        <v>0</v>
      </c>
      <c r="AB124" s="407">
        <f t="shared" si="92"/>
        <v>144726.34</v>
      </c>
      <c r="AC124" s="421">
        <f t="shared" si="98"/>
        <v>46100</v>
      </c>
      <c r="AD124" s="118">
        <f t="shared" si="98"/>
        <v>0</v>
      </c>
      <c r="AE124" s="336">
        <f t="shared" si="94"/>
        <v>46100</v>
      </c>
      <c r="AG124" s="265">
        <f t="shared" si="99"/>
        <v>46100</v>
      </c>
      <c r="AH124" s="118">
        <f t="shared" si="100"/>
        <v>0</v>
      </c>
      <c r="AI124" s="133">
        <f>46.1*$AF$4</f>
        <v>46100</v>
      </c>
      <c r="AJ124" s="259"/>
    </row>
    <row r="125" spans="1:36" x14ac:dyDescent="0.25">
      <c r="A125" s="331" t="s">
        <v>374</v>
      </c>
      <c r="B125" s="758" t="s">
        <v>391</v>
      </c>
      <c r="C125" s="303"/>
      <c r="D125" s="106"/>
      <c r="E125" s="107"/>
      <c r="F125" s="279"/>
      <c r="G125" s="108"/>
      <c r="H125" s="108">
        <f t="shared" si="88"/>
        <v>0</v>
      </c>
      <c r="I125" s="108"/>
      <c r="J125" s="108"/>
      <c r="K125" s="108"/>
      <c r="L125" s="108"/>
      <c r="M125" s="111">
        <f t="shared" si="59"/>
        <v>0</v>
      </c>
      <c r="N125" s="296"/>
      <c r="O125" s="155"/>
      <c r="P125" s="118"/>
      <c r="Q125" s="118"/>
      <c r="R125" s="111">
        <f t="shared" si="97"/>
        <v>0</v>
      </c>
      <c r="S125" s="441">
        <f t="shared" si="102"/>
        <v>46808.454000000005</v>
      </c>
      <c r="T125" s="441"/>
      <c r="U125" s="441"/>
      <c r="V125" s="404">
        <f t="shared" si="62"/>
        <v>0</v>
      </c>
      <c r="W125" s="441">
        <f t="shared" si="63"/>
        <v>46808.454000000005</v>
      </c>
      <c r="X125" s="233">
        <v>1</v>
      </c>
      <c r="Y125" s="110">
        <v>0</v>
      </c>
      <c r="Z125" s="349">
        <f t="shared" si="96"/>
        <v>46808.454000000005</v>
      </c>
      <c r="AA125" s="118">
        <f t="shared" si="91"/>
        <v>0</v>
      </c>
      <c r="AB125" s="407">
        <f t="shared" si="92"/>
        <v>46808.454000000005</v>
      </c>
      <c r="AC125" s="421">
        <f t="shared" si="98"/>
        <v>14910</v>
      </c>
      <c r="AD125" s="118">
        <f t="shared" si="98"/>
        <v>0</v>
      </c>
      <c r="AE125" s="336">
        <f t="shared" si="94"/>
        <v>14910</v>
      </c>
      <c r="AG125" s="265">
        <f t="shared" si="99"/>
        <v>14910</v>
      </c>
      <c r="AH125" s="118">
        <f t="shared" si="100"/>
        <v>0</v>
      </c>
      <c r="AI125" s="133">
        <f>14.91*$AF$4</f>
        <v>14910</v>
      </c>
      <c r="AJ125" s="259"/>
    </row>
    <row r="126" spans="1:36" ht="38.25" x14ac:dyDescent="0.25">
      <c r="A126" s="331" t="s">
        <v>375</v>
      </c>
      <c r="B126" s="758" t="s">
        <v>392</v>
      </c>
      <c r="C126" s="303"/>
      <c r="D126" s="106"/>
      <c r="E126" s="107"/>
      <c r="F126" s="279"/>
      <c r="G126" s="108"/>
      <c r="H126" s="108">
        <f t="shared" si="88"/>
        <v>0</v>
      </c>
      <c r="I126" s="108"/>
      <c r="J126" s="108"/>
      <c r="K126" s="108"/>
      <c r="L126" s="108"/>
      <c r="M126" s="111">
        <f t="shared" si="59"/>
        <v>0</v>
      </c>
      <c r="N126" s="296"/>
      <c r="O126" s="155"/>
      <c r="P126" s="118"/>
      <c r="Q126" s="118"/>
      <c r="R126" s="111">
        <f t="shared" si="97"/>
        <v>0</v>
      </c>
      <c r="S126" s="441">
        <f t="shared" si="102"/>
        <v>326654.57</v>
      </c>
      <c r="T126" s="441"/>
      <c r="U126" s="441"/>
      <c r="V126" s="404">
        <f t="shared" si="62"/>
        <v>0</v>
      </c>
      <c r="W126" s="441">
        <f t="shared" si="63"/>
        <v>326654.57</v>
      </c>
      <c r="X126" s="233">
        <v>1</v>
      </c>
      <c r="Y126" s="110">
        <v>0</v>
      </c>
      <c r="Z126" s="349">
        <f t="shared" si="96"/>
        <v>326654.57</v>
      </c>
      <c r="AA126" s="118">
        <f t="shared" si="91"/>
        <v>0</v>
      </c>
      <c r="AB126" s="407">
        <f t="shared" si="92"/>
        <v>326654.57</v>
      </c>
      <c r="AC126" s="421">
        <f t="shared" si="98"/>
        <v>104050</v>
      </c>
      <c r="AD126" s="118">
        <f t="shared" si="98"/>
        <v>0</v>
      </c>
      <c r="AE126" s="336">
        <f t="shared" si="94"/>
        <v>104050</v>
      </c>
      <c r="AG126" s="265">
        <f t="shared" si="99"/>
        <v>104050</v>
      </c>
      <c r="AH126" s="118">
        <f t="shared" si="100"/>
        <v>0</v>
      </c>
      <c r="AI126" s="133">
        <f>104.05*$AF$4</f>
        <v>104050</v>
      </c>
      <c r="AJ126" s="259"/>
    </row>
    <row r="127" spans="1:36" ht="38.25" x14ac:dyDescent="0.25">
      <c r="A127" s="331" t="s">
        <v>376</v>
      </c>
      <c r="B127" s="758" t="s">
        <v>393</v>
      </c>
      <c r="C127" s="303"/>
      <c r="D127" s="106"/>
      <c r="E127" s="107"/>
      <c r="F127" s="279"/>
      <c r="G127" s="108"/>
      <c r="H127" s="108">
        <f t="shared" si="88"/>
        <v>0</v>
      </c>
      <c r="I127" s="108"/>
      <c r="J127" s="108"/>
      <c r="K127" s="108"/>
      <c r="L127" s="108"/>
      <c r="M127" s="111">
        <f t="shared" si="59"/>
        <v>0</v>
      </c>
      <c r="N127" s="296"/>
      <c r="O127" s="155"/>
      <c r="P127" s="118"/>
      <c r="Q127" s="118"/>
      <c r="R127" s="111">
        <f t="shared" si="97"/>
        <v>0</v>
      </c>
      <c r="S127" s="441">
        <f t="shared" si="102"/>
        <v>313940</v>
      </c>
      <c r="T127" s="441"/>
      <c r="U127" s="441"/>
      <c r="V127" s="404">
        <f t="shared" si="62"/>
        <v>0</v>
      </c>
      <c r="W127" s="441">
        <f t="shared" si="63"/>
        <v>313940</v>
      </c>
      <c r="X127" s="233">
        <v>1</v>
      </c>
      <c r="Y127" s="110">
        <v>0</v>
      </c>
      <c r="Z127" s="349">
        <f t="shared" si="96"/>
        <v>313940</v>
      </c>
      <c r="AA127" s="118">
        <f t="shared" si="91"/>
        <v>0</v>
      </c>
      <c r="AB127" s="407">
        <f t="shared" si="92"/>
        <v>313940</v>
      </c>
      <c r="AC127" s="421">
        <f t="shared" si="98"/>
        <v>100000</v>
      </c>
      <c r="AD127" s="118">
        <f t="shared" si="98"/>
        <v>0</v>
      </c>
      <c r="AE127" s="336">
        <f t="shared" si="94"/>
        <v>100000</v>
      </c>
      <c r="AG127" s="265">
        <f t="shared" si="99"/>
        <v>100000</v>
      </c>
      <c r="AH127" s="118">
        <f t="shared" si="100"/>
        <v>0</v>
      </c>
      <c r="AI127" s="133">
        <f>100*$AF$4</f>
        <v>100000</v>
      </c>
      <c r="AJ127" s="259"/>
    </row>
    <row r="128" spans="1:36" ht="25.5" x14ac:dyDescent="0.25">
      <c r="A128" s="331" t="s">
        <v>377</v>
      </c>
      <c r="B128" s="758" t="s">
        <v>394</v>
      </c>
      <c r="C128" s="303"/>
      <c r="D128" s="106"/>
      <c r="E128" s="107"/>
      <c r="F128" s="279"/>
      <c r="G128" s="108"/>
      <c r="H128" s="108">
        <f t="shared" si="88"/>
        <v>0</v>
      </c>
      <c r="I128" s="108"/>
      <c r="J128" s="108"/>
      <c r="K128" s="108"/>
      <c r="L128" s="108"/>
      <c r="M128" s="111">
        <f t="shared" si="59"/>
        <v>0</v>
      </c>
      <c r="N128" s="296"/>
      <c r="O128" s="155"/>
      <c r="P128" s="118"/>
      <c r="Q128" s="118"/>
      <c r="R128" s="111">
        <f t="shared" si="97"/>
        <v>0</v>
      </c>
      <c r="S128" s="441">
        <f t="shared" si="102"/>
        <v>335130.95</v>
      </c>
      <c r="T128" s="441"/>
      <c r="U128" s="441"/>
      <c r="V128" s="404">
        <f t="shared" si="62"/>
        <v>0</v>
      </c>
      <c r="W128" s="441">
        <f t="shared" si="63"/>
        <v>335130.95</v>
      </c>
      <c r="X128" s="233">
        <v>1</v>
      </c>
      <c r="Y128" s="110">
        <v>0</v>
      </c>
      <c r="Z128" s="349">
        <f t="shared" si="96"/>
        <v>335130.95</v>
      </c>
      <c r="AA128" s="118">
        <f t="shared" si="91"/>
        <v>0</v>
      </c>
      <c r="AB128" s="407">
        <f t="shared" si="92"/>
        <v>335130.95</v>
      </c>
      <c r="AC128" s="421">
        <f t="shared" si="98"/>
        <v>106750</v>
      </c>
      <c r="AD128" s="118">
        <f t="shared" si="98"/>
        <v>0</v>
      </c>
      <c r="AE128" s="336">
        <f t="shared" si="94"/>
        <v>106750</v>
      </c>
      <c r="AG128" s="265">
        <f t="shared" si="99"/>
        <v>106750</v>
      </c>
      <c r="AH128" s="118">
        <f t="shared" si="100"/>
        <v>0</v>
      </c>
      <c r="AI128" s="133">
        <f>106.75*$AF$4</f>
        <v>106750</v>
      </c>
      <c r="AJ128" s="259"/>
    </row>
    <row r="129" spans="1:36" ht="38.25" x14ac:dyDescent="0.25">
      <c r="A129" s="331" t="s">
        <v>378</v>
      </c>
      <c r="B129" s="758" t="s">
        <v>395</v>
      </c>
      <c r="C129" s="303"/>
      <c r="D129" s="106"/>
      <c r="E129" s="107"/>
      <c r="F129" s="279"/>
      <c r="G129" s="108"/>
      <c r="H129" s="108">
        <f t="shared" si="88"/>
        <v>0</v>
      </c>
      <c r="I129" s="108"/>
      <c r="J129" s="108"/>
      <c r="K129" s="108"/>
      <c r="L129" s="108"/>
      <c r="M129" s="111">
        <f t="shared" si="59"/>
        <v>0</v>
      </c>
      <c r="N129" s="296"/>
      <c r="O129" s="155"/>
      <c r="P129" s="118"/>
      <c r="Q129" s="118"/>
      <c r="R129" s="111">
        <f t="shared" si="97"/>
        <v>0</v>
      </c>
      <c r="S129" s="441">
        <f t="shared" si="102"/>
        <v>609043.60000000009</v>
      </c>
      <c r="T129" s="441"/>
      <c r="U129" s="441"/>
      <c r="V129" s="404">
        <f t="shared" si="62"/>
        <v>0</v>
      </c>
      <c r="W129" s="441">
        <f t="shared" si="63"/>
        <v>609043.60000000009</v>
      </c>
      <c r="X129" s="233">
        <v>1</v>
      </c>
      <c r="Y129" s="110">
        <v>0</v>
      </c>
      <c r="Z129" s="349">
        <f t="shared" si="96"/>
        <v>609043.60000000009</v>
      </c>
      <c r="AA129" s="118">
        <f t="shared" si="91"/>
        <v>0</v>
      </c>
      <c r="AB129" s="407">
        <f t="shared" si="92"/>
        <v>609043.60000000009</v>
      </c>
      <c r="AC129" s="421">
        <f t="shared" si="98"/>
        <v>194000</v>
      </c>
      <c r="AD129" s="118">
        <f t="shared" si="98"/>
        <v>0</v>
      </c>
      <c r="AE129" s="336">
        <f t="shared" si="94"/>
        <v>194000</v>
      </c>
      <c r="AG129" s="265">
        <f t="shared" si="99"/>
        <v>194000</v>
      </c>
      <c r="AH129" s="118">
        <f t="shared" si="100"/>
        <v>0</v>
      </c>
      <c r="AI129" s="133">
        <f>194*$AF$4</f>
        <v>194000</v>
      </c>
      <c r="AJ129" s="259"/>
    </row>
    <row r="130" spans="1:36" ht="38.25" x14ac:dyDescent="0.25">
      <c r="A130" s="331" t="s">
        <v>348</v>
      </c>
      <c r="B130" s="758" t="s">
        <v>396</v>
      </c>
      <c r="C130" s="303"/>
      <c r="D130" s="106"/>
      <c r="E130" s="107"/>
      <c r="F130" s="279"/>
      <c r="G130" s="108"/>
      <c r="H130" s="108">
        <f t="shared" si="88"/>
        <v>0</v>
      </c>
      <c r="I130" s="108"/>
      <c r="J130" s="108"/>
      <c r="K130" s="108"/>
      <c r="L130" s="108"/>
      <c r="M130" s="111">
        <f t="shared" si="59"/>
        <v>0</v>
      </c>
      <c r="N130" s="296"/>
      <c r="O130" s="155"/>
      <c r="P130" s="118"/>
      <c r="Q130" s="118"/>
      <c r="R130" s="111">
        <f t="shared" si="97"/>
        <v>0</v>
      </c>
      <c r="S130" s="441">
        <f t="shared" si="102"/>
        <v>1255760</v>
      </c>
      <c r="T130" s="441"/>
      <c r="U130" s="441"/>
      <c r="V130" s="404">
        <f t="shared" si="62"/>
        <v>0</v>
      </c>
      <c r="W130" s="441">
        <f t="shared" si="63"/>
        <v>1255760</v>
      </c>
      <c r="X130" s="233">
        <v>1</v>
      </c>
      <c r="Y130" s="110">
        <v>0</v>
      </c>
      <c r="Z130" s="349">
        <f t="shared" si="96"/>
        <v>1255760</v>
      </c>
      <c r="AA130" s="118">
        <f t="shared" si="91"/>
        <v>0</v>
      </c>
      <c r="AB130" s="407">
        <f t="shared" si="92"/>
        <v>1255760</v>
      </c>
      <c r="AC130" s="421">
        <f t="shared" si="98"/>
        <v>400000</v>
      </c>
      <c r="AD130" s="118">
        <f t="shared" si="98"/>
        <v>0</v>
      </c>
      <c r="AE130" s="336">
        <f t="shared" si="94"/>
        <v>400000</v>
      </c>
      <c r="AG130" s="265">
        <f t="shared" si="99"/>
        <v>400000</v>
      </c>
      <c r="AH130" s="118">
        <f t="shared" si="100"/>
        <v>0</v>
      </c>
      <c r="AI130" s="133">
        <f>400*$AF$4</f>
        <v>400000</v>
      </c>
      <c r="AJ130" s="259"/>
    </row>
    <row r="131" spans="1:36" x14ac:dyDescent="0.25">
      <c r="A131" s="822" t="s">
        <v>660</v>
      </c>
      <c r="B131" s="823" t="s">
        <v>665</v>
      </c>
      <c r="C131" s="824"/>
      <c r="D131" s="825"/>
      <c r="E131" s="826"/>
      <c r="F131" s="827"/>
      <c r="G131" s="827"/>
      <c r="H131" s="827"/>
      <c r="I131" s="827"/>
      <c r="J131" s="827"/>
      <c r="K131" s="827"/>
      <c r="L131" s="827"/>
      <c r="M131" s="828"/>
      <c r="N131" s="829"/>
      <c r="O131" s="830"/>
      <c r="P131" s="831"/>
      <c r="Q131" s="831"/>
      <c r="R131" s="475"/>
      <c r="S131" s="832">
        <f t="shared" si="102"/>
        <v>1883640</v>
      </c>
      <c r="T131" s="434"/>
      <c r="U131" s="434"/>
      <c r="V131" s="404"/>
      <c r="W131" s="441">
        <f t="shared" si="63"/>
        <v>1883640</v>
      </c>
      <c r="X131" s="233">
        <v>1</v>
      </c>
      <c r="Y131" s="309"/>
      <c r="Z131" s="349">
        <f t="shared" si="96"/>
        <v>1883640</v>
      </c>
      <c r="AA131" s="118">
        <f>S131*Y131</f>
        <v>0</v>
      </c>
      <c r="AB131" s="407">
        <f>Z131+AA131</f>
        <v>1883640</v>
      </c>
      <c r="AC131" s="421">
        <f>ROUND(Z131/$AF$2,2)</f>
        <v>600000</v>
      </c>
      <c r="AD131" s="118">
        <f>ROUND(AA131/$AF$2,2)</f>
        <v>0</v>
      </c>
      <c r="AE131" s="336">
        <f>AC131+AD131</f>
        <v>600000</v>
      </c>
      <c r="AG131" s="265">
        <f>AI131*X131</f>
        <v>600000</v>
      </c>
      <c r="AH131" s="118">
        <f>AI131*Y131</f>
        <v>0</v>
      </c>
      <c r="AI131" s="821">
        <v>600000</v>
      </c>
      <c r="AJ131" s="259"/>
    </row>
    <row r="132" spans="1:36" ht="15.75" thickBot="1" x14ac:dyDescent="0.3">
      <c r="A132" s="331" t="s">
        <v>379</v>
      </c>
      <c r="B132" s="776" t="s">
        <v>397</v>
      </c>
      <c r="C132" s="362"/>
      <c r="D132" s="363"/>
      <c r="E132" s="364"/>
      <c r="F132" s="306"/>
      <c r="G132" s="307"/>
      <c r="H132" s="307">
        <f t="shared" si="88"/>
        <v>0</v>
      </c>
      <c r="I132" s="307"/>
      <c r="J132" s="307"/>
      <c r="K132" s="307"/>
      <c r="L132" s="307"/>
      <c r="M132" s="365"/>
      <c r="N132" s="378"/>
      <c r="O132" s="379"/>
      <c r="P132" s="380"/>
      <c r="Q132" s="380"/>
      <c r="R132" s="111">
        <f t="shared" si="97"/>
        <v>0</v>
      </c>
      <c r="S132" s="434">
        <f t="shared" si="102"/>
        <v>62788.000000000007</v>
      </c>
      <c r="T132" s="434"/>
      <c r="U132" s="434"/>
      <c r="V132" s="404">
        <f t="shared" si="62"/>
        <v>0</v>
      </c>
      <c r="W132" s="434">
        <f t="shared" si="63"/>
        <v>62788.000000000007</v>
      </c>
      <c r="X132" s="308">
        <v>1</v>
      </c>
      <c r="Y132" s="309">
        <v>0</v>
      </c>
      <c r="Z132" s="349">
        <f t="shared" si="96"/>
        <v>62788.000000000007</v>
      </c>
      <c r="AA132" s="380">
        <f t="shared" si="91"/>
        <v>0</v>
      </c>
      <c r="AB132" s="414">
        <f t="shared" si="92"/>
        <v>62788.000000000007</v>
      </c>
      <c r="AC132" s="425">
        <f t="shared" si="98"/>
        <v>20000</v>
      </c>
      <c r="AD132" s="380">
        <f t="shared" si="98"/>
        <v>0</v>
      </c>
      <c r="AE132" s="381">
        <f t="shared" si="94"/>
        <v>20000</v>
      </c>
      <c r="AG132" s="262">
        <f t="shared" si="99"/>
        <v>20000</v>
      </c>
      <c r="AH132" s="160">
        <f t="shared" si="100"/>
        <v>0</v>
      </c>
      <c r="AI132" s="162">
        <f>20*$AF$4</f>
        <v>20000</v>
      </c>
      <c r="AJ132" s="259"/>
    </row>
    <row r="133" spans="1:36" ht="15.75" thickBot="1" x14ac:dyDescent="0.3">
      <c r="A133" s="342"/>
      <c r="B133" s="371" t="s">
        <v>220</v>
      </c>
      <c r="C133" s="384"/>
      <c r="D133" s="373"/>
      <c r="E133" s="374"/>
      <c r="F133" s="385">
        <f t="shared" ref="F133:N133" si="103">F134</f>
        <v>2098615.96</v>
      </c>
      <c r="G133" s="385">
        <f t="shared" si="103"/>
        <v>0</v>
      </c>
      <c r="H133" s="385">
        <f t="shared" si="103"/>
        <v>2098615.96</v>
      </c>
      <c r="I133" s="385">
        <f t="shared" si="103"/>
        <v>0</v>
      </c>
      <c r="J133" s="385">
        <f t="shared" si="103"/>
        <v>0</v>
      </c>
      <c r="K133" s="385">
        <f t="shared" si="103"/>
        <v>0</v>
      </c>
      <c r="L133" s="385">
        <f t="shared" si="103"/>
        <v>0</v>
      </c>
      <c r="M133" s="385">
        <f t="shared" si="103"/>
        <v>0</v>
      </c>
      <c r="N133" s="385">
        <f t="shared" si="103"/>
        <v>0</v>
      </c>
      <c r="O133" s="385">
        <f t="shared" ref="O133:AI133" si="104">O134</f>
        <v>0</v>
      </c>
      <c r="P133" s="385">
        <f t="shared" si="104"/>
        <v>0</v>
      </c>
      <c r="Q133" s="385">
        <f t="shared" si="104"/>
        <v>0</v>
      </c>
      <c r="R133" s="385">
        <f t="shared" si="104"/>
        <v>0</v>
      </c>
      <c r="S133" s="385">
        <f t="shared" si="104"/>
        <v>3363794.16</v>
      </c>
      <c r="T133" s="385">
        <f t="shared" si="104"/>
        <v>0</v>
      </c>
      <c r="U133" s="385">
        <f t="shared" si="104"/>
        <v>209861.59600000002</v>
      </c>
      <c r="V133" s="385">
        <f t="shared" si="104"/>
        <v>209861.59600000002</v>
      </c>
      <c r="W133" s="385">
        <f t="shared" si="104"/>
        <v>3573655.7560000001</v>
      </c>
      <c r="X133" s="376"/>
      <c r="Y133" s="376"/>
      <c r="Z133" s="385">
        <f t="shared" si="104"/>
        <v>3573655.7560000001</v>
      </c>
      <c r="AA133" s="385">
        <f t="shared" si="104"/>
        <v>0</v>
      </c>
      <c r="AB133" s="412">
        <f>AB134</f>
        <v>3573655.7560000001</v>
      </c>
      <c r="AC133" s="385">
        <f t="shared" si="104"/>
        <v>1138324.44</v>
      </c>
      <c r="AD133" s="385">
        <f t="shared" si="104"/>
        <v>0</v>
      </c>
      <c r="AE133" s="385">
        <f t="shared" si="104"/>
        <v>1138324.44</v>
      </c>
      <c r="AG133" s="328">
        <f t="shared" si="104"/>
        <v>1768739.3988439301</v>
      </c>
      <c r="AH133" s="328">
        <f t="shared" si="104"/>
        <v>0</v>
      </c>
      <c r="AI133" s="328">
        <f t="shared" si="104"/>
        <v>1768739.3988439301</v>
      </c>
      <c r="AJ133" s="259"/>
    </row>
    <row r="134" spans="1:36" ht="30.75" customHeight="1" thickBot="1" x14ac:dyDescent="0.3">
      <c r="A134" s="377"/>
      <c r="B134" s="371" t="s">
        <v>221</v>
      </c>
      <c r="C134" s="372"/>
      <c r="D134" s="373"/>
      <c r="E134" s="374"/>
      <c r="F134" s="375">
        <f>SUM(F135:F138)</f>
        <v>2098615.96</v>
      </c>
      <c r="G134" s="375">
        <f>SUM(G135:G138)</f>
        <v>0</v>
      </c>
      <c r="H134" s="375">
        <f>SUM(H135:H138)</f>
        <v>2098615.96</v>
      </c>
      <c r="I134" s="375">
        <f t="shared" ref="I134:R134" si="105">SUM(I135:I138)</f>
        <v>0</v>
      </c>
      <c r="J134" s="375">
        <f t="shared" si="105"/>
        <v>0</v>
      </c>
      <c r="K134" s="375">
        <f t="shared" si="105"/>
        <v>0</v>
      </c>
      <c r="L134" s="375">
        <f t="shared" si="105"/>
        <v>0</v>
      </c>
      <c r="M134" s="375">
        <f t="shared" si="105"/>
        <v>0</v>
      </c>
      <c r="N134" s="375">
        <f t="shared" si="105"/>
        <v>0</v>
      </c>
      <c r="O134" s="375">
        <f t="shared" si="105"/>
        <v>0</v>
      </c>
      <c r="P134" s="375">
        <f t="shared" si="105"/>
        <v>0</v>
      </c>
      <c r="Q134" s="375">
        <f t="shared" si="105"/>
        <v>0</v>
      </c>
      <c r="R134" s="375">
        <f t="shared" si="105"/>
        <v>0</v>
      </c>
      <c r="S134" s="375">
        <f>SUM(S135:S138)</f>
        <v>3363794.16</v>
      </c>
      <c r="T134" s="375">
        <f>SUM(T135:T138)</f>
        <v>0</v>
      </c>
      <c r="U134" s="375">
        <f>SUM(U135:U138)</f>
        <v>209861.59600000002</v>
      </c>
      <c r="V134" s="375">
        <f>SUM(V135:V138)</f>
        <v>209861.59600000002</v>
      </c>
      <c r="W134" s="375">
        <f>SUM(W135:W138)</f>
        <v>3573655.7560000001</v>
      </c>
      <c r="X134" s="376"/>
      <c r="Y134" s="376"/>
      <c r="Z134" s="375">
        <f t="shared" ref="Z134:AE134" si="106">SUM(Z135:Z138)</f>
        <v>3573655.7560000001</v>
      </c>
      <c r="AA134" s="375">
        <f t="shared" si="106"/>
        <v>0</v>
      </c>
      <c r="AB134" s="413">
        <f>SUM(AB135:AB138)</f>
        <v>3573655.7560000001</v>
      </c>
      <c r="AC134" s="375">
        <f t="shared" si="106"/>
        <v>1138324.44</v>
      </c>
      <c r="AD134" s="375">
        <f t="shared" si="106"/>
        <v>0</v>
      </c>
      <c r="AE134" s="375">
        <f t="shared" si="106"/>
        <v>1138324.44</v>
      </c>
      <c r="AG134" s="327">
        <f>SUM(AG135:AG138)</f>
        <v>1768739.3988439301</v>
      </c>
      <c r="AH134" s="327">
        <f>SUM(AH135:AH138)</f>
        <v>0</v>
      </c>
      <c r="AI134" s="327">
        <f>SUM(AI135:AI138)</f>
        <v>1768739.3988439301</v>
      </c>
      <c r="AJ134" s="259"/>
    </row>
    <row r="135" spans="1:36" ht="27" x14ac:dyDescent="0.25">
      <c r="A135" s="342" t="s">
        <v>398</v>
      </c>
      <c r="B135" s="779" t="s">
        <v>649</v>
      </c>
      <c r="C135" s="315" t="s">
        <v>416</v>
      </c>
      <c r="D135" s="228" t="s">
        <v>421</v>
      </c>
      <c r="E135" s="229"/>
      <c r="F135" s="231">
        <v>2098615.96</v>
      </c>
      <c r="G135" s="329"/>
      <c r="H135" s="231">
        <f>F135+G135</f>
        <v>2098615.96</v>
      </c>
      <c r="I135" s="231"/>
      <c r="J135" s="231"/>
      <c r="K135" s="231"/>
      <c r="L135" s="231"/>
      <c r="M135" s="234">
        <f>I135+J135+K135+L135</f>
        <v>0</v>
      </c>
      <c r="N135" s="231"/>
      <c r="O135" s="329"/>
      <c r="P135" s="329"/>
      <c r="Q135" s="329"/>
      <c r="R135" s="111">
        <f>N135+O135+P135+Q135</f>
        <v>0</v>
      </c>
      <c r="S135" s="439">
        <f>H135-M135</f>
        <v>2098615.96</v>
      </c>
      <c r="T135" s="439"/>
      <c r="U135" s="439">
        <f>S135*0.1</f>
        <v>209861.59600000002</v>
      </c>
      <c r="V135" s="404">
        <f>T135+U135</f>
        <v>209861.59600000002</v>
      </c>
      <c r="W135" s="404">
        <f>+S135+V135</f>
        <v>2308477.5559999999</v>
      </c>
      <c r="X135" s="233">
        <v>1</v>
      </c>
      <c r="Y135" s="233">
        <v>0</v>
      </c>
      <c r="Z135" s="349">
        <f>W135*X135</f>
        <v>2308477.5559999999</v>
      </c>
      <c r="AA135" s="311">
        <f>S135*Y135</f>
        <v>0</v>
      </c>
      <c r="AB135" s="415">
        <f t="shared" ref="AB135:AB141" si="107">Z135+AA135</f>
        <v>2308477.5559999999</v>
      </c>
      <c r="AC135" s="426">
        <f t="shared" ref="AC135:AD138" si="108">ROUND(Z135/$AF$2,2)</f>
        <v>735324.44</v>
      </c>
      <c r="AD135" s="311">
        <f t="shared" si="108"/>
        <v>0</v>
      </c>
      <c r="AE135" s="343">
        <f t="shared" ref="AE135:AE140" si="109">AC135+AD135</f>
        <v>735324.44</v>
      </c>
      <c r="AG135" s="264">
        <f>AI135*X135</f>
        <v>0</v>
      </c>
      <c r="AH135" s="256">
        <f>AI135*Y135</f>
        <v>0</v>
      </c>
      <c r="AI135" s="257"/>
      <c r="AJ135" s="259"/>
    </row>
    <row r="136" spans="1:36" ht="30" x14ac:dyDescent="0.25">
      <c r="A136" s="850" t="s">
        <v>399</v>
      </c>
      <c r="B136" s="851" t="s">
        <v>425</v>
      </c>
      <c r="C136" s="852"/>
      <c r="D136" s="853"/>
      <c r="E136" s="854"/>
      <c r="F136" s="855"/>
      <c r="G136" s="855"/>
      <c r="H136" s="856">
        <f>F136+G136</f>
        <v>0</v>
      </c>
      <c r="I136" s="855"/>
      <c r="J136" s="855"/>
      <c r="K136" s="855"/>
      <c r="L136" s="855"/>
      <c r="M136" s="857">
        <f>I136+J136+K136+L136</f>
        <v>0</v>
      </c>
      <c r="N136" s="855"/>
      <c r="O136" s="855"/>
      <c r="P136" s="855"/>
      <c r="Q136" s="855"/>
      <c r="R136" s="832">
        <f>N136+O136+P136+Q136</f>
        <v>0</v>
      </c>
      <c r="S136" s="832">
        <f>AI136*$AF$2</f>
        <v>470910</v>
      </c>
      <c r="T136" s="441"/>
      <c r="U136" s="441"/>
      <c r="V136" s="404">
        <f>T136+U136</f>
        <v>0</v>
      </c>
      <c r="W136" s="441">
        <f>+S136+V136</f>
        <v>470910</v>
      </c>
      <c r="X136" s="110">
        <v>1</v>
      </c>
      <c r="Y136" s="110">
        <v>0</v>
      </c>
      <c r="Z136" s="349">
        <f>W136*X136</f>
        <v>470910</v>
      </c>
      <c r="AA136" s="118">
        <f>S136*Y136</f>
        <v>0</v>
      </c>
      <c r="AB136" s="407">
        <f t="shared" si="107"/>
        <v>470910</v>
      </c>
      <c r="AC136" s="421">
        <f t="shared" si="108"/>
        <v>150000</v>
      </c>
      <c r="AD136" s="118">
        <f t="shared" si="108"/>
        <v>0</v>
      </c>
      <c r="AE136" s="336">
        <f t="shared" si="109"/>
        <v>150000</v>
      </c>
      <c r="AG136" s="265">
        <f>AI136*X136</f>
        <v>150000</v>
      </c>
      <c r="AH136" s="118">
        <f>AI136*Y136</f>
        <v>0</v>
      </c>
      <c r="AI136" s="133">
        <f>150*$AF$4</f>
        <v>150000</v>
      </c>
      <c r="AJ136" s="259"/>
    </row>
    <row r="137" spans="1:36" ht="38.25" x14ac:dyDescent="0.25">
      <c r="A137" s="331" t="s">
        <v>400</v>
      </c>
      <c r="B137" s="780" t="s">
        <v>404</v>
      </c>
      <c r="C137" s="316"/>
      <c r="D137" s="106"/>
      <c r="E137" s="107"/>
      <c r="F137" s="330"/>
      <c r="G137" s="330"/>
      <c r="H137" s="231">
        <f>F137+G137</f>
        <v>0</v>
      </c>
      <c r="I137" s="330"/>
      <c r="J137" s="330"/>
      <c r="K137" s="330"/>
      <c r="L137" s="330"/>
      <c r="M137" s="234">
        <f>I137+J137+K137+L137</f>
        <v>0</v>
      </c>
      <c r="N137" s="330"/>
      <c r="O137" s="330"/>
      <c r="P137" s="330"/>
      <c r="Q137" s="330"/>
      <c r="R137" s="111">
        <f>N137+O137+P137+Q137</f>
        <v>0</v>
      </c>
      <c r="S137" s="441">
        <f>AI137*$AF$2</f>
        <v>794268.20000000007</v>
      </c>
      <c r="T137" s="441"/>
      <c r="U137" s="441"/>
      <c r="V137" s="404">
        <f>T137+U137</f>
        <v>0</v>
      </c>
      <c r="W137" s="441">
        <f>+S137+V137</f>
        <v>794268.20000000007</v>
      </c>
      <c r="X137" s="110">
        <v>1</v>
      </c>
      <c r="Y137" s="110">
        <v>0</v>
      </c>
      <c r="Z137" s="349">
        <f>W137*X137</f>
        <v>794268.20000000007</v>
      </c>
      <c r="AA137" s="118">
        <f>S137*Y137</f>
        <v>0</v>
      </c>
      <c r="AB137" s="407">
        <f t="shared" si="107"/>
        <v>794268.20000000007</v>
      </c>
      <c r="AC137" s="421">
        <f t="shared" si="108"/>
        <v>253000</v>
      </c>
      <c r="AD137" s="118">
        <f t="shared" si="108"/>
        <v>0</v>
      </c>
      <c r="AE137" s="336">
        <f t="shared" si="109"/>
        <v>253000</v>
      </c>
      <c r="AG137" s="265">
        <f>AI137*X137</f>
        <v>253000</v>
      </c>
      <c r="AH137" s="118">
        <f>AI137*Y137</f>
        <v>0</v>
      </c>
      <c r="AI137" s="133">
        <f>253*$AF$4</f>
        <v>253000</v>
      </c>
      <c r="AJ137" s="259"/>
    </row>
    <row r="138" spans="1:36" ht="15.75" thickBot="1" x14ac:dyDescent="0.3">
      <c r="A138" s="331" t="s">
        <v>401</v>
      </c>
      <c r="B138" s="387" t="s">
        <v>457</v>
      </c>
      <c r="C138" s="388"/>
      <c r="D138" s="363"/>
      <c r="E138" s="364"/>
      <c r="F138" s="389"/>
      <c r="G138" s="389"/>
      <c r="H138" s="390">
        <f>F138+G138</f>
        <v>0</v>
      </c>
      <c r="I138" s="389"/>
      <c r="J138" s="389"/>
      <c r="K138" s="389"/>
      <c r="L138" s="389"/>
      <c r="M138" s="234">
        <f>I138+J138+K138+L138</f>
        <v>0</v>
      </c>
      <c r="N138" s="389"/>
      <c r="O138" s="389"/>
      <c r="P138" s="389"/>
      <c r="Q138" s="389"/>
      <c r="R138" s="111">
        <f>N138+O138+P138+Q138</f>
        <v>0</v>
      </c>
      <c r="S138" s="434">
        <v>0</v>
      </c>
      <c r="T138" s="434"/>
      <c r="U138" s="434"/>
      <c r="V138" s="404">
        <f>T138+U138</f>
        <v>0</v>
      </c>
      <c r="W138" s="434">
        <f>+S138+V138</f>
        <v>0</v>
      </c>
      <c r="X138" s="309">
        <v>1</v>
      </c>
      <c r="Y138" s="309">
        <v>0</v>
      </c>
      <c r="Z138" s="380">
        <f>S138*X138</f>
        <v>0</v>
      </c>
      <c r="AA138" s="380">
        <f>S138*Y138</f>
        <v>0</v>
      </c>
      <c r="AB138" s="414">
        <f t="shared" si="107"/>
        <v>0</v>
      </c>
      <c r="AC138" s="425">
        <f t="shared" si="108"/>
        <v>0</v>
      </c>
      <c r="AD138" s="380">
        <f t="shared" si="108"/>
        <v>0</v>
      </c>
      <c r="AE138" s="381">
        <f t="shared" si="109"/>
        <v>0</v>
      </c>
      <c r="AG138" s="262">
        <f>AI138*X138</f>
        <v>1365739.3988439301</v>
      </c>
      <c r="AH138" s="160">
        <f>AI138*Y138</f>
        <v>0</v>
      </c>
      <c r="AI138" s="162">
        <f>1365.73939884393*$AF$4</f>
        <v>1365739.3988439301</v>
      </c>
      <c r="AJ138" s="259"/>
    </row>
    <row r="139" spans="1:36" ht="15.75" thickBot="1" x14ac:dyDescent="0.3">
      <c r="A139" s="386"/>
      <c r="B139" s="353" t="s">
        <v>222</v>
      </c>
      <c r="C139" s="354"/>
      <c r="D139" s="355"/>
      <c r="E139" s="356"/>
      <c r="F139" s="357">
        <f t="shared" ref="F139:H140" si="110">F140</f>
        <v>25000000</v>
      </c>
      <c r="G139" s="357">
        <f t="shared" si="110"/>
        <v>0</v>
      </c>
      <c r="H139" s="357">
        <f t="shared" si="110"/>
        <v>25000000</v>
      </c>
      <c r="I139" s="357">
        <f>I140</f>
        <v>0</v>
      </c>
      <c r="J139" s="357">
        <f t="shared" ref="J139:M140" si="111">J140</f>
        <v>0</v>
      </c>
      <c r="K139" s="357">
        <f t="shared" si="111"/>
        <v>17914050.309999999</v>
      </c>
      <c r="L139" s="357">
        <f t="shared" si="111"/>
        <v>0</v>
      </c>
      <c r="M139" s="357">
        <f t="shared" si="111"/>
        <v>17914050.309999999</v>
      </c>
      <c r="N139" s="357">
        <f>N140</f>
        <v>0</v>
      </c>
      <c r="O139" s="357">
        <f t="shared" ref="O139:W140" si="112">O140</f>
        <v>0</v>
      </c>
      <c r="P139" s="357">
        <f t="shared" si="112"/>
        <v>6237355.4800000004</v>
      </c>
      <c r="Q139" s="357">
        <f t="shared" si="112"/>
        <v>0</v>
      </c>
      <c r="R139" s="357">
        <f t="shared" si="112"/>
        <v>6237355.4800000004</v>
      </c>
      <c r="S139" s="435">
        <f t="shared" si="112"/>
        <v>7085949.6900000013</v>
      </c>
      <c r="T139" s="435">
        <f t="shared" si="112"/>
        <v>0</v>
      </c>
      <c r="U139" s="435">
        <f t="shared" si="112"/>
        <v>0</v>
      </c>
      <c r="V139" s="435">
        <f t="shared" si="112"/>
        <v>0</v>
      </c>
      <c r="W139" s="435">
        <f t="shared" si="112"/>
        <v>7085949.6900000013</v>
      </c>
      <c r="X139" s="391"/>
      <c r="Y139" s="391"/>
      <c r="Z139" s="357"/>
      <c r="AA139" s="357">
        <f>AA140</f>
        <v>7085949.6900000013</v>
      </c>
      <c r="AB139" s="402">
        <f t="shared" si="107"/>
        <v>7085949.6900000013</v>
      </c>
      <c r="AC139" s="357"/>
      <c r="AD139" s="357">
        <f>AD140</f>
        <v>2257103.17</v>
      </c>
      <c r="AE139" s="357">
        <f t="shared" si="109"/>
        <v>2257103.17</v>
      </c>
      <c r="AG139" s="80"/>
      <c r="AH139" s="80">
        <f>AH140</f>
        <v>0</v>
      </c>
      <c r="AI139" s="80">
        <f>AG139+AH139</f>
        <v>0</v>
      </c>
      <c r="AJ139" s="259"/>
    </row>
    <row r="140" spans="1:36" ht="15.75" thickBot="1" x14ac:dyDescent="0.3">
      <c r="A140" s="386"/>
      <c r="B140" s="353" t="s">
        <v>223</v>
      </c>
      <c r="C140" s="392"/>
      <c r="D140" s="355"/>
      <c r="E140" s="356"/>
      <c r="F140" s="361">
        <f t="shared" si="110"/>
        <v>25000000</v>
      </c>
      <c r="G140" s="361">
        <f t="shared" si="110"/>
        <v>0</v>
      </c>
      <c r="H140" s="361">
        <f t="shared" si="110"/>
        <v>25000000</v>
      </c>
      <c r="I140" s="361">
        <f>I141</f>
        <v>0</v>
      </c>
      <c r="J140" s="361">
        <f t="shared" si="111"/>
        <v>0</v>
      </c>
      <c r="K140" s="361">
        <f t="shared" si="111"/>
        <v>17914050.309999999</v>
      </c>
      <c r="L140" s="361">
        <f t="shared" si="111"/>
        <v>0</v>
      </c>
      <c r="M140" s="361">
        <f t="shared" si="111"/>
        <v>17914050.309999999</v>
      </c>
      <c r="N140" s="361">
        <f>N141</f>
        <v>0</v>
      </c>
      <c r="O140" s="361">
        <f t="shared" si="112"/>
        <v>0</v>
      </c>
      <c r="P140" s="361">
        <f t="shared" si="112"/>
        <v>6237355.4800000004</v>
      </c>
      <c r="Q140" s="361">
        <f t="shared" si="112"/>
        <v>0</v>
      </c>
      <c r="R140" s="361">
        <f t="shared" si="112"/>
        <v>6237355.4800000004</v>
      </c>
      <c r="S140" s="436">
        <f t="shared" si="112"/>
        <v>7085949.6900000013</v>
      </c>
      <c r="T140" s="436">
        <f t="shared" si="112"/>
        <v>0</v>
      </c>
      <c r="U140" s="436">
        <f t="shared" si="112"/>
        <v>0</v>
      </c>
      <c r="V140" s="436">
        <f t="shared" si="112"/>
        <v>0</v>
      </c>
      <c r="W140" s="436">
        <f t="shared" si="112"/>
        <v>7085949.6900000013</v>
      </c>
      <c r="X140" s="391"/>
      <c r="Y140" s="391"/>
      <c r="Z140" s="361"/>
      <c r="AA140" s="361">
        <f>AA141</f>
        <v>7085949.6900000013</v>
      </c>
      <c r="AB140" s="403">
        <f t="shared" si="107"/>
        <v>7085949.6900000013</v>
      </c>
      <c r="AC140" s="361"/>
      <c r="AD140" s="361">
        <f>AD141</f>
        <v>2257103.17</v>
      </c>
      <c r="AE140" s="361">
        <f t="shared" si="109"/>
        <v>2257103.17</v>
      </c>
      <c r="AG140" s="79"/>
      <c r="AH140" s="79">
        <f>AH141</f>
        <v>0</v>
      </c>
      <c r="AI140" s="79">
        <f>AG140+AH140</f>
        <v>0</v>
      </c>
      <c r="AJ140" s="259"/>
    </row>
    <row r="141" spans="1:36" ht="39" thickBot="1" x14ac:dyDescent="0.3">
      <c r="A141" s="332" t="s">
        <v>406</v>
      </c>
      <c r="B141" s="781" t="s">
        <v>650</v>
      </c>
      <c r="C141" s="393" t="s">
        <v>17</v>
      </c>
      <c r="D141" s="394"/>
      <c r="E141" s="395" t="s">
        <v>70</v>
      </c>
      <c r="F141" s="390">
        <v>25000000</v>
      </c>
      <c r="G141" s="390"/>
      <c r="H141" s="390">
        <f>F141+G141</f>
        <v>25000000</v>
      </c>
      <c r="I141" s="390"/>
      <c r="J141" s="390"/>
      <c r="K141" s="390">
        <v>17914050.309999999</v>
      </c>
      <c r="L141" s="390"/>
      <c r="M141" s="396">
        <f>I141+J141+K141+L141</f>
        <v>17914050.309999999</v>
      </c>
      <c r="N141" s="397"/>
      <c r="O141" s="397"/>
      <c r="P141" s="398">
        <v>6237355.4800000004</v>
      </c>
      <c r="Q141" s="398"/>
      <c r="R141" s="396">
        <f>N141+O141+P141+Q141</f>
        <v>6237355.4800000004</v>
      </c>
      <c r="S141" s="439">
        <f>H141-M141</f>
        <v>7085949.6900000013</v>
      </c>
      <c r="T141" s="437"/>
      <c r="U141" s="437"/>
      <c r="V141" s="404">
        <f>T141+U141</f>
        <v>0</v>
      </c>
      <c r="W141" s="404">
        <f>+S141+V141</f>
        <v>7085949.6900000013</v>
      </c>
      <c r="X141" s="308"/>
      <c r="Y141" s="308">
        <v>1</v>
      </c>
      <c r="Z141" s="397">
        <f>S141*X141</f>
        <v>0</v>
      </c>
      <c r="AA141" s="397">
        <f>S141*Y141</f>
        <v>7085949.6900000013</v>
      </c>
      <c r="AB141" s="416">
        <f t="shared" si="107"/>
        <v>7085949.6900000013</v>
      </c>
      <c r="AC141" s="427">
        <f>ROUND(Z141/$AF$2,2)</f>
        <v>0</v>
      </c>
      <c r="AD141" s="397">
        <f>ROUND(AA141/$AF$2,2)</f>
        <v>2257103.17</v>
      </c>
      <c r="AE141" s="399">
        <f>AC141+AD141</f>
        <v>2257103.17</v>
      </c>
      <c r="AG141" s="263">
        <f>AI141*X141</f>
        <v>0</v>
      </c>
      <c r="AH141" s="173">
        <f>AI141*Y141</f>
        <v>0</v>
      </c>
      <c r="AI141" s="175"/>
      <c r="AJ141" s="259"/>
    </row>
    <row r="142" spans="1:36" ht="15.75" thickBot="1" x14ac:dyDescent="0.3">
      <c r="A142" s="342"/>
      <c r="B142" s="353" t="s">
        <v>407</v>
      </c>
      <c r="C142" s="354"/>
      <c r="D142" s="355"/>
      <c r="E142" s="356"/>
      <c r="F142" s="357">
        <f>SUM(F143:F144)</f>
        <v>0</v>
      </c>
      <c r="G142" s="357">
        <f>SUM(G143:G144)</f>
        <v>0</v>
      </c>
      <c r="H142" s="357">
        <f>SUM(H143:H144)</f>
        <v>0</v>
      </c>
      <c r="I142" s="357">
        <f t="shared" ref="I142:R142" si="113">SUM(I143:I144)</f>
        <v>0</v>
      </c>
      <c r="J142" s="357">
        <f t="shared" si="113"/>
        <v>0</v>
      </c>
      <c r="K142" s="357">
        <f t="shared" si="113"/>
        <v>0</v>
      </c>
      <c r="L142" s="357">
        <f t="shared" si="113"/>
        <v>0</v>
      </c>
      <c r="M142" s="357">
        <f t="shared" si="113"/>
        <v>0</v>
      </c>
      <c r="N142" s="357">
        <f t="shared" si="113"/>
        <v>0</v>
      </c>
      <c r="O142" s="357">
        <f t="shared" si="113"/>
        <v>0</v>
      </c>
      <c r="P142" s="357">
        <f t="shared" si="113"/>
        <v>0</v>
      </c>
      <c r="Q142" s="357">
        <f t="shared" si="113"/>
        <v>0</v>
      </c>
      <c r="R142" s="357">
        <f t="shared" si="113"/>
        <v>0</v>
      </c>
      <c r="S142" s="435">
        <f>SUM(S143:S144)</f>
        <v>95921227.600000009</v>
      </c>
      <c r="T142" s="435">
        <f>SUM(T143:T144)</f>
        <v>0</v>
      </c>
      <c r="U142" s="435">
        <f>SUM(U143:U144)</f>
        <v>0</v>
      </c>
      <c r="V142" s="435">
        <f>SUM(V143:V144)</f>
        <v>0</v>
      </c>
      <c r="W142" s="435">
        <f>SUM(W143:W144)</f>
        <v>95921227.600000009</v>
      </c>
      <c r="X142" s="391"/>
      <c r="Y142" s="391"/>
      <c r="Z142" s="357">
        <f t="shared" ref="Z142:AE142" si="114">SUM(Z143:Z144)</f>
        <v>36027754.399999969</v>
      </c>
      <c r="AA142" s="357">
        <f t="shared" si="114"/>
        <v>59893473.200000033</v>
      </c>
      <c r="AB142" s="402">
        <f>SUM(AB143:AB144)</f>
        <v>95921227.599999994</v>
      </c>
      <c r="AC142" s="357">
        <f t="shared" si="114"/>
        <v>11476000</v>
      </c>
      <c r="AD142" s="357">
        <f t="shared" si="114"/>
        <v>19078000</v>
      </c>
      <c r="AE142" s="357">
        <f t="shared" si="114"/>
        <v>30554000</v>
      </c>
      <c r="AG142" s="103">
        <f>SUM(AG143:AG144)</f>
        <v>25142826.197820663</v>
      </c>
      <c r="AH142" s="103">
        <f>SUM(AH143:AH144)</f>
        <v>24053935.178919528</v>
      </c>
      <c r="AI142" s="103">
        <f>SUM(AI143:AI144)</f>
        <v>49196761.376740098</v>
      </c>
      <c r="AJ142" s="259"/>
    </row>
    <row r="143" spans="1:36" ht="29.25" customHeight="1" x14ac:dyDescent="0.25">
      <c r="A143" s="331" t="s">
        <v>410</v>
      </c>
      <c r="B143" s="858" t="s">
        <v>408</v>
      </c>
      <c r="C143" s="859"/>
      <c r="D143" s="860"/>
      <c r="E143" s="861"/>
      <c r="F143" s="230"/>
      <c r="G143" s="230"/>
      <c r="H143" s="230">
        <f>+F143+G143</f>
        <v>0</v>
      </c>
      <c r="I143" s="230"/>
      <c r="J143" s="230"/>
      <c r="K143" s="230"/>
      <c r="L143" s="230"/>
      <c r="M143" s="849"/>
      <c r="N143" s="862"/>
      <c r="O143" s="862"/>
      <c r="P143" s="863"/>
      <c r="Q143" s="863"/>
      <c r="R143" s="849"/>
      <c r="S143" s="857">
        <f>AI143*$AF$2</f>
        <v>95921227.600000009</v>
      </c>
      <c r="T143" s="857">
        <f>AJ143*$AF$2</f>
        <v>0</v>
      </c>
      <c r="U143" s="857">
        <f>AK143*$AF$2</f>
        <v>0</v>
      </c>
      <c r="V143" s="816">
        <f>T143+U143</f>
        <v>0</v>
      </c>
      <c r="W143" s="857">
        <f>+S143+V143</f>
        <v>95921227.600000009</v>
      </c>
      <c r="X143" s="864">
        <v>0.37559730313543199</v>
      </c>
      <c r="Y143" s="864">
        <v>0.62440269686456795</v>
      </c>
      <c r="Z143" s="862">
        <f>S143*X143</f>
        <v>36027754.399999969</v>
      </c>
      <c r="AA143" s="862">
        <f>S143*Y143</f>
        <v>59893473.200000033</v>
      </c>
      <c r="AB143" s="816">
        <f>Z143+AA143</f>
        <v>95921227.599999994</v>
      </c>
      <c r="AC143" s="865">
        <f>ROUND(Z143/$AF$2,2)</f>
        <v>11476000</v>
      </c>
      <c r="AD143" s="866">
        <f>ROUND(AA143/$AF$2,2)</f>
        <v>19078000</v>
      </c>
      <c r="AE143" s="867">
        <f>AC143+AD143</f>
        <v>30554000</v>
      </c>
      <c r="AG143" s="261">
        <f>AI143*X143</f>
        <v>11475999.999999989</v>
      </c>
      <c r="AH143" s="240">
        <f>AI143*Y143</f>
        <v>19078000.000000007</v>
      </c>
      <c r="AI143" s="242">
        <f>30554*$AF$4</f>
        <v>30554000</v>
      </c>
      <c r="AJ143" s="259"/>
    </row>
    <row r="144" spans="1:36" ht="15.75" thickBot="1" x14ac:dyDescent="0.3">
      <c r="A144" s="344" t="s">
        <v>411</v>
      </c>
      <c r="B144" s="273" t="s">
        <v>409</v>
      </c>
      <c r="C144" s="313"/>
      <c r="D144" s="135"/>
      <c r="E144" s="136"/>
      <c r="F144" s="137"/>
      <c r="G144" s="137"/>
      <c r="H144" s="137">
        <f>+F144+G144</f>
        <v>0</v>
      </c>
      <c r="I144" s="137"/>
      <c r="J144" s="137"/>
      <c r="K144" s="137"/>
      <c r="L144" s="137"/>
      <c r="M144" s="137"/>
      <c r="N144" s="141"/>
      <c r="O144" s="141"/>
      <c r="P144" s="141"/>
      <c r="Q144" s="141"/>
      <c r="R144" s="140"/>
      <c r="S144" s="434">
        <v>0</v>
      </c>
      <c r="T144" s="434"/>
      <c r="U144" s="434"/>
      <c r="V144" s="416">
        <f>T144+U144</f>
        <v>0</v>
      </c>
      <c r="W144" s="434">
        <f>+S144+V144</f>
        <v>0</v>
      </c>
      <c r="X144" s="139">
        <v>0.73309022851476702</v>
      </c>
      <c r="Y144" s="139">
        <v>0.26690977148523798</v>
      </c>
      <c r="Z144" s="160">
        <f>S144*X144</f>
        <v>0</v>
      </c>
      <c r="AA144" s="160">
        <f>S144*Y144</f>
        <v>0</v>
      </c>
      <c r="AB144" s="417">
        <f>Z144+AA144</f>
        <v>0</v>
      </c>
      <c r="AC144" s="431">
        <f>ROUND(Z144/$AF$2,2)</f>
        <v>0</v>
      </c>
      <c r="AD144" s="432">
        <f>ROUND(AA144/$AF$2,2)</f>
        <v>0</v>
      </c>
      <c r="AE144" s="433">
        <f>AC144+AD144</f>
        <v>0</v>
      </c>
      <c r="AG144" s="262">
        <f>AI144*X144</f>
        <v>13666826.197820675</v>
      </c>
      <c r="AH144" s="160">
        <f>AI144*Y144</f>
        <v>4975935.1789195212</v>
      </c>
      <c r="AI144" s="162">
        <f>18642.7613767401*$AF$4</f>
        <v>18642761.376740102</v>
      </c>
      <c r="AJ144" s="259"/>
    </row>
    <row r="145" spans="1:36" s="2" customFormat="1" ht="20.25" customHeight="1" thickBot="1" x14ac:dyDescent="0.3">
      <c r="A145" s="345"/>
      <c r="B145" s="645" t="s">
        <v>0</v>
      </c>
      <c r="C145" s="646"/>
      <c r="D145" s="646"/>
      <c r="E145" s="647"/>
      <c r="F145" s="346">
        <f t="shared" ref="F145:AE145" si="115">F6+F65+F133+F139+F142</f>
        <v>631549278.47000003</v>
      </c>
      <c r="G145" s="346">
        <f t="shared" si="115"/>
        <v>54284317.489999995</v>
      </c>
      <c r="H145" s="346">
        <f t="shared" si="115"/>
        <v>685833595.96000004</v>
      </c>
      <c r="I145" s="346">
        <f t="shared" si="115"/>
        <v>391580741</v>
      </c>
      <c r="J145" s="346">
        <f t="shared" si="115"/>
        <v>46936963.950000003</v>
      </c>
      <c r="K145" s="346">
        <f t="shared" si="115"/>
        <v>74711974.829999998</v>
      </c>
      <c r="L145" s="346">
        <f t="shared" si="115"/>
        <v>7347353.5399999972</v>
      </c>
      <c r="M145" s="346">
        <f t="shared" si="115"/>
        <v>520577033.32000005</v>
      </c>
      <c r="N145" s="346">
        <f t="shared" si="115"/>
        <v>155855117.38999993</v>
      </c>
      <c r="O145" s="346">
        <f t="shared" si="115"/>
        <v>15616175.969999995</v>
      </c>
      <c r="P145" s="346">
        <f t="shared" si="115"/>
        <v>26866237.260000002</v>
      </c>
      <c r="Q145" s="346">
        <f t="shared" si="115"/>
        <v>2447784.2700000005</v>
      </c>
      <c r="R145" s="428">
        <f t="shared" si="115"/>
        <v>200785314.8899999</v>
      </c>
      <c r="S145" s="757">
        <f t="shared" si="115"/>
        <v>502564491.37927657</v>
      </c>
      <c r="T145" s="757">
        <f t="shared" si="115"/>
        <v>25867197.797555558</v>
      </c>
      <c r="U145" s="757">
        <f t="shared" si="115"/>
        <v>60427987.636053011</v>
      </c>
      <c r="V145" s="757">
        <f t="shared" si="115"/>
        <v>86295185.433608562</v>
      </c>
      <c r="W145" s="757">
        <f t="shared" si="115"/>
        <v>568165094.4333632</v>
      </c>
      <c r="X145" s="346">
        <f t="shared" si="115"/>
        <v>0</v>
      </c>
      <c r="Y145" s="346">
        <f t="shared" si="115"/>
        <v>0</v>
      </c>
      <c r="Z145" s="346">
        <f t="shared" si="115"/>
        <v>340698643.17540413</v>
      </c>
      <c r="AA145" s="346">
        <f t="shared" si="115"/>
        <v>227466451.25795901</v>
      </c>
      <c r="AB145" s="429">
        <f t="shared" si="115"/>
        <v>568165094.43336308</v>
      </c>
      <c r="AC145" s="430">
        <f t="shared" si="115"/>
        <v>108528706.64000002</v>
      </c>
      <c r="AD145" s="430">
        <f t="shared" si="115"/>
        <v>72455389.960000008</v>
      </c>
      <c r="AE145" s="430">
        <f t="shared" si="115"/>
        <v>180984096.59999996</v>
      </c>
      <c r="AF145" s="276"/>
      <c r="AG145" s="260">
        <f>AG6+AG65+AG133+AG139+AG142</f>
        <v>88621057.114693657</v>
      </c>
      <c r="AH145" s="260">
        <f>AH6+AH65+AH133+AH139+AH142</f>
        <v>33598525.428422302</v>
      </c>
      <c r="AI145" s="260">
        <f>AI6+AI65+AI133+AI139+AI142</f>
        <v>122219582.54311585</v>
      </c>
      <c r="AJ145" s="259"/>
    </row>
    <row r="146" spans="1:36" ht="15" customHeight="1" x14ac:dyDescent="0.25">
      <c r="F146" s="27"/>
      <c r="I146" s="36"/>
      <c r="J146" s="36"/>
      <c r="K146" s="36"/>
      <c r="L146" s="36"/>
      <c r="M146" s="36"/>
      <c r="N146" s="297"/>
      <c r="O146" s="2"/>
      <c r="P146" s="2"/>
      <c r="Q146" s="2"/>
      <c r="R146" s="2"/>
      <c r="AB146" s="47"/>
      <c r="AC146" s="641" t="s">
        <v>455</v>
      </c>
      <c r="AD146" s="641"/>
      <c r="AE146" s="641"/>
    </row>
    <row r="147" spans="1:36" ht="15" customHeight="1" x14ac:dyDescent="0.25">
      <c r="F147" s="27"/>
      <c r="I147" s="36"/>
      <c r="J147" s="36"/>
      <c r="K147" s="36"/>
      <c r="L147" s="36"/>
      <c r="M147" s="36"/>
      <c r="N147" s="297"/>
      <c r="O147" s="2"/>
      <c r="P147" s="2"/>
      <c r="Q147" s="2"/>
      <c r="R147" s="2"/>
      <c r="AB147" s="47"/>
      <c r="AC147" s="876"/>
      <c r="AD147" s="876"/>
      <c r="AE147" s="876"/>
    </row>
    <row r="148" spans="1:36" ht="32.25" customHeight="1" x14ac:dyDescent="0.25">
      <c r="G148" s="32"/>
      <c r="I148" s="27"/>
      <c r="J148" s="36"/>
      <c r="K148" s="36"/>
      <c r="L148" s="36"/>
      <c r="M148" s="36"/>
      <c r="N148" s="298"/>
      <c r="O148" s="36"/>
      <c r="P148" s="36"/>
      <c r="Q148" s="36"/>
      <c r="R148" s="36"/>
      <c r="AB148" s="643" t="s">
        <v>672</v>
      </c>
      <c r="AC148" s="643" t="s">
        <v>86</v>
      </c>
      <c r="AD148" s="643" t="s">
        <v>87</v>
      </c>
      <c r="AE148" s="643" t="s">
        <v>92</v>
      </c>
    </row>
    <row r="149" spans="1:36" ht="29.25" customHeight="1" x14ac:dyDescent="0.25">
      <c r="F149" s="27"/>
      <c r="G149" s="27"/>
      <c r="H149" s="27"/>
      <c r="I149" s="36">
        <v>391580741</v>
      </c>
      <c r="J149" s="36">
        <v>46936963.950000003</v>
      </c>
      <c r="K149" s="36">
        <v>74711974.829999998</v>
      </c>
      <c r="L149" s="36">
        <v>7347353.5400000019</v>
      </c>
      <c r="M149" s="36">
        <f>+I149+J149+K149+L149</f>
        <v>520577033.31999999</v>
      </c>
      <c r="N149" s="36">
        <v>155855117.39000037</v>
      </c>
      <c r="O149" s="36">
        <v>15616175.969999995</v>
      </c>
      <c r="P149" s="36">
        <v>26866237.260000028</v>
      </c>
      <c r="Q149" s="36">
        <v>2447784.2699999986</v>
      </c>
      <c r="R149" s="36">
        <f>+N149+O149+P149+Q149</f>
        <v>200785314.8900004</v>
      </c>
      <c r="AB149" s="877" t="s">
        <v>671</v>
      </c>
      <c r="AC149" s="878">
        <v>280000000</v>
      </c>
      <c r="AD149" s="878">
        <v>120000000</v>
      </c>
      <c r="AE149" s="879">
        <f>+AD149+AC149</f>
        <v>400000000</v>
      </c>
      <c r="AF149" s="27"/>
      <c r="AI149" s="27"/>
    </row>
    <row r="150" spans="1:36" ht="29.25" customHeight="1" x14ac:dyDescent="0.25">
      <c r="I150" s="36">
        <f t="shared" ref="I150:R150" si="116">I145-I149</f>
        <v>0</v>
      </c>
      <c r="J150" s="36">
        <f t="shared" si="116"/>
        <v>0</v>
      </c>
      <c r="K150" s="36">
        <f t="shared" si="116"/>
        <v>0</v>
      </c>
      <c r="L150" s="36">
        <f t="shared" si="116"/>
        <v>0</v>
      </c>
      <c r="M150" s="36">
        <f t="shared" si="116"/>
        <v>0</v>
      </c>
      <c r="N150" s="36">
        <f t="shared" si="116"/>
        <v>-4.4703483581542969E-7</v>
      </c>
      <c r="O150" s="36">
        <f t="shared" si="116"/>
        <v>0</v>
      </c>
      <c r="P150" s="36">
        <f t="shared" si="116"/>
        <v>0</v>
      </c>
      <c r="Q150" s="36">
        <f t="shared" si="116"/>
        <v>0</v>
      </c>
      <c r="R150" s="36">
        <f t="shared" si="116"/>
        <v>-5.0663948059082031E-7</v>
      </c>
      <c r="AB150" s="869" t="s">
        <v>669</v>
      </c>
      <c r="AC150" s="870">
        <f>N145+O145</f>
        <v>171471293.35999992</v>
      </c>
      <c r="AD150" s="870">
        <f>+P145+Q145</f>
        <v>29314021.530000001</v>
      </c>
      <c r="AE150" s="871">
        <f>+AC150+AD150</f>
        <v>200785314.88999993</v>
      </c>
    </row>
    <row r="151" spans="1:36" ht="29.25" customHeight="1" x14ac:dyDescent="0.25">
      <c r="I151" s="36"/>
      <c r="J151" s="36"/>
      <c r="K151" s="36"/>
      <c r="L151" s="36"/>
      <c r="M151" s="36"/>
      <c r="N151" s="298"/>
      <c r="O151" s="36"/>
      <c r="P151" s="36"/>
      <c r="Q151" s="36"/>
      <c r="R151" s="36"/>
      <c r="AB151" s="880" t="s">
        <v>670</v>
      </c>
      <c r="AC151" s="872">
        <f>+AC145</f>
        <v>108528706.64000002</v>
      </c>
      <c r="AD151" s="872">
        <f>+AD145</f>
        <v>72455389.960000008</v>
      </c>
      <c r="AE151" s="873">
        <f>+AD151+AC151</f>
        <v>180984096.60000002</v>
      </c>
    </row>
    <row r="152" spans="1:36" ht="29.25" customHeight="1" x14ac:dyDescent="0.25">
      <c r="I152" s="36"/>
      <c r="J152" s="36"/>
      <c r="K152" s="36"/>
      <c r="L152" s="36"/>
      <c r="M152" s="36"/>
      <c r="N152" s="298"/>
      <c r="O152" s="36"/>
      <c r="P152" s="36"/>
      <c r="Q152" s="36"/>
      <c r="R152" s="36"/>
      <c r="AB152" s="880" t="s">
        <v>673</v>
      </c>
      <c r="AC152" s="874">
        <f>+AC150+AC145</f>
        <v>279999999.99999994</v>
      </c>
      <c r="AD152" s="874">
        <f>AD150+AD145</f>
        <v>101769411.49000001</v>
      </c>
      <c r="AE152" s="875">
        <f>AD152+AC152</f>
        <v>381769411.48999995</v>
      </c>
    </row>
    <row r="153" spans="1:36" ht="29.25" customHeight="1" x14ac:dyDescent="0.25">
      <c r="A153" s="290"/>
      <c r="J153" s="36"/>
      <c r="K153" s="36"/>
      <c r="L153" s="36"/>
      <c r="M153" s="36"/>
      <c r="N153" s="298"/>
      <c r="O153" s="36"/>
      <c r="P153" s="36"/>
      <c r="Q153" s="36"/>
      <c r="R153" s="36"/>
      <c r="AB153" s="882" t="s">
        <v>91</v>
      </c>
      <c r="AC153" s="881">
        <f>+AC149-AC152</f>
        <v>0</v>
      </c>
      <c r="AD153" s="883">
        <f>+AD149-AD152</f>
        <v>18230588.50999999</v>
      </c>
      <c r="AE153" s="884">
        <f>+AD153+AC153</f>
        <v>18230588.50999999</v>
      </c>
      <c r="AI153" s="27"/>
    </row>
  </sheetData>
  <customSheetViews>
    <customSheetView guid="{4F748D0E-E050-4B9E-BA26-0A3F6D7B169B}" scale="70" showPageBreaks="1" showGridLines="0" printArea="1" hiddenRows="1" hiddenColumns="1" state="hidden" view="pageBreakPreview">
      <selection activeCell="A42" sqref="A42"/>
      <pageMargins left="0.19685039370078741" right="0.19685039370078741" top="0.27559055118110237" bottom="0.23622047244094491" header="0.15748031496062992" footer="0.15748031496062992"/>
      <pageSetup paperSize="8" scale="55" fitToHeight="4" orientation="portrait" r:id="rId1"/>
    </customSheetView>
    <customSheetView guid="{8679FB5B-1AA7-40E9-8152-505014626217}" scale="70" showPageBreaks="1" showGridLines="0" printArea="1" hiddenRows="1" hiddenColumns="1" state="hidden" view="pageBreakPreview">
      <selection activeCell="A42" sqref="A42"/>
      <pageMargins left="0.19685039370078741" right="0.19685039370078741" top="0.27559055118110237" bottom="0.23622047244094491" header="0.15748031496062992" footer="0.15748031496062992"/>
      <pageSetup paperSize="8" scale="55" fitToHeight="4" orientation="portrait" r:id="rId2"/>
    </customSheetView>
  </customSheetViews>
  <mergeCells count="21">
    <mergeCell ref="A1:AE1"/>
    <mergeCell ref="AJ56:AJ59"/>
    <mergeCell ref="N4:R4"/>
    <mergeCell ref="S4:S5"/>
    <mergeCell ref="V4:V5"/>
    <mergeCell ref="W4:W5"/>
    <mergeCell ref="F3:H3"/>
    <mergeCell ref="A4:A5"/>
    <mergeCell ref="B4:B5"/>
    <mergeCell ref="C4:C5"/>
    <mergeCell ref="D4:D5"/>
    <mergeCell ref="AG4:AI4"/>
    <mergeCell ref="I4:M4"/>
    <mergeCell ref="Z4:AB4"/>
    <mergeCell ref="AC4:AE4"/>
    <mergeCell ref="Y4:Y5"/>
    <mergeCell ref="E4:E5"/>
    <mergeCell ref="F4:F5"/>
    <mergeCell ref="G4:G5"/>
    <mergeCell ref="H4:H5"/>
    <mergeCell ref="X4:X5"/>
  </mergeCells>
  <pageMargins left="0.19685039370078741" right="0.19685039370078741" top="0.27559055118110237" bottom="0.23622047244094491" header="0.15748031496062992" footer="0.15748031496062992"/>
  <pageSetup paperSize="8" scale="55" fitToHeight="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sqref="A1:L1"/>
    </sheetView>
  </sheetViews>
  <sheetFormatPr defaultRowHeight="15" x14ac:dyDescent="0.25"/>
  <cols>
    <col min="1" max="1" width="10" customWidth="1"/>
    <col min="2" max="2" width="10.28515625" customWidth="1"/>
    <col min="3" max="3" width="30.42578125" style="290" customWidth="1"/>
    <col min="4" max="4" width="6.28515625" style="640" customWidth="1"/>
    <col min="5" max="5" width="10" customWidth="1"/>
    <col min="6" max="6" width="12.42578125" customWidth="1"/>
    <col min="7" max="7" width="13.85546875" style="30" bestFit="1" customWidth="1"/>
    <col min="8" max="8" width="12.85546875" bestFit="1" customWidth="1"/>
    <col min="9" max="9" width="12.28515625" customWidth="1"/>
    <col min="10" max="10" width="12.85546875" bestFit="1" customWidth="1"/>
    <col min="11" max="11" width="8.85546875" style="30" customWidth="1"/>
    <col min="12" max="12" width="31.42578125" customWidth="1"/>
    <col min="13" max="13" width="39" customWidth="1"/>
    <col min="14" max="15" width="9"/>
  </cols>
  <sheetData>
    <row r="1" spans="1:18" ht="41.25" customHeight="1" x14ac:dyDescent="0.25">
      <c r="A1" s="1737" t="s">
        <v>531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258">
        <v>3.7</v>
      </c>
      <c r="N1" s="258"/>
      <c r="O1" s="258"/>
      <c r="P1" s="258"/>
      <c r="Q1" s="258"/>
    </row>
    <row r="2" spans="1:18" ht="24" customHeight="1" thickBot="1" x14ac:dyDescent="0.3">
      <c r="A2" s="608" t="s">
        <v>465</v>
      </c>
      <c r="B2" s="608" t="s">
        <v>466</v>
      </c>
      <c r="C2" s="608" t="s">
        <v>467</v>
      </c>
      <c r="D2" s="608" t="s">
        <v>468</v>
      </c>
      <c r="E2" s="608" t="s">
        <v>469</v>
      </c>
      <c r="F2" s="608" t="s">
        <v>470</v>
      </c>
      <c r="G2" s="608" t="s">
        <v>471</v>
      </c>
      <c r="H2" s="608" t="s">
        <v>472</v>
      </c>
      <c r="I2" s="608" t="s">
        <v>473</v>
      </c>
      <c r="J2" s="608" t="s">
        <v>474</v>
      </c>
      <c r="K2" s="608" t="s">
        <v>475</v>
      </c>
      <c r="L2" s="258"/>
      <c r="M2" s="258"/>
      <c r="N2" s="258"/>
      <c r="O2" s="258"/>
      <c r="P2" s="258"/>
      <c r="Q2" s="258"/>
      <c r="R2" s="258"/>
    </row>
    <row r="3" spans="1:18" ht="29.25" customHeight="1" x14ac:dyDescent="0.25">
      <c r="A3" s="1730" t="s">
        <v>476</v>
      </c>
      <c r="B3" s="1730" t="s">
        <v>477</v>
      </c>
      <c r="C3" s="1732" t="s">
        <v>532</v>
      </c>
      <c r="D3" s="1730" t="s">
        <v>480</v>
      </c>
      <c r="E3" s="1730" t="s">
        <v>481</v>
      </c>
      <c r="F3" s="1730" t="s">
        <v>533</v>
      </c>
      <c r="G3" s="1730" t="s">
        <v>518</v>
      </c>
      <c r="H3" s="1730" t="s">
        <v>534</v>
      </c>
      <c r="I3" s="1730" t="s">
        <v>535</v>
      </c>
      <c r="J3" s="1730" t="s">
        <v>486</v>
      </c>
      <c r="K3" s="1735" t="s">
        <v>487</v>
      </c>
      <c r="L3" s="1738" t="s">
        <v>488</v>
      </c>
      <c r="M3" s="258"/>
      <c r="N3" s="258"/>
      <c r="O3" s="258"/>
      <c r="P3" s="258"/>
    </row>
    <row r="4" spans="1:18" ht="24.75" customHeight="1" thickBot="1" x14ac:dyDescent="0.3">
      <c r="A4" s="1731"/>
      <c r="B4" s="1731"/>
      <c r="C4" s="1733"/>
      <c r="D4" s="1734"/>
      <c r="E4" s="1734"/>
      <c r="F4" s="1734"/>
      <c r="G4" s="1734"/>
      <c r="H4" s="1734"/>
      <c r="I4" s="1734"/>
      <c r="J4" s="1734"/>
      <c r="K4" s="1736"/>
      <c r="L4" s="1738"/>
      <c r="M4" s="258"/>
      <c r="N4" s="258"/>
      <c r="O4" s="258"/>
      <c r="P4" s="258"/>
    </row>
    <row r="5" spans="1:18" s="2" customFormat="1" ht="19.5" customHeight="1" x14ac:dyDescent="0.25">
      <c r="A5" s="1739" t="s">
        <v>536</v>
      </c>
      <c r="B5" s="1740"/>
      <c r="C5" s="1740"/>
      <c r="D5" s="1740"/>
      <c r="E5" s="1740"/>
      <c r="F5" s="1740"/>
      <c r="G5" s="1740"/>
      <c r="H5" s="1740"/>
      <c r="I5" s="1740"/>
      <c r="J5" s="1740"/>
      <c r="K5" s="1740"/>
      <c r="L5" s="609"/>
      <c r="M5" s="276"/>
      <c r="N5" s="276"/>
      <c r="O5" s="276"/>
    </row>
    <row r="6" spans="1:18" s="2" customFormat="1" ht="15.75" x14ac:dyDescent="0.25">
      <c r="A6" s="610" t="s">
        <v>489</v>
      </c>
      <c r="B6" s="611" t="s">
        <v>537</v>
      </c>
      <c r="C6" s="612" t="s">
        <v>538</v>
      </c>
      <c r="D6" s="613" t="s">
        <v>493</v>
      </c>
      <c r="E6" s="614">
        <v>752</v>
      </c>
      <c r="F6" s="614">
        <v>752</v>
      </c>
      <c r="G6" s="615">
        <v>20611029.337126806</v>
      </c>
      <c r="H6" s="616">
        <v>14072765.08</v>
      </c>
      <c r="I6" s="614">
        <f>G6/E6</f>
        <v>27408.283692987774</v>
      </c>
      <c r="J6" s="614">
        <f>H6/F6</f>
        <v>18713.78335106383</v>
      </c>
      <c r="K6" s="490">
        <f>(J6-I6)/I6</f>
        <v>-0.31722162683788818</v>
      </c>
      <c r="L6" s="617"/>
      <c r="M6" s="276"/>
      <c r="N6" s="276"/>
      <c r="O6" s="276"/>
      <c r="P6" s="276"/>
    </row>
    <row r="7" spans="1:18" s="2" customFormat="1" ht="45" x14ac:dyDescent="0.25">
      <c r="A7" s="610" t="s">
        <v>539</v>
      </c>
      <c r="B7" s="611" t="s">
        <v>540</v>
      </c>
      <c r="C7" s="612" t="s">
        <v>541</v>
      </c>
      <c r="D7" s="613" t="s">
        <v>493</v>
      </c>
      <c r="E7" s="614">
        <v>626.64</v>
      </c>
      <c r="F7" s="614">
        <v>1138.27</v>
      </c>
      <c r="G7" s="615">
        <v>6711866.0359036</v>
      </c>
      <c r="H7" s="616">
        <v>1441494.8299999996</v>
      </c>
      <c r="I7" s="614">
        <f t="shared" ref="I7:J13" si="0">G7/E7</f>
        <v>10710.880307518832</v>
      </c>
      <c r="J7" s="614">
        <f t="shared" si="0"/>
        <v>1266.390952937352</v>
      </c>
      <c r="K7" s="490">
        <f t="shared" ref="K7:K12" si="1">(J7-I7)/I7</f>
        <v>-0.88176593178355567</v>
      </c>
      <c r="L7" s="617" t="s">
        <v>542</v>
      </c>
      <c r="M7" s="276"/>
      <c r="N7" s="276"/>
      <c r="O7" s="276"/>
      <c r="P7" s="276"/>
    </row>
    <row r="8" spans="1:18" s="2" customFormat="1" ht="45" x14ac:dyDescent="0.25">
      <c r="A8" s="610" t="s">
        <v>494</v>
      </c>
      <c r="B8" s="611" t="s">
        <v>543</v>
      </c>
      <c r="C8" s="612" t="s">
        <v>544</v>
      </c>
      <c r="D8" s="613" t="s">
        <v>493</v>
      </c>
      <c r="E8" s="614">
        <v>2035.5</v>
      </c>
      <c r="F8" s="614">
        <v>2035.5</v>
      </c>
      <c r="G8" s="615">
        <v>37469004.144800805</v>
      </c>
      <c r="H8" s="616">
        <v>18248937.609999999</v>
      </c>
      <c r="I8" s="614">
        <f t="shared" si="0"/>
        <v>18407.764256841467</v>
      </c>
      <c r="J8" s="614">
        <f t="shared" si="0"/>
        <v>8965.3341242937859</v>
      </c>
      <c r="K8" s="490">
        <f t="shared" si="1"/>
        <v>-0.51295909708525778</v>
      </c>
      <c r="L8" s="617" t="s">
        <v>545</v>
      </c>
      <c r="M8" s="276"/>
      <c r="N8" s="276"/>
      <c r="O8" s="276"/>
      <c r="P8" s="276"/>
    </row>
    <row r="9" spans="1:18" s="2" customFormat="1" ht="45" x14ac:dyDescent="0.25">
      <c r="A9" s="1724" t="s">
        <v>504</v>
      </c>
      <c r="B9" s="611" t="s">
        <v>546</v>
      </c>
      <c r="C9" s="612" t="s">
        <v>547</v>
      </c>
      <c r="D9" s="613" t="s">
        <v>493</v>
      </c>
      <c r="E9" s="614">
        <v>752</v>
      </c>
      <c r="F9" s="614">
        <v>752</v>
      </c>
      <c r="G9" s="615">
        <v>4861902.3621476013</v>
      </c>
      <c r="H9" s="616">
        <v>2865428.4499999997</v>
      </c>
      <c r="I9" s="614">
        <f t="shared" si="0"/>
        <v>6465.2956943452145</v>
      </c>
      <c r="J9" s="614">
        <f t="shared" si="0"/>
        <v>3810.4101728723399</v>
      </c>
      <c r="K9" s="490">
        <f t="shared" si="1"/>
        <v>-0.41063636482936661</v>
      </c>
      <c r="L9" s="617" t="s">
        <v>548</v>
      </c>
      <c r="M9" s="276"/>
      <c r="N9" s="276"/>
      <c r="O9" s="276"/>
      <c r="P9" s="276"/>
    </row>
    <row r="10" spans="1:18" s="2" customFormat="1" ht="30" x14ac:dyDescent="0.25">
      <c r="A10" s="1724"/>
      <c r="B10" s="611"/>
      <c r="C10" s="612" t="s">
        <v>549</v>
      </c>
      <c r="D10" s="613" t="s">
        <v>550</v>
      </c>
      <c r="E10" s="618">
        <v>1</v>
      </c>
      <c r="F10" s="618"/>
      <c r="G10" s="615">
        <v>11110584.027184401</v>
      </c>
      <c r="H10" s="616"/>
      <c r="I10" s="614">
        <f t="shared" si="0"/>
        <v>11110584.027184401</v>
      </c>
      <c r="J10" s="614"/>
      <c r="K10" s="490"/>
      <c r="L10" s="617" t="s">
        <v>551</v>
      </c>
      <c r="M10" s="276"/>
      <c r="N10" s="276"/>
      <c r="O10" s="276"/>
      <c r="P10" s="276"/>
    </row>
    <row r="11" spans="1:18" s="2" customFormat="1" ht="64.5" customHeight="1" x14ac:dyDescent="0.25">
      <c r="A11" s="1724"/>
      <c r="B11" s="611"/>
      <c r="C11" s="612" t="s">
        <v>552</v>
      </c>
      <c r="D11" s="613" t="s">
        <v>493</v>
      </c>
      <c r="E11" s="614">
        <v>21572.75</v>
      </c>
      <c r="F11" s="614">
        <v>827.55</v>
      </c>
      <c r="G11" s="615">
        <v>15814794.749569202</v>
      </c>
      <c r="H11" s="616">
        <v>502128.45</v>
      </c>
      <c r="I11" s="614">
        <f t="shared" si="0"/>
        <v>733.0912725345263</v>
      </c>
      <c r="J11" s="614">
        <f t="shared" si="0"/>
        <v>606.76508972267538</v>
      </c>
      <c r="K11" s="490">
        <f t="shared" si="1"/>
        <v>-0.17231985640082947</v>
      </c>
      <c r="L11" s="617" t="s">
        <v>553</v>
      </c>
      <c r="M11" s="276"/>
      <c r="N11" s="276"/>
      <c r="O11" s="276"/>
      <c r="P11" s="276"/>
    </row>
    <row r="12" spans="1:18" ht="87.75" customHeight="1" x14ac:dyDescent="0.25">
      <c r="A12" s="610"/>
      <c r="B12" s="619"/>
      <c r="C12" s="612" t="s">
        <v>554</v>
      </c>
      <c r="D12" s="613" t="s">
        <v>555</v>
      </c>
      <c r="E12" s="614">
        <v>132284.856</v>
      </c>
      <c r="F12" s="614">
        <v>115342.22</v>
      </c>
      <c r="G12" s="615">
        <v>11928098.949863343</v>
      </c>
      <c r="H12" s="616">
        <v>7775016.5399999982</v>
      </c>
      <c r="I12" s="614">
        <f t="shared" si="0"/>
        <v>90.169799556370549</v>
      </c>
      <c r="J12" s="614">
        <f t="shared" si="0"/>
        <v>67.408244266496681</v>
      </c>
      <c r="K12" s="490">
        <f t="shared" si="1"/>
        <v>-0.2524299200160055</v>
      </c>
      <c r="L12" s="617" t="s">
        <v>556</v>
      </c>
      <c r="M12" s="620"/>
      <c r="N12" s="258"/>
      <c r="O12" s="258"/>
      <c r="P12" s="258"/>
    </row>
    <row r="13" spans="1:18" ht="24.75" customHeight="1" thickBot="1" x14ac:dyDescent="0.3">
      <c r="A13" s="621"/>
      <c r="B13" s="622"/>
      <c r="C13" s="623" t="s">
        <v>557</v>
      </c>
      <c r="D13" s="624" t="s">
        <v>550</v>
      </c>
      <c r="E13" s="625">
        <v>1</v>
      </c>
      <c r="F13" s="625"/>
      <c r="G13" s="626">
        <v>2876819.3971968</v>
      </c>
      <c r="H13" s="627"/>
      <c r="I13" s="614">
        <f t="shared" si="0"/>
        <v>2876819.3971968</v>
      </c>
      <c r="J13" s="614"/>
      <c r="K13" s="490"/>
      <c r="L13" s="617" t="s">
        <v>558</v>
      </c>
      <c r="M13" s="258">
        <v>3.7</v>
      </c>
      <c r="N13" s="258"/>
      <c r="O13" s="258"/>
      <c r="P13" s="258"/>
    </row>
    <row r="14" spans="1:18" s="633" customFormat="1" ht="22.5" customHeight="1" thickBot="1" x14ac:dyDescent="0.3">
      <c r="A14" s="1741" t="s">
        <v>559</v>
      </c>
      <c r="B14" s="1742"/>
      <c r="C14" s="1742"/>
      <c r="D14" s="1742"/>
      <c r="E14" s="1742"/>
      <c r="F14" s="628"/>
      <c r="G14" s="629">
        <f>SUM(G6:G13)</f>
        <v>111384099.00379255</v>
      </c>
      <c r="H14" s="629">
        <f>SUM(H6:H13)</f>
        <v>44905770.960000001</v>
      </c>
      <c r="I14" s="629"/>
      <c r="J14" s="628"/>
      <c r="K14" s="630"/>
      <c r="L14" s="631"/>
      <c r="M14" s="632"/>
      <c r="N14" s="632"/>
      <c r="O14" s="632"/>
      <c r="P14" s="632"/>
    </row>
    <row r="15" spans="1:18" s="635" customFormat="1" ht="40.5" customHeight="1" x14ac:dyDescent="0.2">
      <c r="A15" s="523" t="s">
        <v>511</v>
      </c>
      <c r="B15" s="524"/>
      <c r="C15" s="525"/>
      <c r="D15" s="526"/>
      <c r="E15" s="524"/>
      <c r="F15" s="527" t="s">
        <v>512</v>
      </c>
      <c r="G15" s="634"/>
      <c r="H15" s="524"/>
      <c r="I15" s="524"/>
      <c r="J15" s="524"/>
      <c r="K15" s="634"/>
      <c r="L15" s="524"/>
      <c r="M15" s="524"/>
      <c r="N15" s="524"/>
      <c r="O15" s="524"/>
      <c r="P15" s="524"/>
      <c r="Q15" s="524"/>
      <c r="R15" s="524"/>
    </row>
    <row r="16" spans="1:18" ht="40.5" customHeight="1" x14ac:dyDescent="0.25">
      <c r="A16" s="636"/>
      <c r="B16" s="258"/>
      <c r="C16" s="289"/>
      <c r="D16" s="637"/>
      <c r="E16" s="258"/>
      <c r="F16" s="638"/>
      <c r="G16" s="639"/>
      <c r="H16" s="258"/>
      <c r="I16" s="258"/>
      <c r="J16" s="258"/>
      <c r="K16" s="639"/>
      <c r="L16" s="258"/>
      <c r="M16" s="258"/>
      <c r="N16" s="258"/>
      <c r="O16" s="258"/>
      <c r="P16" s="258"/>
      <c r="Q16" s="258"/>
      <c r="R16" s="258"/>
    </row>
    <row r="17" spans="1:18" ht="41.25" customHeight="1" x14ac:dyDescent="0.25">
      <c r="A17" s="1729" t="s">
        <v>560</v>
      </c>
      <c r="B17" s="1729"/>
      <c r="C17" s="1729"/>
      <c r="D17" s="1729"/>
      <c r="E17" s="1729"/>
      <c r="F17" s="1729"/>
      <c r="G17" s="1729"/>
      <c r="H17" s="1729"/>
      <c r="I17" s="1729"/>
      <c r="J17" s="1729"/>
      <c r="K17" s="1729"/>
      <c r="L17" s="1729"/>
      <c r="M17" s="533"/>
      <c r="N17" s="258"/>
      <c r="O17" s="258"/>
      <c r="P17" s="258"/>
      <c r="Q17" s="258"/>
    </row>
    <row r="18" spans="1:18" ht="15.75" thickBot="1" x14ac:dyDescent="0.3">
      <c r="A18" s="258"/>
      <c r="B18" s="258"/>
      <c r="C18" s="289"/>
      <c r="D18" s="637"/>
      <c r="E18" s="258"/>
      <c r="F18" s="258"/>
      <c r="G18" s="639"/>
      <c r="H18" s="258"/>
      <c r="I18" s="258"/>
      <c r="J18" s="258"/>
      <c r="K18" s="639"/>
      <c r="L18" s="634" t="s">
        <v>561</v>
      </c>
    </row>
    <row r="19" spans="1:18" ht="29.25" customHeight="1" x14ac:dyDescent="0.25">
      <c r="A19" s="1730" t="s">
        <v>476</v>
      </c>
      <c r="B19" s="1730" t="s">
        <v>477</v>
      </c>
      <c r="C19" s="1732" t="s">
        <v>532</v>
      </c>
      <c r="D19" s="1730" t="s">
        <v>480</v>
      </c>
      <c r="E19" s="1730" t="s">
        <v>481</v>
      </c>
      <c r="F19" s="1730" t="s">
        <v>533</v>
      </c>
      <c r="G19" s="1730" t="s">
        <v>518</v>
      </c>
      <c r="H19" s="1730" t="s">
        <v>534</v>
      </c>
      <c r="I19" s="1730" t="s">
        <v>535</v>
      </c>
      <c r="J19" s="1730" t="s">
        <v>486</v>
      </c>
      <c r="K19" s="1735" t="s">
        <v>487</v>
      </c>
      <c r="L19" s="1738" t="s">
        <v>488</v>
      </c>
      <c r="M19" s="258"/>
      <c r="N19" s="258"/>
      <c r="O19" s="258"/>
      <c r="P19" s="258"/>
    </row>
    <row r="20" spans="1:18" ht="24.75" customHeight="1" thickBot="1" x14ac:dyDescent="0.3">
      <c r="A20" s="1731"/>
      <c r="B20" s="1731"/>
      <c r="C20" s="1733"/>
      <c r="D20" s="1734"/>
      <c r="E20" s="1734"/>
      <c r="F20" s="1734"/>
      <c r="G20" s="1734"/>
      <c r="H20" s="1734"/>
      <c r="I20" s="1734"/>
      <c r="J20" s="1734"/>
      <c r="K20" s="1736"/>
      <c r="L20" s="1738"/>
      <c r="M20" s="258"/>
      <c r="N20" s="258"/>
      <c r="O20" s="258"/>
      <c r="P20" s="258"/>
    </row>
    <row r="21" spans="1:18" x14ac:dyDescent="0.25">
      <c r="A21" s="1739" t="s">
        <v>536</v>
      </c>
      <c r="B21" s="1740"/>
      <c r="C21" s="1740"/>
      <c r="D21" s="1740"/>
      <c r="E21" s="1740"/>
      <c r="F21" s="1740"/>
      <c r="G21" s="1740"/>
      <c r="H21" s="1740"/>
      <c r="I21" s="1740"/>
      <c r="J21" s="1740"/>
      <c r="K21" s="1740"/>
      <c r="L21" s="609"/>
      <c r="M21" s="258"/>
      <c r="N21" s="258"/>
      <c r="O21" s="258"/>
      <c r="P21" s="258"/>
      <c r="Q21" s="258"/>
      <c r="R21" s="258"/>
    </row>
    <row r="22" spans="1:18" ht="15.75" x14ac:dyDescent="0.25">
      <c r="A22" s="610" t="s">
        <v>489</v>
      </c>
      <c r="B22" s="611" t="s">
        <v>537</v>
      </c>
      <c r="C22" s="612" t="s">
        <v>538</v>
      </c>
      <c r="D22" s="613" t="s">
        <v>493</v>
      </c>
      <c r="E22" s="614">
        <v>752</v>
      </c>
      <c r="F22" s="614">
        <v>752</v>
      </c>
      <c r="G22" s="615">
        <f>G6/$M$1</f>
        <v>5570548.4694937309</v>
      </c>
      <c r="H22" s="615">
        <f>H6/$M$1</f>
        <v>3803450.0216216217</v>
      </c>
      <c r="I22" s="614">
        <f>G22/E22</f>
        <v>7407.6442413480463</v>
      </c>
      <c r="J22" s="614">
        <f>H22/F22</f>
        <v>5057.7792840713055</v>
      </c>
      <c r="K22" s="490">
        <f>(J22-I22)/I22</f>
        <v>-0.31722162683788813</v>
      </c>
      <c r="L22" s="617"/>
      <c r="M22" s="258"/>
      <c r="N22" s="258"/>
      <c r="O22" s="258"/>
      <c r="P22" s="258"/>
      <c r="Q22" s="258"/>
      <c r="R22" s="258"/>
    </row>
    <row r="23" spans="1:18" ht="45" x14ac:dyDescent="0.25">
      <c r="A23" s="610" t="s">
        <v>539</v>
      </c>
      <c r="B23" s="611" t="s">
        <v>540</v>
      </c>
      <c r="C23" s="612" t="s">
        <v>541</v>
      </c>
      <c r="D23" s="613" t="s">
        <v>493</v>
      </c>
      <c r="E23" s="614">
        <v>626.64</v>
      </c>
      <c r="F23" s="614">
        <v>1138.27</v>
      </c>
      <c r="G23" s="615">
        <f t="shared" ref="G23:H28" si="2">G7/$M$1</f>
        <v>1814017.8475415134</v>
      </c>
      <c r="H23" s="615">
        <f t="shared" si="2"/>
        <v>389593.19729729719</v>
      </c>
      <c r="I23" s="614">
        <f t="shared" ref="I23:J29" si="3">G23/E23</f>
        <v>2894.8325155456296</v>
      </c>
      <c r="J23" s="614">
        <f t="shared" si="3"/>
        <v>342.26782511820323</v>
      </c>
      <c r="K23" s="490">
        <f>(J23-I23)/I23</f>
        <v>-0.88176593178355556</v>
      </c>
      <c r="L23" s="617" t="s">
        <v>542</v>
      </c>
      <c r="M23" s="258"/>
      <c r="N23" s="258"/>
      <c r="O23" s="258"/>
      <c r="P23" s="258"/>
      <c r="Q23" s="258"/>
      <c r="R23" s="258"/>
    </row>
    <row r="24" spans="1:18" ht="45" x14ac:dyDescent="0.25">
      <c r="A24" s="610" t="s">
        <v>494</v>
      </c>
      <c r="B24" s="611" t="s">
        <v>543</v>
      </c>
      <c r="C24" s="612" t="s">
        <v>544</v>
      </c>
      <c r="D24" s="613" t="s">
        <v>493</v>
      </c>
      <c r="E24" s="614">
        <v>2035.5</v>
      </c>
      <c r="F24" s="614">
        <v>2035.5</v>
      </c>
      <c r="G24" s="615">
        <f t="shared" si="2"/>
        <v>10126757.876973189</v>
      </c>
      <c r="H24" s="615">
        <f t="shared" si="2"/>
        <v>4932145.3</v>
      </c>
      <c r="I24" s="614">
        <f t="shared" si="3"/>
        <v>4975.071420767963</v>
      </c>
      <c r="J24" s="614">
        <f t="shared" si="3"/>
        <v>2423.0632768361579</v>
      </c>
      <c r="K24" s="490">
        <f>(J24-I24)/I24</f>
        <v>-0.51295909708525778</v>
      </c>
      <c r="L24" s="617" t="s">
        <v>545</v>
      </c>
      <c r="M24" s="258"/>
      <c r="N24" s="258"/>
      <c r="O24" s="258"/>
      <c r="P24" s="258"/>
      <c r="Q24" s="258"/>
      <c r="R24" s="258"/>
    </row>
    <row r="25" spans="1:18" ht="45" x14ac:dyDescent="0.25">
      <c r="A25" s="1724" t="s">
        <v>504</v>
      </c>
      <c r="B25" s="611" t="s">
        <v>546</v>
      </c>
      <c r="C25" s="612" t="s">
        <v>547</v>
      </c>
      <c r="D25" s="613" t="s">
        <v>493</v>
      </c>
      <c r="E25" s="614">
        <v>752</v>
      </c>
      <c r="F25" s="614">
        <v>752</v>
      </c>
      <c r="G25" s="615">
        <f t="shared" si="2"/>
        <v>1314027.6654452975</v>
      </c>
      <c r="H25" s="615">
        <f t="shared" si="2"/>
        <v>774440.12162162154</v>
      </c>
      <c r="I25" s="614">
        <f t="shared" si="3"/>
        <v>1747.3772146878955</v>
      </c>
      <c r="J25" s="614">
        <f t="shared" si="3"/>
        <v>1029.8405872627945</v>
      </c>
      <c r="K25" s="490">
        <f>(J25-I25)/I25</f>
        <v>-0.4106363648293665</v>
      </c>
      <c r="L25" s="617" t="s">
        <v>548</v>
      </c>
      <c r="M25" s="258"/>
      <c r="N25" s="258"/>
      <c r="O25" s="258"/>
      <c r="P25" s="258"/>
      <c r="Q25" s="258"/>
      <c r="R25" s="258"/>
    </row>
    <row r="26" spans="1:18" ht="30" x14ac:dyDescent="0.25">
      <c r="A26" s="1724"/>
      <c r="B26" s="611"/>
      <c r="C26" s="612" t="s">
        <v>562</v>
      </c>
      <c r="D26" s="613" t="s">
        <v>550</v>
      </c>
      <c r="E26" s="618">
        <v>1</v>
      </c>
      <c r="F26" s="618"/>
      <c r="G26" s="615">
        <f t="shared" si="2"/>
        <v>3002860.5478876759</v>
      </c>
      <c r="H26" s="615">
        <f t="shared" si="2"/>
        <v>0</v>
      </c>
      <c r="I26" s="614">
        <f t="shared" si="3"/>
        <v>3002860.5478876759</v>
      </c>
      <c r="J26" s="614"/>
      <c r="K26" s="490"/>
      <c r="L26" s="617" t="s">
        <v>551</v>
      </c>
      <c r="M26" s="258"/>
      <c r="N26" s="258"/>
      <c r="O26" s="258"/>
      <c r="P26" s="258"/>
      <c r="Q26" s="258"/>
      <c r="R26" s="258"/>
    </row>
    <row r="27" spans="1:18" ht="75" x14ac:dyDescent="0.25">
      <c r="A27" s="1724"/>
      <c r="B27" s="611"/>
      <c r="C27" s="612" t="s">
        <v>552</v>
      </c>
      <c r="D27" s="613" t="s">
        <v>493</v>
      </c>
      <c r="E27" s="614">
        <v>21572.75</v>
      </c>
      <c r="F27" s="614">
        <v>827.55</v>
      </c>
      <c r="G27" s="615">
        <f t="shared" si="2"/>
        <v>4274268.8512349194</v>
      </c>
      <c r="H27" s="615">
        <f t="shared" si="2"/>
        <v>135710.39189189189</v>
      </c>
      <c r="I27" s="614">
        <f t="shared" si="3"/>
        <v>198.13277636068278</v>
      </c>
      <c r="J27" s="614">
        <f t="shared" si="3"/>
        <v>163.99056478991227</v>
      </c>
      <c r="K27" s="490">
        <f>(J27-I27)/I27</f>
        <v>-0.17231985640082945</v>
      </c>
      <c r="L27" s="617" t="s">
        <v>553</v>
      </c>
      <c r="M27" s="258"/>
      <c r="N27" s="258"/>
      <c r="O27" s="258"/>
      <c r="P27" s="258"/>
      <c r="Q27" s="258"/>
      <c r="R27" s="258"/>
    </row>
    <row r="28" spans="1:18" ht="90" x14ac:dyDescent="0.25">
      <c r="A28" s="610"/>
      <c r="B28" s="619"/>
      <c r="C28" s="612" t="s">
        <v>554</v>
      </c>
      <c r="D28" s="613" t="s">
        <v>555</v>
      </c>
      <c r="E28" s="614">
        <v>132284.856</v>
      </c>
      <c r="F28" s="614">
        <v>115342.22</v>
      </c>
      <c r="G28" s="615">
        <f t="shared" si="2"/>
        <v>3223810.5269900924</v>
      </c>
      <c r="H28" s="615">
        <f t="shared" si="2"/>
        <v>2101355.821621621</v>
      </c>
      <c r="I28" s="614">
        <f t="shared" si="3"/>
        <v>24.370216096316366</v>
      </c>
      <c r="J28" s="614">
        <f t="shared" si="3"/>
        <v>18.218444396350453</v>
      </c>
      <c r="K28" s="490">
        <f>(J28-I28)/I28</f>
        <v>-0.25242992001600562</v>
      </c>
      <c r="L28" s="617" t="s">
        <v>556</v>
      </c>
      <c r="M28" s="258"/>
      <c r="N28" s="258"/>
      <c r="O28" s="258"/>
      <c r="P28" s="258"/>
      <c r="Q28" s="258"/>
      <c r="R28" s="258"/>
    </row>
    <row r="29" spans="1:18" ht="15.75" thickBot="1" x14ac:dyDescent="0.3">
      <c r="A29" s="621"/>
      <c r="B29" s="622"/>
      <c r="C29" s="623" t="s">
        <v>557</v>
      </c>
      <c r="D29" s="624" t="s">
        <v>550</v>
      </c>
      <c r="E29" s="625">
        <v>1</v>
      </c>
      <c r="F29" s="625"/>
      <c r="G29" s="615">
        <f>G13/$M$1</f>
        <v>777518.75599913509</v>
      </c>
      <c r="H29" s="615">
        <f>H13/$M$1</f>
        <v>0</v>
      </c>
      <c r="I29" s="614">
        <f t="shared" si="3"/>
        <v>777518.75599913509</v>
      </c>
      <c r="J29" s="614"/>
      <c r="K29" s="490"/>
      <c r="L29" s="617" t="s">
        <v>558</v>
      </c>
      <c r="M29" s="258"/>
      <c r="N29" s="258"/>
      <c r="O29" s="258"/>
      <c r="P29" s="258"/>
      <c r="Q29" s="258"/>
      <c r="R29" s="258"/>
    </row>
    <row r="30" spans="1:18" s="633" customFormat="1" ht="15.75" thickBot="1" x14ac:dyDescent="0.3">
      <c r="A30" s="1725" t="s">
        <v>559</v>
      </c>
      <c r="B30" s="1726"/>
      <c r="C30" s="1726"/>
      <c r="D30" s="1726"/>
      <c r="E30" s="1726"/>
      <c r="F30" s="1727"/>
      <c r="G30" s="629">
        <f>SUM(G22:G29)</f>
        <v>30103810.541565556</v>
      </c>
      <c r="H30" s="629">
        <f>SUM(H22:H29)</f>
        <v>12136694.854054052</v>
      </c>
      <c r="I30" s="1728"/>
      <c r="J30" s="1726"/>
      <c r="K30" s="1727"/>
      <c r="L30" s="631"/>
      <c r="M30" s="632"/>
      <c r="N30" s="632"/>
      <c r="O30" s="632"/>
      <c r="P30" s="632"/>
      <c r="Q30" s="632"/>
      <c r="R30" s="632"/>
    </row>
    <row r="31" spans="1:18" s="635" customFormat="1" ht="12.75" x14ac:dyDescent="0.2">
      <c r="A31" s="523" t="s">
        <v>511</v>
      </c>
      <c r="B31" s="524"/>
      <c r="C31" s="525"/>
      <c r="D31" s="526"/>
      <c r="E31" s="524"/>
      <c r="F31" s="527" t="s">
        <v>512</v>
      </c>
      <c r="G31" s="634"/>
      <c r="H31" s="524"/>
      <c r="I31" s="524"/>
      <c r="J31" s="524"/>
      <c r="K31" s="634"/>
      <c r="L31" s="524"/>
      <c r="M31" s="524"/>
      <c r="N31" s="524"/>
      <c r="O31" s="524"/>
      <c r="P31" s="524"/>
      <c r="Q31" s="524"/>
      <c r="R31" s="524"/>
    </row>
    <row r="32" spans="1:18" x14ac:dyDescent="0.25">
      <c r="A32" s="258"/>
      <c r="B32" s="258"/>
      <c r="C32" s="289"/>
      <c r="D32" s="637"/>
      <c r="E32" s="258"/>
      <c r="F32" s="258"/>
      <c r="G32" s="639"/>
      <c r="H32" s="258"/>
      <c r="I32" s="258"/>
      <c r="J32" s="258"/>
      <c r="K32" s="639"/>
      <c r="L32" s="258"/>
      <c r="M32" s="258"/>
      <c r="N32" s="258"/>
      <c r="O32" s="258"/>
      <c r="P32" s="258"/>
      <c r="Q32" s="258"/>
      <c r="R32" s="258"/>
    </row>
    <row r="33" spans="12:18" x14ac:dyDescent="0.25">
      <c r="L33" s="258"/>
      <c r="M33" s="258"/>
      <c r="N33" s="258"/>
      <c r="O33" s="258"/>
      <c r="P33" s="258"/>
      <c r="Q33" s="258"/>
      <c r="R33" s="258"/>
    </row>
    <row r="34" spans="12:18" x14ac:dyDescent="0.25">
      <c r="L34" s="258"/>
      <c r="M34" s="258"/>
      <c r="N34" s="258"/>
      <c r="O34" s="258"/>
      <c r="P34" s="258"/>
      <c r="Q34" s="258"/>
      <c r="R34" s="258"/>
    </row>
    <row r="35" spans="12:18" x14ac:dyDescent="0.25">
      <c r="L35" s="258"/>
      <c r="M35" s="258"/>
      <c r="N35" s="258"/>
      <c r="O35" s="258"/>
      <c r="P35" s="258"/>
      <c r="Q35" s="258"/>
      <c r="R35" s="258"/>
    </row>
    <row r="36" spans="12:18" x14ac:dyDescent="0.25">
      <c r="L36" s="258"/>
      <c r="M36" s="258"/>
      <c r="N36" s="258"/>
      <c r="O36" s="258"/>
      <c r="P36" s="258"/>
      <c r="Q36" s="258"/>
      <c r="R36" s="258"/>
    </row>
    <row r="37" spans="12:18" x14ac:dyDescent="0.25">
      <c r="L37" s="258"/>
      <c r="M37" s="258"/>
      <c r="N37" s="258"/>
      <c r="O37" s="258"/>
      <c r="P37" s="258"/>
      <c r="Q37" s="258"/>
      <c r="R37" s="258"/>
    </row>
    <row r="38" spans="12:18" x14ac:dyDescent="0.25">
      <c r="L38" s="258"/>
      <c r="M38" s="258"/>
      <c r="N38" s="258"/>
      <c r="O38" s="258"/>
      <c r="P38" s="258"/>
      <c r="Q38" s="258"/>
      <c r="R38" s="258"/>
    </row>
    <row r="39" spans="12:18" x14ac:dyDescent="0.25">
      <c r="L39" s="258"/>
      <c r="M39" s="258"/>
      <c r="N39" s="258"/>
      <c r="O39" s="258"/>
      <c r="P39" s="258"/>
      <c r="Q39" s="258"/>
      <c r="R39" s="258"/>
    </row>
    <row r="40" spans="12:18" x14ac:dyDescent="0.25">
      <c r="L40" s="258"/>
      <c r="M40" s="258"/>
      <c r="N40" s="258"/>
      <c r="O40" s="258"/>
      <c r="P40" s="258"/>
      <c r="Q40" s="258"/>
      <c r="R40" s="258"/>
    </row>
    <row r="41" spans="12:18" x14ac:dyDescent="0.25">
      <c r="L41" s="258"/>
      <c r="M41" s="258"/>
      <c r="N41" s="258"/>
      <c r="O41" s="258"/>
      <c r="P41" s="258"/>
      <c r="Q41" s="258"/>
      <c r="R41" s="258"/>
    </row>
    <row r="42" spans="12:18" x14ac:dyDescent="0.25">
      <c r="L42" s="258"/>
      <c r="M42" s="258"/>
      <c r="N42" s="258"/>
      <c r="O42" s="258"/>
      <c r="P42" s="258"/>
      <c r="Q42" s="258"/>
      <c r="R42" s="258"/>
    </row>
    <row r="43" spans="12:18" x14ac:dyDescent="0.25">
      <c r="L43" s="258"/>
      <c r="M43" s="258"/>
      <c r="N43" s="258"/>
      <c r="O43" s="258"/>
      <c r="P43" s="258"/>
      <c r="Q43" s="258"/>
      <c r="R43" s="258"/>
    </row>
    <row r="44" spans="12:18" x14ac:dyDescent="0.25">
      <c r="L44" s="258"/>
      <c r="M44" s="258"/>
      <c r="N44" s="258"/>
      <c r="O44" s="258"/>
      <c r="P44" s="258"/>
      <c r="Q44" s="258"/>
      <c r="R44" s="258"/>
    </row>
    <row r="45" spans="12:18" x14ac:dyDescent="0.25">
      <c r="L45" s="258"/>
      <c r="M45" s="258"/>
      <c r="N45" s="258"/>
      <c r="O45" s="258"/>
      <c r="P45" s="258"/>
      <c r="Q45" s="258"/>
      <c r="R45" s="258"/>
    </row>
    <row r="46" spans="12:18" x14ac:dyDescent="0.25">
      <c r="L46" s="258"/>
      <c r="M46" s="258"/>
      <c r="N46" s="258"/>
      <c r="O46" s="258"/>
      <c r="P46" s="258"/>
      <c r="Q46" s="258"/>
      <c r="R46" s="258"/>
    </row>
    <row r="47" spans="12:18" x14ac:dyDescent="0.25">
      <c r="L47" s="258"/>
      <c r="M47" s="258"/>
      <c r="N47" s="258"/>
      <c r="O47" s="258"/>
      <c r="P47" s="258"/>
      <c r="Q47" s="258"/>
      <c r="R47" s="258"/>
    </row>
    <row r="48" spans="12:18" x14ac:dyDescent="0.25">
      <c r="L48" s="258"/>
      <c r="M48" s="258"/>
      <c r="N48" s="258"/>
      <c r="O48" s="258"/>
      <c r="P48" s="258"/>
      <c r="Q48" s="258"/>
      <c r="R48" s="258"/>
    </row>
    <row r="49" spans="12:18" x14ac:dyDescent="0.25">
      <c r="L49" s="258"/>
      <c r="M49" s="258"/>
      <c r="N49" s="258"/>
      <c r="O49" s="258"/>
      <c r="P49" s="258"/>
      <c r="Q49" s="258"/>
      <c r="R49" s="258"/>
    </row>
    <row r="50" spans="12:18" x14ac:dyDescent="0.25">
      <c r="L50" s="258"/>
      <c r="M50" s="258"/>
      <c r="N50" s="258"/>
      <c r="O50" s="258"/>
      <c r="P50" s="258"/>
      <c r="Q50" s="258"/>
      <c r="R50" s="258"/>
    </row>
    <row r="51" spans="12:18" x14ac:dyDescent="0.25">
      <c r="L51" s="258"/>
      <c r="M51" s="258"/>
      <c r="N51" s="258"/>
      <c r="O51" s="258"/>
      <c r="P51" s="258"/>
      <c r="Q51" s="258"/>
      <c r="R51" s="258"/>
    </row>
    <row r="52" spans="12:18" x14ac:dyDescent="0.25">
      <c r="L52" s="258"/>
    </row>
  </sheetData>
  <customSheetViews>
    <customSheetView guid="{4F748D0E-E050-4B9E-BA26-0A3F6D7B169B}" state="hidden">
      <selection sqref="A1:XFD1048576"/>
      <pageMargins left="0.511811024" right="0.511811024" top="0.78740157499999996" bottom="0.78740157499999996" header="0.31496062000000002" footer="0.31496062000000002"/>
    </customSheetView>
    <customSheetView guid="{8679FB5B-1AA7-40E9-8152-505014626217}" state="hidden">
      <selection sqref="A1:XFD1048576"/>
      <pageMargins left="0.511811024" right="0.511811024" top="0.78740157499999996" bottom="0.78740157499999996" header="0.31496062000000002" footer="0.31496062000000002"/>
    </customSheetView>
  </customSheetViews>
  <mergeCells count="33">
    <mergeCell ref="A9:A11"/>
    <mergeCell ref="A21:K21"/>
    <mergeCell ref="A14:E14"/>
    <mergeCell ref="L19:L20"/>
    <mergeCell ref="A5:K5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5:A27"/>
    <mergeCell ref="A30:F30"/>
    <mergeCell ref="I30:K30"/>
    <mergeCell ref="A17:L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F748D0E-E050-4B9E-BA26-0A3F6D7B169B}" state="hidden">
      <pageMargins left="0.511811024" right="0.511811024" top="0.78740157499999996" bottom="0.78740157499999996" header="0.31496062000000002" footer="0.31496062000000002"/>
    </customSheetView>
    <customSheetView guid="{8679FB5B-1AA7-40E9-8152-505014626217}" state="hidden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5"/>
  <cols>
    <col min="1" max="1" width="26.5703125" bestFit="1" customWidth="1"/>
    <col min="2" max="2" width="16" customWidth="1"/>
    <col min="3" max="3" width="15.28515625" bestFit="1" customWidth="1"/>
    <col min="4" max="4" width="15.140625" customWidth="1"/>
    <col min="5" max="5" width="24.7109375" customWidth="1"/>
    <col min="6" max="6" width="14.28515625" bestFit="1" customWidth="1"/>
    <col min="7" max="7" width="15.28515625" bestFit="1" customWidth="1"/>
    <col min="8" max="9" width="14.28515625" bestFit="1" customWidth="1"/>
    <col min="10" max="11" width="10.5703125" bestFit="1" customWidth="1"/>
    <col min="12" max="12" width="18" bestFit="1" customWidth="1"/>
    <col min="13" max="13" width="14.28515625" bestFit="1" customWidth="1"/>
  </cols>
  <sheetData>
    <row r="1" spans="1:10" x14ac:dyDescent="0.25">
      <c r="D1" s="31" t="s">
        <v>83</v>
      </c>
    </row>
    <row r="2" spans="1:10" x14ac:dyDescent="0.25">
      <c r="B2" s="29" t="s">
        <v>91</v>
      </c>
      <c r="C2" s="29" t="s">
        <v>86</v>
      </c>
      <c r="D2" s="29" t="s">
        <v>87</v>
      </c>
      <c r="F2">
        <v>3.4502000000000002</v>
      </c>
    </row>
    <row r="3" spans="1:10" x14ac:dyDescent="0.25">
      <c r="A3" t="s">
        <v>85</v>
      </c>
      <c r="C3" s="1">
        <v>6850325.0862201387</v>
      </c>
      <c r="D3" s="1">
        <v>44501494.079999998</v>
      </c>
      <c r="E3" s="27">
        <f>D3/F2</f>
        <v>12898236.067474348</v>
      </c>
      <c r="G3" s="27">
        <f>C3/F2</f>
        <v>1985486.3736073673</v>
      </c>
      <c r="H3" s="27">
        <f>D3/F2</f>
        <v>12898236.067474348</v>
      </c>
    </row>
    <row r="4" spans="1:10" x14ac:dyDescent="0.25">
      <c r="A4" t="s">
        <v>89</v>
      </c>
      <c r="D4" s="27" t="e">
        <f>#REF!+#REF!+#REF!+#REF!</f>
        <v>#REF!</v>
      </c>
      <c r="E4" s="27" t="e">
        <f>D4/F2</f>
        <v>#REF!</v>
      </c>
    </row>
    <row r="5" spans="1:10" x14ac:dyDescent="0.25">
      <c r="A5" t="s">
        <v>88</v>
      </c>
      <c r="D5" s="27" t="e">
        <f>#REF!+#REF!+#REF!+#REF!</f>
        <v>#REF!</v>
      </c>
      <c r="E5" s="27" t="e">
        <f>D5/F2</f>
        <v>#REF!</v>
      </c>
    </row>
    <row r="6" spans="1:10" x14ac:dyDescent="0.25">
      <c r="A6" t="s">
        <v>90</v>
      </c>
      <c r="B6" s="1">
        <v>181622484.78851998</v>
      </c>
      <c r="C6" s="27">
        <f>B6*82%</f>
        <v>148930437.52658638</v>
      </c>
      <c r="D6" s="27">
        <f>B6-C6</f>
        <v>32692047.261933595</v>
      </c>
      <c r="E6" s="27">
        <f>D6/F2</f>
        <v>9475406.4291732628</v>
      </c>
    </row>
    <row r="7" spans="1:10" x14ac:dyDescent="0.25">
      <c r="A7" s="2" t="s">
        <v>0</v>
      </c>
      <c r="B7" s="28">
        <f>SUM(B3:B6)</f>
        <v>181622484.78851998</v>
      </c>
      <c r="C7" s="28">
        <f>SUM(C3:C6)</f>
        <v>155780762.61280653</v>
      </c>
      <c r="D7" s="28" t="e">
        <f>SUM(D3:D6)</f>
        <v>#REF!</v>
      </c>
      <c r="E7" s="27" t="e">
        <f>D7/F2</f>
        <v>#REF!</v>
      </c>
      <c r="F7" s="1"/>
      <c r="G7" s="27"/>
    </row>
    <row r="10" spans="1:10" x14ac:dyDescent="0.25">
      <c r="A10" t="s">
        <v>93</v>
      </c>
      <c r="B10" s="28">
        <f>'Tabela de Comprometimento'!H145</f>
        <v>0</v>
      </c>
      <c r="E10" s="27">
        <f>C7/F2</f>
        <v>45151226.773174457</v>
      </c>
      <c r="G10" s="1"/>
    </row>
    <row r="11" spans="1:10" x14ac:dyDescent="0.25">
      <c r="A11" t="s">
        <v>94</v>
      </c>
      <c r="B11" s="27" t="e">
        <f>E7</f>
        <v>#REF!</v>
      </c>
      <c r="D11" s="1"/>
      <c r="G11" s="27"/>
    </row>
    <row r="12" spans="1:10" x14ac:dyDescent="0.25">
      <c r="B12" s="27" t="e">
        <f>B10-B11</f>
        <v>#REF!</v>
      </c>
      <c r="D12" s="1"/>
    </row>
    <row r="14" spans="1:10" x14ac:dyDescent="0.25">
      <c r="I14" s="30" t="s">
        <v>86</v>
      </c>
      <c r="J14" s="30" t="s">
        <v>87</v>
      </c>
    </row>
    <row r="15" spans="1:10" x14ac:dyDescent="0.25">
      <c r="E15" t="s">
        <v>118</v>
      </c>
      <c r="F15" s="33">
        <v>2263.48</v>
      </c>
      <c r="G15" s="11">
        <v>0.99250000000000005</v>
      </c>
      <c r="H15" s="11">
        <v>7.4999999999999997E-3</v>
      </c>
      <c r="I15" s="1">
        <f>F15*G15</f>
        <v>2246.5039000000002</v>
      </c>
      <c r="J15" s="1">
        <f>F15-I15</f>
        <v>16.97609999999986</v>
      </c>
    </row>
    <row r="16" spans="1:10" x14ac:dyDescent="0.25">
      <c r="E16" t="s">
        <v>124</v>
      </c>
      <c r="F16" s="34">
        <v>40</v>
      </c>
      <c r="G16" s="11">
        <v>1</v>
      </c>
      <c r="H16" s="11"/>
      <c r="I16" s="35">
        <f t="shared" ref="I16:I23" si="0">F16*G16</f>
        <v>40</v>
      </c>
      <c r="J16" s="35">
        <f t="shared" ref="J16:J23" si="1">F16-I16</f>
        <v>0</v>
      </c>
    </row>
    <row r="17" spans="5:13" x14ac:dyDescent="0.25">
      <c r="E17" t="s">
        <v>119</v>
      </c>
      <c r="F17" s="33">
        <v>51967.29</v>
      </c>
      <c r="G17" s="11">
        <v>0.85809999999999997</v>
      </c>
      <c r="H17" s="11">
        <v>0.1419</v>
      </c>
      <c r="I17" s="1">
        <f t="shared" si="0"/>
        <v>44593.131548999998</v>
      </c>
      <c r="J17" s="1">
        <f t="shared" si="1"/>
        <v>7374.158451000003</v>
      </c>
    </row>
    <row r="18" spans="5:13" x14ac:dyDescent="0.25">
      <c r="E18" t="s">
        <v>122</v>
      </c>
      <c r="F18" s="34">
        <v>563.78</v>
      </c>
      <c r="G18" s="11">
        <v>1</v>
      </c>
      <c r="H18" s="11"/>
      <c r="I18" s="35">
        <f t="shared" si="0"/>
        <v>563.78</v>
      </c>
      <c r="J18" s="35">
        <f t="shared" si="1"/>
        <v>0</v>
      </c>
    </row>
    <row r="19" spans="5:13" x14ac:dyDescent="0.25">
      <c r="E19" t="s">
        <v>120</v>
      </c>
      <c r="F19" s="33">
        <v>11680.14</v>
      </c>
      <c r="G19" s="11">
        <v>0.99299999999999999</v>
      </c>
      <c r="H19" s="11">
        <v>7.0000000000000001E-3</v>
      </c>
      <c r="I19" s="1">
        <f t="shared" si="0"/>
        <v>11598.379019999998</v>
      </c>
      <c r="J19" s="1">
        <f t="shared" si="1"/>
        <v>81.760980000000927</v>
      </c>
    </row>
    <row r="20" spans="5:13" x14ac:dyDescent="0.25">
      <c r="E20" t="s">
        <v>121</v>
      </c>
      <c r="F20" s="33">
        <v>3092.26</v>
      </c>
      <c r="G20" s="11">
        <v>1</v>
      </c>
      <c r="H20" s="11"/>
      <c r="I20" s="1">
        <f t="shared" si="0"/>
        <v>3092.26</v>
      </c>
      <c r="J20" s="1">
        <f t="shared" si="1"/>
        <v>0</v>
      </c>
    </row>
    <row r="21" spans="5:13" x14ac:dyDescent="0.25">
      <c r="E21" t="s">
        <v>123</v>
      </c>
      <c r="F21" s="34">
        <v>100.95</v>
      </c>
      <c r="G21" s="11">
        <v>1</v>
      </c>
      <c r="I21" s="35">
        <f t="shared" si="0"/>
        <v>100.95</v>
      </c>
      <c r="J21" s="35">
        <f t="shared" si="1"/>
        <v>0</v>
      </c>
    </row>
    <row r="22" spans="5:13" x14ac:dyDescent="0.25">
      <c r="E22" t="s">
        <v>125</v>
      </c>
      <c r="F22" s="33">
        <v>949.97</v>
      </c>
      <c r="G22" s="11">
        <v>1</v>
      </c>
      <c r="I22" s="1">
        <f t="shared" si="0"/>
        <v>949.97</v>
      </c>
      <c r="J22" s="1">
        <f t="shared" si="1"/>
        <v>0</v>
      </c>
    </row>
    <row r="23" spans="5:13" x14ac:dyDescent="0.25">
      <c r="E23" t="s">
        <v>126</v>
      </c>
      <c r="F23" s="32">
        <v>6723.78</v>
      </c>
      <c r="H23" s="11">
        <v>1</v>
      </c>
      <c r="I23" s="1">
        <f t="shared" si="0"/>
        <v>0</v>
      </c>
      <c r="J23" s="1">
        <f t="shared" si="1"/>
        <v>6723.78</v>
      </c>
    </row>
    <row r="24" spans="5:13" x14ac:dyDescent="0.25">
      <c r="F24" s="32">
        <f>SUM(F15:F23)</f>
        <v>77381.649999999994</v>
      </c>
      <c r="H24" t="s">
        <v>128</v>
      </c>
      <c r="I24" s="27">
        <f>SUM(I15:I23)</f>
        <v>63184.974469000001</v>
      </c>
      <c r="J24" s="27">
        <f>SUM(J15:J23)</f>
        <v>14196.675531000004</v>
      </c>
      <c r="K24" s="27">
        <f>I24+J24</f>
        <v>77381.650000000009</v>
      </c>
      <c r="L24" s="1"/>
      <c r="M24" s="27"/>
    </row>
    <row r="25" spans="5:13" x14ac:dyDescent="0.25">
      <c r="H25" t="s">
        <v>127</v>
      </c>
      <c r="I25" s="1">
        <v>62655.108636999998</v>
      </c>
      <c r="J25" s="1">
        <v>13886.52997</v>
      </c>
      <c r="K25" s="27">
        <f>I25+J25</f>
        <v>76541.638607000001</v>
      </c>
    </row>
    <row r="26" spans="5:13" x14ac:dyDescent="0.25">
      <c r="I26" s="27">
        <v>704.73</v>
      </c>
      <c r="J26" s="27"/>
      <c r="M26" s="27"/>
    </row>
    <row r="27" spans="5:13" x14ac:dyDescent="0.25">
      <c r="F27" s="1"/>
      <c r="I27" s="27">
        <f>I25+I26</f>
        <v>63359.838637000001</v>
      </c>
      <c r="J27" s="27">
        <f>J25+J26</f>
        <v>13886.52997</v>
      </c>
      <c r="K27" s="27">
        <f>I27+J27</f>
        <v>77246.368606999997</v>
      </c>
      <c r="L27" s="27">
        <f>K24-K27</f>
        <v>135.28139300001203</v>
      </c>
    </row>
    <row r="28" spans="5:13" x14ac:dyDescent="0.25">
      <c r="F28" s="27"/>
      <c r="I28" s="27"/>
      <c r="J28" s="27"/>
    </row>
    <row r="29" spans="5:13" x14ac:dyDescent="0.25">
      <c r="I29" s="1"/>
      <c r="J29" s="1"/>
    </row>
    <row r="30" spans="5:13" x14ac:dyDescent="0.25">
      <c r="F30" s="27"/>
      <c r="I30" s="27"/>
      <c r="J30" s="27"/>
      <c r="K30" s="27"/>
      <c r="M30" s="27"/>
    </row>
    <row r="31" spans="5:13" x14ac:dyDescent="0.25">
      <c r="I31" s="27"/>
      <c r="J31" s="27"/>
      <c r="K31" s="27"/>
      <c r="L31" s="1"/>
      <c r="M31" s="27"/>
    </row>
    <row r="32" spans="5:13" x14ac:dyDescent="0.25">
      <c r="I32" s="27"/>
      <c r="J32" s="27"/>
      <c r="K32" s="27"/>
      <c r="M32" s="27"/>
    </row>
  </sheetData>
  <customSheetViews>
    <customSheetView guid="{4F748D0E-E050-4B9E-BA26-0A3F6D7B169B}" state="hidden" topLeftCell="D1">
      <selection activeCell="I33" sqref="I33"/>
      <pageMargins left="0.511811024" right="0.511811024" top="0.78740157499999996" bottom="0.78740157499999996" header="0.31496062000000002" footer="0.31496062000000002"/>
      <pageSetup paperSize="9" orientation="portrait" horizontalDpi="4294967295" verticalDpi="4294967295" r:id="rId1"/>
    </customSheetView>
    <customSheetView guid="{8679FB5B-1AA7-40E9-8152-505014626217}" state="hidden" topLeftCell="D1">
      <selection activeCell="I33" sqref="I33"/>
      <pageMargins left="0.511811024" right="0.511811024" top="0.78740157499999996" bottom="0.78740157499999996" header="0.31496062000000002" footer="0.31496062000000002"/>
      <pageSetup paperSize="9" orientation="portrait" horizontalDpi="4294967295" verticalDpi="4294967295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5"/>
  <sheetViews>
    <sheetView workbookViewId="0"/>
  </sheetViews>
  <sheetFormatPr defaultColWidth="9.140625" defaultRowHeight="14.25" x14ac:dyDescent="0.2"/>
  <cols>
    <col min="1" max="1" width="1" style="665" customWidth="1"/>
    <col min="2" max="2" width="31.85546875" style="665" customWidth="1"/>
    <col min="3" max="3" width="23.7109375" style="665" bestFit="1" customWidth="1"/>
    <col min="4" max="4" width="22.42578125" style="665" bestFit="1" customWidth="1"/>
    <col min="5" max="5" width="24.28515625" style="665" bestFit="1" customWidth="1"/>
    <col min="6" max="6" width="24.7109375" style="665" bestFit="1" customWidth="1"/>
    <col min="7" max="7" width="22.42578125" style="665" bestFit="1" customWidth="1"/>
    <col min="8" max="8" width="22" style="665" bestFit="1" customWidth="1"/>
    <col min="9" max="9" width="20" style="665" bestFit="1" customWidth="1"/>
    <col min="10" max="10" width="20.42578125" style="665" bestFit="1" customWidth="1"/>
    <col min="11" max="11" width="21.5703125" style="665" bestFit="1" customWidth="1"/>
    <col min="12" max="12" width="20.42578125" style="665" bestFit="1" customWidth="1"/>
    <col min="13" max="13" width="20" style="665" bestFit="1" customWidth="1"/>
    <col min="14" max="14" width="21.5703125" style="665" bestFit="1" customWidth="1"/>
    <col min="15" max="15" width="24.140625" style="665" customWidth="1"/>
    <col min="16" max="16" width="20.42578125" style="665" bestFit="1" customWidth="1"/>
    <col min="17" max="17" width="20" style="665" bestFit="1" customWidth="1"/>
    <col min="18" max="18" width="1.42578125" style="665" customWidth="1"/>
    <col min="19" max="19" width="23.28515625" style="665" bestFit="1" customWidth="1"/>
    <col min="20" max="20" width="22" style="665" bestFit="1" customWidth="1"/>
    <col min="21" max="21" width="23.28515625" style="665" bestFit="1" customWidth="1"/>
    <col min="22" max="22" width="1.42578125" style="665" customWidth="1"/>
    <col min="23" max="23" width="23.7109375" style="665" bestFit="1" customWidth="1"/>
    <col min="24" max="24" width="22.42578125" style="665" bestFit="1" customWidth="1"/>
    <col min="25" max="25" width="24.28515625" style="665" bestFit="1" customWidth="1"/>
    <col min="26" max="28" width="12.7109375" style="665" customWidth="1"/>
    <col min="29" max="29" width="25" style="665" bestFit="1" customWidth="1"/>
    <col min="30" max="30" width="16.85546875" style="665" customWidth="1"/>
    <col min="31" max="16384" width="9.140625" style="665"/>
  </cols>
  <sheetData>
    <row r="1" spans="2:30" ht="18.75" customHeight="1" x14ac:dyDescent="0.2">
      <c r="B1" s="1511" t="s">
        <v>588</v>
      </c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790">
        <f>239688000-F10-F11-F12</f>
        <v>-75553364.139999807</v>
      </c>
      <c r="P1" s="664"/>
      <c r="Q1" s="664"/>
      <c r="R1" s="664"/>
      <c r="S1" s="664"/>
      <c r="T1" s="664"/>
      <c r="U1" s="664"/>
      <c r="Z1" s="665">
        <v>1000</v>
      </c>
      <c r="AA1" s="665">
        <v>3.7</v>
      </c>
    </row>
    <row r="2" spans="2:30" ht="14.25" customHeight="1" thickBot="1" x14ac:dyDescent="0.25"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Q2" s="666"/>
      <c r="R2" s="666"/>
      <c r="S2" s="667"/>
      <c r="T2" s="666"/>
      <c r="U2" s="666"/>
      <c r="Y2" s="668" t="s">
        <v>568</v>
      </c>
    </row>
    <row r="3" spans="2:30" ht="53.25" customHeight="1" thickTop="1" thickBot="1" x14ac:dyDescent="0.25">
      <c r="B3" s="1530" t="s">
        <v>652</v>
      </c>
      <c r="C3" s="1523" t="s">
        <v>651</v>
      </c>
      <c r="D3" s="1524"/>
      <c r="E3" s="1525"/>
      <c r="F3" s="1526" t="s">
        <v>578</v>
      </c>
      <c r="G3" s="1524"/>
      <c r="H3" s="1524"/>
      <c r="I3" s="1523" t="s">
        <v>580</v>
      </c>
      <c r="J3" s="1524"/>
      <c r="K3" s="1524"/>
      <c r="L3" s="1527" t="s">
        <v>579</v>
      </c>
      <c r="M3" s="1528"/>
      <c r="N3" s="1529"/>
      <c r="O3" s="1527" t="s">
        <v>570</v>
      </c>
      <c r="P3" s="1528"/>
      <c r="Q3" s="1529"/>
      <c r="S3" s="1515" t="s">
        <v>571</v>
      </c>
      <c r="T3" s="1516"/>
      <c r="U3" s="1517"/>
      <c r="W3" s="1518" t="s">
        <v>572</v>
      </c>
      <c r="X3" s="1519"/>
      <c r="Y3" s="1520"/>
    </row>
    <row r="4" spans="2:30" ht="18" customHeight="1" thickBot="1" x14ac:dyDescent="0.25">
      <c r="B4" s="1531"/>
      <c r="C4" s="669" t="s">
        <v>86</v>
      </c>
      <c r="D4" s="670" t="s">
        <v>87</v>
      </c>
      <c r="E4" s="671" t="s">
        <v>92</v>
      </c>
      <c r="F4" s="669" t="s">
        <v>86</v>
      </c>
      <c r="G4" s="670" t="s">
        <v>87</v>
      </c>
      <c r="H4" s="671" t="s">
        <v>92</v>
      </c>
      <c r="I4" s="669" t="s">
        <v>86</v>
      </c>
      <c r="J4" s="670" t="s">
        <v>87</v>
      </c>
      <c r="K4" s="672" t="s">
        <v>92</v>
      </c>
      <c r="L4" s="673" t="s">
        <v>86</v>
      </c>
      <c r="M4" s="674" t="s">
        <v>87</v>
      </c>
      <c r="N4" s="675" t="s">
        <v>92</v>
      </c>
      <c r="O4" s="673" t="s">
        <v>86</v>
      </c>
      <c r="P4" s="674" t="s">
        <v>87</v>
      </c>
      <c r="Q4" s="675" t="s">
        <v>92</v>
      </c>
      <c r="S4" s="764" t="s">
        <v>86</v>
      </c>
      <c r="T4" s="677" t="s">
        <v>87</v>
      </c>
      <c r="U4" s="678" t="s">
        <v>92</v>
      </c>
      <c r="W4" s="679" t="s">
        <v>86</v>
      </c>
      <c r="X4" s="680" t="s">
        <v>87</v>
      </c>
      <c r="Y4" s="681" t="s">
        <v>92</v>
      </c>
    </row>
    <row r="5" spans="2:30" ht="31.5" x14ac:dyDescent="0.2">
      <c r="B5" s="682" t="s">
        <v>189</v>
      </c>
      <c r="C5" s="683">
        <f t="shared" ref="C5:Q5" si="0">C6+C7+C8</f>
        <v>18898000</v>
      </c>
      <c r="D5" s="684">
        <f t="shared" si="0"/>
        <v>33275000</v>
      </c>
      <c r="E5" s="685">
        <f t="shared" si="0"/>
        <v>52173000</v>
      </c>
      <c r="F5" s="794">
        <f t="shared" si="0"/>
        <v>10617445.379999999</v>
      </c>
      <c r="G5" s="684">
        <f t="shared" si="0"/>
        <v>22051839.57</v>
      </c>
      <c r="H5" s="796">
        <f t="shared" si="0"/>
        <v>32669284.949999999</v>
      </c>
      <c r="I5" s="683">
        <f t="shared" si="0"/>
        <v>8280554.620000001</v>
      </c>
      <c r="J5" s="684">
        <f t="shared" si="0"/>
        <v>11223160.43</v>
      </c>
      <c r="K5" s="686">
        <f t="shared" si="0"/>
        <v>19503715.049999997</v>
      </c>
      <c r="L5" s="683">
        <f t="shared" si="0"/>
        <v>19587220.880000003</v>
      </c>
      <c r="M5" s="684">
        <f t="shared" si="0"/>
        <v>488422.28</v>
      </c>
      <c r="N5" s="685">
        <f t="shared" si="0"/>
        <v>20075643.160000004</v>
      </c>
      <c r="O5" s="683">
        <f t="shared" si="0"/>
        <v>-11306666.260000002</v>
      </c>
      <c r="P5" s="684">
        <f t="shared" si="0"/>
        <v>10734738.15</v>
      </c>
      <c r="Q5" s="685">
        <f t="shared" si="0"/>
        <v>-571928.11000000068</v>
      </c>
      <c r="S5" s="683">
        <f>S6+S7+S8</f>
        <v>30204666.260000002</v>
      </c>
      <c r="T5" s="684">
        <f>T6+T7+T8</f>
        <v>22540261.850000001</v>
      </c>
      <c r="U5" s="685">
        <f>U6+U7+U8</f>
        <v>52744928.109999999</v>
      </c>
      <c r="W5" s="683">
        <f>W6+W7+W8</f>
        <v>18898000</v>
      </c>
      <c r="X5" s="684">
        <f>X6+X7+X8</f>
        <v>33275000</v>
      </c>
      <c r="Y5" s="685">
        <f>Y6+Y7+Y8</f>
        <v>52173000</v>
      </c>
    </row>
    <row r="6" spans="2:30" ht="19.5" customHeight="1" x14ac:dyDescent="0.2">
      <c r="B6" s="687" t="s">
        <v>190</v>
      </c>
      <c r="C6" s="735">
        <v>1828000</v>
      </c>
      <c r="D6" s="736">
        <v>6052000</v>
      </c>
      <c r="E6" s="737">
        <f t="shared" ref="E6:E13" si="1">C6+D6</f>
        <v>7880000</v>
      </c>
      <c r="F6" s="795">
        <f>'Tabela de Comprometimento 29.09'!N7+'Tabela de Comprometimento 29.09'!O7</f>
        <v>741423.09</v>
      </c>
      <c r="G6" s="721">
        <f>'Tabela de Comprometimento 29.09'!P7+'Tabela de Comprometimento 29.09'!Q7</f>
        <v>4148939.37</v>
      </c>
      <c r="H6" s="797">
        <f>F6+G6</f>
        <v>4890362.46</v>
      </c>
      <c r="I6" s="688">
        <f t="shared" ref="I6:J8" si="2">C6-F6</f>
        <v>1086576.9100000001</v>
      </c>
      <c r="J6" s="689">
        <f t="shared" si="2"/>
        <v>1903060.63</v>
      </c>
      <c r="K6" s="691">
        <f>I6+J6</f>
        <v>2989637.54</v>
      </c>
      <c r="L6" s="688">
        <f>'Tabela de Comprometimento 29.09'!AC7</f>
        <v>1691034.25</v>
      </c>
      <c r="M6" s="689">
        <f>'Tabela de Comprometimento 29.09'!AD7</f>
        <v>488422.28</v>
      </c>
      <c r="N6" s="783">
        <f>L6+M6</f>
        <v>2179456.5300000003</v>
      </c>
      <c r="O6" s="688">
        <f t="shared" ref="O6:P8" si="3">I6-L6</f>
        <v>-604457.33999999985</v>
      </c>
      <c r="P6" s="689">
        <f t="shared" si="3"/>
        <v>1414638.3499999999</v>
      </c>
      <c r="Q6" s="783">
        <f t="shared" ref="Q6:Q13" si="4">O6+P6</f>
        <v>810181.01</v>
      </c>
      <c r="S6" s="688">
        <f t="shared" ref="S6:T8" si="5">F6+L6</f>
        <v>2432457.34</v>
      </c>
      <c r="T6" s="689">
        <f t="shared" si="5"/>
        <v>4637361.6500000004</v>
      </c>
      <c r="U6" s="690">
        <f>S6+T6</f>
        <v>7069818.9900000002</v>
      </c>
      <c r="W6" s="688">
        <f t="shared" ref="W6:X8" si="6">O6+S6</f>
        <v>1828000</v>
      </c>
      <c r="X6" s="689">
        <f t="shared" si="6"/>
        <v>6052000</v>
      </c>
      <c r="Y6" s="690">
        <f>W6+X6</f>
        <v>7880000</v>
      </c>
    </row>
    <row r="7" spans="2:30" ht="34.5" customHeight="1" x14ac:dyDescent="0.2">
      <c r="B7" s="692" t="s">
        <v>193</v>
      </c>
      <c r="C7" s="735">
        <v>8572000</v>
      </c>
      <c r="D7" s="736">
        <v>27223000</v>
      </c>
      <c r="E7" s="737">
        <f t="shared" si="1"/>
        <v>35795000</v>
      </c>
      <c r="F7" s="795">
        <f>'Tabela de Comprometimento 29.09'!N43+'Tabela de Comprometimento 29.09'!O43</f>
        <v>7772941.2499999991</v>
      </c>
      <c r="G7" s="721">
        <f>'Tabela de Comprometimento 29.09'!P43+'Tabela de Comprometimento 29.09'!Q43</f>
        <v>17879834.09</v>
      </c>
      <c r="H7" s="798">
        <f>F7+G7</f>
        <v>25652775.34</v>
      </c>
      <c r="I7" s="688">
        <f t="shared" si="2"/>
        <v>799058.75000000093</v>
      </c>
      <c r="J7" s="689">
        <f t="shared" si="2"/>
        <v>9343165.9100000001</v>
      </c>
      <c r="K7" s="691">
        <f>I7+J7</f>
        <v>10142224.66</v>
      </c>
      <c r="L7" s="688">
        <f>'Tabela de Comprometimento 29.09'!AC43</f>
        <v>12347224.66</v>
      </c>
      <c r="M7" s="689">
        <f>'Tabela de Comprometimento 29.09'!AD43</f>
        <v>0</v>
      </c>
      <c r="N7" s="690">
        <f t="shared" ref="N7:N13" si="7">L7+M7</f>
        <v>12347224.66</v>
      </c>
      <c r="O7" s="688">
        <f t="shared" si="3"/>
        <v>-11548165.91</v>
      </c>
      <c r="P7" s="689">
        <f t="shared" si="3"/>
        <v>9343165.9100000001</v>
      </c>
      <c r="Q7" s="783">
        <f t="shared" si="4"/>
        <v>-2205000</v>
      </c>
      <c r="S7" s="688">
        <f t="shared" si="5"/>
        <v>20120165.91</v>
      </c>
      <c r="T7" s="689">
        <f t="shared" si="5"/>
        <v>17879834.09</v>
      </c>
      <c r="U7" s="690">
        <f>S7+T7</f>
        <v>38000000</v>
      </c>
      <c r="W7" s="688">
        <f t="shared" si="6"/>
        <v>8572000</v>
      </c>
      <c r="X7" s="689">
        <f t="shared" si="6"/>
        <v>27223000</v>
      </c>
      <c r="Y7" s="690">
        <f>W7+X7</f>
        <v>35795000</v>
      </c>
    </row>
    <row r="8" spans="2:30" ht="19.5" customHeight="1" x14ac:dyDescent="0.2">
      <c r="B8" s="687" t="s">
        <v>198</v>
      </c>
      <c r="C8" s="735">
        <v>8498000</v>
      </c>
      <c r="D8" s="736"/>
      <c r="E8" s="737">
        <f t="shared" si="1"/>
        <v>8498000</v>
      </c>
      <c r="F8" s="795">
        <f>'Tabela de Comprometimento 29.09'!N50+'Tabela de Comprometimento 29.09'!O50</f>
        <v>2103081.04</v>
      </c>
      <c r="G8" s="721">
        <f>'Tabela de Comprometimento 29.09'!P50+'Tabela de Comprometimento 29.09'!Q50</f>
        <v>23066.11</v>
      </c>
      <c r="H8" s="798">
        <f>F8+G8</f>
        <v>2126147.15</v>
      </c>
      <c r="I8" s="688">
        <f t="shared" si="2"/>
        <v>6394918.96</v>
      </c>
      <c r="J8" s="782">
        <f t="shared" si="2"/>
        <v>-23066.11</v>
      </c>
      <c r="K8" s="691">
        <f>I8+J8</f>
        <v>6371852.8499999996</v>
      </c>
      <c r="L8" s="688">
        <f>'Tabela de Comprometimento 29.09'!AC50</f>
        <v>5548961.9700000007</v>
      </c>
      <c r="M8" s="689">
        <f>'Tabela de Comprometimento 29.09'!AD50</f>
        <v>0</v>
      </c>
      <c r="N8" s="690">
        <f t="shared" si="7"/>
        <v>5548961.9700000007</v>
      </c>
      <c r="O8" s="688">
        <f t="shared" si="3"/>
        <v>845956.98999999929</v>
      </c>
      <c r="P8" s="689">
        <f t="shared" si="3"/>
        <v>-23066.11</v>
      </c>
      <c r="Q8" s="788">
        <f t="shared" si="4"/>
        <v>822890.87999999931</v>
      </c>
      <c r="S8" s="688">
        <f t="shared" si="5"/>
        <v>7652043.0100000007</v>
      </c>
      <c r="T8" s="689">
        <f t="shared" si="5"/>
        <v>23066.11</v>
      </c>
      <c r="U8" s="690">
        <f>S8+T8</f>
        <v>7675109.120000001</v>
      </c>
      <c r="W8" s="688">
        <f t="shared" si="6"/>
        <v>8498000</v>
      </c>
      <c r="X8" s="689">
        <f t="shared" si="6"/>
        <v>0</v>
      </c>
      <c r="Y8" s="690">
        <f>W8+X8</f>
        <v>8498000</v>
      </c>
    </row>
    <row r="9" spans="2:30" ht="15.75" x14ac:dyDescent="0.2">
      <c r="B9" s="693" t="s">
        <v>203</v>
      </c>
      <c r="C9" s="723">
        <f t="shared" ref="C9:K9" si="8">+C10+C13</f>
        <v>247126000</v>
      </c>
      <c r="D9" s="724">
        <f t="shared" si="8"/>
        <v>57647000</v>
      </c>
      <c r="E9" s="725">
        <f t="shared" si="8"/>
        <v>304773000</v>
      </c>
      <c r="F9" s="723">
        <f t="shared" si="8"/>
        <v>160853847.9799999</v>
      </c>
      <c r="G9" s="724">
        <f t="shared" si="8"/>
        <v>1024826.48</v>
      </c>
      <c r="H9" s="725">
        <f t="shared" si="8"/>
        <v>161878674.45999989</v>
      </c>
      <c r="I9" s="723">
        <f t="shared" si="8"/>
        <v>86272152.0200001</v>
      </c>
      <c r="J9" s="724">
        <f t="shared" si="8"/>
        <v>56622173.520000003</v>
      </c>
      <c r="K9" s="725">
        <f t="shared" si="8"/>
        <v>142894325.54000011</v>
      </c>
      <c r="L9" s="726">
        <f t="shared" ref="L9:Q9" si="9">+L10+L13</f>
        <v>76327161.320000023</v>
      </c>
      <c r="M9" s="724">
        <f t="shared" si="9"/>
        <v>50631864.510000005</v>
      </c>
      <c r="N9" s="724">
        <f t="shared" si="9"/>
        <v>126959025.83000001</v>
      </c>
      <c r="O9" s="726">
        <f t="shared" si="9"/>
        <v>9944990.7000000812</v>
      </c>
      <c r="P9" s="724">
        <f t="shared" si="9"/>
        <v>5990309.0099999979</v>
      </c>
      <c r="Q9" s="725">
        <f t="shared" si="9"/>
        <v>15935299.710000079</v>
      </c>
      <c r="S9" s="726">
        <f>+S10+S13</f>
        <v>237181009.29999992</v>
      </c>
      <c r="T9" s="724">
        <f>+T10+T13</f>
        <v>51656690.990000002</v>
      </c>
      <c r="U9" s="725">
        <f>+U10+U13</f>
        <v>288837700.28999996</v>
      </c>
      <c r="W9" s="726">
        <f>+W10+W13</f>
        <v>247126000</v>
      </c>
      <c r="X9" s="724">
        <f>+X10+X13</f>
        <v>57647000</v>
      </c>
      <c r="Y9" s="724">
        <f>+Y10+Y13</f>
        <v>304773000</v>
      </c>
    </row>
    <row r="10" spans="2:30" ht="30" customHeight="1" x14ac:dyDescent="0.2">
      <c r="B10" s="692" t="s">
        <v>573</v>
      </c>
      <c r="C10" s="791">
        <f>239688000-C11-C12</f>
        <v>239688000</v>
      </c>
      <c r="D10" s="792">
        <f>57647000-D11-D12</f>
        <v>57647000</v>
      </c>
      <c r="E10" s="793">
        <f t="shared" si="1"/>
        <v>297335000</v>
      </c>
      <c r="F10" s="800">
        <f>+F11+F12</f>
        <v>157620682.0699999</v>
      </c>
      <c r="G10" s="801">
        <f>+G11+G12</f>
        <v>1024826.48</v>
      </c>
      <c r="H10" s="802">
        <f>+H11+H12</f>
        <v>158645508.54999989</v>
      </c>
      <c r="I10" s="803">
        <f t="shared" ref="I10:J13" si="10">C10-F10</f>
        <v>82067317.930000097</v>
      </c>
      <c r="J10" s="804">
        <f t="shared" si="10"/>
        <v>56622173.520000003</v>
      </c>
      <c r="K10" s="805">
        <f>I10+J10</f>
        <v>138689491.45000011</v>
      </c>
      <c r="L10" s="800">
        <f>+L11+L12</f>
        <v>70052749.500000015</v>
      </c>
      <c r="M10" s="801">
        <f>+M11+M12</f>
        <v>50631864.510000005</v>
      </c>
      <c r="N10" s="783">
        <f>+N11+N12</f>
        <v>120684614.01000002</v>
      </c>
      <c r="O10" s="803">
        <f t="shared" ref="O10:P13" si="11">I10-L10</f>
        <v>12014568.430000082</v>
      </c>
      <c r="P10" s="804">
        <f t="shared" si="11"/>
        <v>5990309.0099999979</v>
      </c>
      <c r="Q10" s="806">
        <f>O10+P10</f>
        <v>18004877.44000008</v>
      </c>
      <c r="S10" s="795">
        <f>+S11+S12</f>
        <v>227673431.56999993</v>
      </c>
      <c r="T10" s="721">
        <f>+T11+T12</f>
        <v>51656690.990000002</v>
      </c>
      <c r="U10" s="798">
        <f>+U11+U12</f>
        <v>279330122.55999994</v>
      </c>
      <c r="W10" s="688">
        <f t="shared" ref="W10:X12" si="12">O10+S10</f>
        <v>239688000</v>
      </c>
      <c r="X10" s="689">
        <f t="shared" si="12"/>
        <v>57647000</v>
      </c>
      <c r="Y10" s="690">
        <f>W10+X10</f>
        <v>297335000</v>
      </c>
      <c r="AD10" s="698"/>
    </row>
    <row r="11" spans="2:30" ht="30" customHeight="1" x14ac:dyDescent="0.2">
      <c r="B11" s="692" t="s">
        <v>590</v>
      </c>
      <c r="C11" s="735"/>
      <c r="D11" s="736">
        <f>G11</f>
        <v>0</v>
      </c>
      <c r="E11" s="737">
        <f>+C11+D11</f>
        <v>0</v>
      </c>
      <c r="F11" s="795">
        <f>'Tabela de Comprometimento 29.09'!N67+'Tabela de Comprometimento 29.09'!O67</f>
        <v>95975990.049999982</v>
      </c>
      <c r="G11" s="721">
        <f>+'Tabela de Comprometimento 29.09'!P67+'Tabela de Comprometimento 29.09'!Q67</f>
        <v>0</v>
      </c>
      <c r="H11" s="798">
        <f>F11+G11</f>
        <v>95975990.049999982</v>
      </c>
      <c r="I11" s="688">
        <f t="shared" si="10"/>
        <v>-95975990.049999982</v>
      </c>
      <c r="J11" s="689">
        <f t="shared" si="10"/>
        <v>0</v>
      </c>
      <c r="K11" s="691">
        <f>I11+J11</f>
        <v>-95975990.049999982</v>
      </c>
      <c r="L11" s="688">
        <f>'Tabela de Comprometimento 29.09'!AC67</f>
        <v>68356636.38000001</v>
      </c>
      <c r="M11" s="689">
        <f>'Tabela de Comprometimento 29.09'!AD67</f>
        <v>38509286.060000002</v>
      </c>
      <c r="N11" s="690">
        <f t="shared" si="7"/>
        <v>106865922.44000001</v>
      </c>
      <c r="O11" s="688">
        <f t="shared" si="11"/>
        <v>-164332626.43000001</v>
      </c>
      <c r="P11" s="689">
        <f t="shared" si="11"/>
        <v>-38509286.060000002</v>
      </c>
      <c r="Q11" s="789">
        <f>O11+P11</f>
        <v>-202841912.49000001</v>
      </c>
      <c r="S11" s="688">
        <f t="shared" ref="S11:T13" si="13">F11+L11</f>
        <v>164332626.43000001</v>
      </c>
      <c r="T11" s="689">
        <f t="shared" si="13"/>
        <v>38509286.060000002</v>
      </c>
      <c r="U11" s="690">
        <f>S11+T11</f>
        <v>202841912.49000001</v>
      </c>
      <c r="W11" s="688">
        <f t="shared" si="12"/>
        <v>0</v>
      </c>
      <c r="X11" s="689">
        <f t="shared" si="12"/>
        <v>0</v>
      </c>
      <c r="Y11" s="690">
        <f>W11+X11</f>
        <v>0</v>
      </c>
      <c r="AD11" s="698"/>
    </row>
    <row r="12" spans="2:30" ht="30" customHeight="1" x14ac:dyDescent="0.2">
      <c r="B12" s="692" t="s">
        <v>591</v>
      </c>
      <c r="C12" s="735"/>
      <c r="D12" s="736"/>
      <c r="E12" s="737">
        <f>+C12+D12</f>
        <v>0</v>
      </c>
      <c r="F12" s="795">
        <f>'Tabela de Comprometimento 29.09'!N89+'Tabela de Comprometimento 29.09'!O89</f>
        <v>61644692.019999914</v>
      </c>
      <c r="G12" s="721">
        <f>+'Tabela de Comprometimento 29.09'!P89+'Tabela de Comprometimento 29.09'!Q89</f>
        <v>1024826.48</v>
      </c>
      <c r="H12" s="798">
        <f>F12+G12</f>
        <v>62669518.499999911</v>
      </c>
      <c r="I12" s="688">
        <f t="shared" si="10"/>
        <v>-61644692.019999914</v>
      </c>
      <c r="J12" s="689">
        <f t="shared" si="10"/>
        <v>-1024826.48</v>
      </c>
      <c r="K12" s="691">
        <f>I12+J12</f>
        <v>-62669518.499999911</v>
      </c>
      <c r="L12" s="688">
        <f>'Tabela de Comprometimento 29.09'!AC89</f>
        <v>1696113.12</v>
      </c>
      <c r="M12" s="689">
        <f>'Tabela de Comprometimento 29.09'!AD89</f>
        <v>12122578.449999999</v>
      </c>
      <c r="N12" s="690">
        <f t="shared" si="7"/>
        <v>13818691.57</v>
      </c>
      <c r="O12" s="688">
        <f t="shared" si="11"/>
        <v>-63340805.139999911</v>
      </c>
      <c r="P12" s="689">
        <f t="shared" si="11"/>
        <v>-13147404.93</v>
      </c>
      <c r="Q12" s="789">
        <f>O12+P12</f>
        <v>-76488210.069999903</v>
      </c>
      <c r="S12" s="688">
        <f t="shared" si="13"/>
        <v>63340805.139999911</v>
      </c>
      <c r="T12" s="689">
        <f t="shared" si="13"/>
        <v>13147404.93</v>
      </c>
      <c r="U12" s="690">
        <f>S12+T12</f>
        <v>76488210.069999903</v>
      </c>
      <c r="W12" s="688">
        <f t="shared" si="12"/>
        <v>0</v>
      </c>
      <c r="X12" s="689">
        <f t="shared" si="12"/>
        <v>0</v>
      </c>
      <c r="Y12" s="690">
        <f>W12+X12</f>
        <v>0</v>
      </c>
      <c r="AD12" s="698"/>
    </row>
    <row r="13" spans="2:30" ht="30.75" customHeight="1" x14ac:dyDescent="0.2">
      <c r="B13" s="692" t="s">
        <v>219</v>
      </c>
      <c r="C13" s="735">
        <v>7438000</v>
      </c>
      <c r="D13" s="736"/>
      <c r="E13" s="737">
        <f t="shared" si="1"/>
        <v>7438000</v>
      </c>
      <c r="F13" s="795">
        <f>'Tabela de Comprometimento 29.09'!N97+'Tabela de Comprometimento 29.09'!O97</f>
        <v>3233165.9099999997</v>
      </c>
      <c r="G13" s="721">
        <f>'Tabela de Comprometimento 29.09'!P97+'Tabela de Comprometimento 29.09'!Q97</f>
        <v>0</v>
      </c>
      <c r="H13" s="798">
        <f>F13+G13</f>
        <v>3233165.9099999997</v>
      </c>
      <c r="I13" s="688">
        <f t="shared" si="10"/>
        <v>4204834.09</v>
      </c>
      <c r="J13" s="689">
        <f t="shared" si="10"/>
        <v>0</v>
      </c>
      <c r="K13" s="691">
        <f>I13+J13</f>
        <v>4204834.09</v>
      </c>
      <c r="L13" s="688">
        <f>'Tabela de Comprometimento 29.09'!AC97</f>
        <v>6274411.8200000003</v>
      </c>
      <c r="M13" s="689">
        <f>'Tabela de Comprometimento 29.09'!AD97</f>
        <v>0</v>
      </c>
      <c r="N13" s="690">
        <f t="shared" si="7"/>
        <v>6274411.8200000003</v>
      </c>
      <c r="O13" s="688">
        <f t="shared" si="11"/>
        <v>-2069577.7300000004</v>
      </c>
      <c r="P13" s="689">
        <f t="shared" si="11"/>
        <v>0</v>
      </c>
      <c r="Q13" s="789">
        <f t="shared" si="4"/>
        <v>-2069577.7300000004</v>
      </c>
      <c r="S13" s="688">
        <f t="shared" si="13"/>
        <v>9507577.7300000004</v>
      </c>
      <c r="T13" s="689">
        <f t="shared" si="13"/>
        <v>0</v>
      </c>
      <c r="U13" s="690">
        <f>S13+T13</f>
        <v>9507577.7300000004</v>
      </c>
      <c r="W13" s="688">
        <f>O13+S13</f>
        <v>7438000</v>
      </c>
      <c r="X13" s="689">
        <f>P13+T13</f>
        <v>0</v>
      </c>
      <c r="Y13" s="690">
        <f>W13+X13</f>
        <v>7438000</v>
      </c>
    </row>
    <row r="14" spans="2:30" ht="15.75" x14ac:dyDescent="0.2">
      <c r="B14" s="693" t="s">
        <v>220</v>
      </c>
      <c r="C14" s="738">
        <f t="shared" ref="C14:Q14" si="14">C15</f>
        <v>2500000</v>
      </c>
      <c r="D14" s="739">
        <f t="shared" si="14"/>
        <v>0</v>
      </c>
      <c r="E14" s="740">
        <f t="shared" si="14"/>
        <v>2500000</v>
      </c>
      <c r="F14" s="723">
        <f t="shared" si="14"/>
        <v>0</v>
      </c>
      <c r="G14" s="724">
        <f t="shared" si="14"/>
        <v>0</v>
      </c>
      <c r="H14" s="725">
        <f t="shared" si="14"/>
        <v>0</v>
      </c>
      <c r="I14" s="694">
        <f t="shared" si="14"/>
        <v>2500000</v>
      </c>
      <c r="J14" s="695">
        <f t="shared" si="14"/>
        <v>0</v>
      </c>
      <c r="K14" s="697">
        <f t="shared" si="14"/>
        <v>2500000</v>
      </c>
      <c r="L14" s="694">
        <f t="shared" si="14"/>
        <v>1138324.44</v>
      </c>
      <c r="M14" s="695">
        <f t="shared" si="14"/>
        <v>0</v>
      </c>
      <c r="N14" s="696">
        <f t="shared" si="14"/>
        <v>1138324.44</v>
      </c>
      <c r="O14" s="694">
        <f t="shared" si="14"/>
        <v>1361675.56</v>
      </c>
      <c r="P14" s="695">
        <f t="shared" si="14"/>
        <v>0</v>
      </c>
      <c r="Q14" s="696">
        <f t="shared" si="14"/>
        <v>1361675.56</v>
      </c>
      <c r="S14" s="694">
        <f>S15</f>
        <v>1138324.44</v>
      </c>
      <c r="T14" s="695">
        <f>T15</f>
        <v>0</v>
      </c>
      <c r="U14" s="696">
        <f>U15</f>
        <v>1138324.44</v>
      </c>
      <c r="W14" s="694">
        <f>W15</f>
        <v>2500000</v>
      </c>
      <c r="X14" s="695">
        <f>X15</f>
        <v>0</v>
      </c>
      <c r="Y14" s="696">
        <f>Y15</f>
        <v>2500000</v>
      </c>
    </row>
    <row r="15" spans="2:30" ht="31.5" x14ac:dyDescent="0.2">
      <c r="B15" s="699" t="s">
        <v>221</v>
      </c>
      <c r="C15" s="735">
        <v>2500000</v>
      </c>
      <c r="D15" s="736"/>
      <c r="E15" s="737">
        <f>D15+C15</f>
        <v>2500000</v>
      </c>
      <c r="F15" s="720">
        <f>'Tabela de Comprometimento 29.09'!N134+'Tabela de Comprometimento 29.09'!O134</f>
        <v>0</v>
      </c>
      <c r="G15" s="721">
        <f>+'Tabela de Comprometimento 29.09'!P134+'Tabela de Comprometimento 29.09'!Q134</f>
        <v>0</v>
      </c>
      <c r="H15" s="722">
        <f>G15+F15</f>
        <v>0</v>
      </c>
      <c r="I15" s="688">
        <f>C15-F15</f>
        <v>2500000</v>
      </c>
      <c r="J15" s="689">
        <f>D15-G15</f>
        <v>0</v>
      </c>
      <c r="K15" s="691">
        <f>J15+I15</f>
        <v>2500000</v>
      </c>
      <c r="L15" s="688">
        <f>'Tabela de Comprometimento 29.09'!AC133</f>
        <v>1138324.44</v>
      </c>
      <c r="M15" s="689">
        <f>'Tabela de Comprometimento 29.09'!AD133</f>
        <v>0</v>
      </c>
      <c r="N15" s="690">
        <f>M15+L15</f>
        <v>1138324.44</v>
      </c>
      <c r="O15" s="688">
        <f>I15-L15</f>
        <v>1361675.56</v>
      </c>
      <c r="P15" s="689">
        <f>J15-M15</f>
        <v>0</v>
      </c>
      <c r="Q15" s="690">
        <f>P15+O15</f>
        <v>1361675.56</v>
      </c>
      <c r="S15" s="688">
        <f>F15+L15</f>
        <v>1138324.44</v>
      </c>
      <c r="T15" s="689">
        <f>G15+M15</f>
        <v>0</v>
      </c>
      <c r="U15" s="690">
        <f>T15+S15</f>
        <v>1138324.44</v>
      </c>
      <c r="W15" s="688">
        <f>O15+S15</f>
        <v>2500000</v>
      </c>
      <c r="X15" s="689">
        <f>P15+T15</f>
        <v>0</v>
      </c>
      <c r="Y15" s="690">
        <f>X15+W15</f>
        <v>2500000</v>
      </c>
    </row>
    <row r="16" spans="2:30" ht="15.75" x14ac:dyDescent="0.2">
      <c r="B16" s="693" t="s">
        <v>222</v>
      </c>
      <c r="C16" s="738">
        <f t="shared" ref="C16:Q16" si="15">C17</f>
        <v>0</v>
      </c>
      <c r="D16" s="739">
        <f t="shared" si="15"/>
        <v>10000000</v>
      </c>
      <c r="E16" s="740">
        <f>E17</f>
        <v>10000000</v>
      </c>
      <c r="F16" s="726">
        <f t="shared" si="15"/>
        <v>0</v>
      </c>
      <c r="G16" s="724">
        <f t="shared" si="15"/>
        <v>6237355.4800000004</v>
      </c>
      <c r="H16" s="725">
        <f t="shared" si="15"/>
        <v>6237355.4800000004</v>
      </c>
      <c r="I16" s="700">
        <f t="shared" si="15"/>
        <v>0</v>
      </c>
      <c r="J16" s="695">
        <f t="shared" si="15"/>
        <v>3762644.5199999996</v>
      </c>
      <c r="K16" s="697">
        <f t="shared" si="15"/>
        <v>3762644.5199999996</v>
      </c>
      <c r="L16" s="700">
        <f t="shared" si="15"/>
        <v>0</v>
      </c>
      <c r="M16" s="695">
        <f t="shared" si="15"/>
        <v>2257103.17</v>
      </c>
      <c r="N16" s="696">
        <f t="shared" si="15"/>
        <v>2257103.17</v>
      </c>
      <c r="O16" s="700">
        <f>O17</f>
        <v>0</v>
      </c>
      <c r="P16" s="695">
        <f t="shared" si="15"/>
        <v>1505541.3499999996</v>
      </c>
      <c r="Q16" s="696">
        <f t="shared" si="15"/>
        <v>1505541.35</v>
      </c>
      <c r="S16" s="694">
        <f>S17</f>
        <v>0</v>
      </c>
      <c r="T16" s="695">
        <f>T17</f>
        <v>8494458.6500000004</v>
      </c>
      <c r="U16" s="696">
        <f>U17</f>
        <v>8494458.6500000004</v>
      </c>
      <c r="W16" s="700">
        <f>W17</f>
        <v>0</v>
      </c>
      <c r="X16" s="695">
        <f>X17</f>
        <v>10000000</v>
      </c>
      <c r="Y16" s="696">
        <f>Y17</f>
        <v>10000000</v>
      </c>
    </row>
    <row r="17" spans="2:30" ht="22.5" customHeight="1" x14ac:dyDescent="0.2">
      <c r="B17" s="701" t="s">
        <v>574</v>
      </c>
      <c r="C17" s="742"/>
      <c r="D17" s="743">
        <v>10000000</v>
      </c>
      <c r="E17" s="744">
        <f>C17+D17</f>
        <v>10000000</v>
      </c>
      <c r="F17" s="727">
        <f>'Tabela de Comprometimento 29.09'!N140+'Tabela de Comprometimento 29.09'!O140</f>
        <v>0</v>
      </c>
      <c r="G17" s="728">
        <f>'Tabela de Comprometimento 29.09'!P140+'Tabela de Comprometimento 29.09'!Q140</f>
        <v>6237355.4800000004</v>
      </c>
      <c r="H17" s="729">
        <f>F17+G17</f>
        <v>6237355.4800000004</v>
      </c>
      <c r="I17" s="702">
        <f>C17-F17</f>
        <v>0</v>
      </c>
      <c r="J17" s="703">
        <f>D17-G17</f>
        <v>3762644.5199999996</v>
      </c>
      <c r="K17" s="705">
        <f>J17+I17</f>
        <v>3762644.5199999996</v>
      </c>
      <c r="L17" s="702">
        <f>'Tabela de Comprometimento 29.09'!AC139</f>
        <v>0</v>
      </c>
      <c r="M17" s="703">
        <f>'Tabela de Comprometimento 29.09'!AD139</f>
        <v>2257103.17</v>
      </c>
      <c r="N17" s="704">
        <f>L17+M17</f>
        <v>2257103.17</v>
      </c>
      <c r="O17" s="688">
        <f>I17-L17</f>
        <v>0</v>
      </c>
      <c r="P17" s="689">
        <f>J17-M17</f>
        <v>1505541.3499999996</v>
      </c>
      <c r="Q17" s="704">
        <f>ROUND(P17+O17,2)</f>
        <v>1505541.35</v>
      </c>
      <c r="S17" s="688">
        <f>F17+L17</f>
        <v>0</v>
      </c>
      <c r="T17" s="689">
        <f>G17+M17</f>
        <v>8494458.6500000004</v>
      </c>
      <c r="U17" s="704">
        <f>T17+S17</f>
        <v>8494458.6500000004</v>
      </c>
      <c r="W17" s="702">
        <f>O17+S17</f>
        <v>0</v>
      </c>
      <c r="X17" s="703">
        <f>P17+T17</f>
        <v>10000000</v>
      </c>
      <c r="Y17" s="704">
        <f>X17+W17</f>
        <v>10000000</v>
      </c>
    </row>
    <row r="18" spans="2:30" ht="16.5" thickBot="1" x14ac:dyDescent="0.25">
      <c r="B18" s="706" t="s">
        <v>575</v>
      </c>
      <c r="C18" s="745">
        <v>11476000</v>
      </c>
      <c r="D18" s="746">
        <v>19078000</v>
      </c>
      <c r="E18" s="740">
        <f>D18+C18</f>
        <v>30554000</v>
      </c>
      <c r="F18" s="730"/>
      <c r="G18" s="731"/>
      <c r="H18" s="725">
        <f>G18+F18</f>
        <v>0</v>
      </c>
      <c r="I18" s="707">
        <f>C18-F18</f>
        <v>11476000</v>
      </c>
      <c r="J18" s="708">
        <f>D18-G18</f>
        <v>19078000</v>
      </c>
      <c r="K18" s="697">
        <f>J18+I18</f>
        <v>30554000</v>
      </c>
      <c r="L18" s="707">
        <f>'Tabela de Comprometimento 29.09'!AC142</f>
        <v>11476000</v>
      </c>
      <c r="M18" s="708">
        <f>'Tabela de Comprometimento 29.09'!AD142</f>
        <v>19078000</v>
      </c>
      <c r="N18" s="696">
        <f>M18+L18</f>
        <v>30554000</v>
      </c>
      <c r="O18" s="707">
        <f>I18-L18</f>
        <v>0</v>
      </c>
      <c r="P18" s="708">
        <f>J18-M18</f>
        <v>0</v>
      </c>
      <c r="Q18" s="696">
        <f>P18+O18</f>
        <v>0</v>
      </c>
      <c r="S18" s="707">
        <f>F18+L18</f>
        <v>11476000</v>
      </c>
      <c r="T18" s="708">
        <f>G18+M18</f>
        <v>19078000</v>
      </c>
      <c r="U18" s="696">
        <f>T18+S18</f>
        <v>30554000</v>
      </c>
      <c r="W18" s="707">
        <f>O18+S18</f>
        <v>11476000</v>
      </c>
      <c r="X18" s="708">
        <f>P18+T18</f>
        <v>19078000</v>
      </c>
      <c r="Y18" s="696">
        <f>X18+W18</f>
        <v>30554000</v>
      </c>
      <c r="AA18" s="766">
        <f>+Y18</f>
        <v>30554000</v>
      </c>
    </row>
    <row r="19" spans="2:30" ht="16.5" thickBot="1" x14ac:dyDescent="0.25">
      <c r="B19" s="709" t="s">
        <v>0</v>
      </c>
      <c r="C19" s="747">
        <f>C5+C9+C14+C16+C18</f>
        <v>280000000</v>
      </c>
      <c r="D19" s="748">
        <f>D5+D9+D14+D16+D18</f>
        <v>120000000</v>
      </c>
      <c r="E19" s="749">
        <f>E5+E9+E14+E16+E18</f>
        <v>400000000</v>
      </c>
      <c r="F19" s="732">
        <f t="shared" ref="F19:Q19" si="16">F5+F9+F14+F16+F18</f>
        <v>171471293.3599999</v>
      </c>
      <c r="G19" s="733">
        <f t="shared" si="16"/>
        <v>29314021.530000001</v>
      </c>
      <c r="H19" s="734">
        <f t="shared" si="16"/>
        <v>200785314.88999987</v>
      </c>
      <c r="I19" s="710">
        <f t="shared" si="16"/>
        <v>108528706.6400001</v>
      </c>
      <c r="J19" s="711">
        <f t="shared" si="16"/>
        <v>90685978.469999999</v>
      </c>
      <c r="K19" s="713">
        <f t="shared" si="16"/>
        <v>199214685.1100001</v>
      </c>
      <c r="L19" s="710">
        <f>L5+L9+L14+L16+L18</f>
        <v>108528706.64000002</v>
      </c>
      <c r="M19" s="711">
        <f>M5+M9+M14+M16+M18</f>
        <v>72455389.960000008</v>
      </c>
      <c r="N19" s="711">
        <f t="shared" si="16"/>
        <v>180984096.59999999</v>
      </c>
      <c r="O19" s="710">
        <f t="shared" si="16"/>
        <v>7.9628080129623413E-8</v>
      </c>
      <c r="P19" s="711">
        <f t="shared" si="16"/>
        <v>18230588.509999998</v>
      </c>
      <c r="Q19" s="712">
        <f t="shared" si="16"/>
        <v>18230588.51000008</v>
      </c>
      <c r="S19" s="710">
        <f>S5+S9+S14+S16+S18</f>
        <v>279999999.99999994</v>
      </c>
      <c r="T19" s="711">
        <f>T5+T9+T14+T16+T18</f>
        <v>101769411.49000001</v>
      </c>
      <c r="U19" s="712">
        <f>U5+U9+U14+U16+U18</f>
        <v>381769411.48999995</v>
      </c>
      <c r="W19" s="710">
        <f>W5+W9+W14+W16+W18</f>
        <v>280000000</v>
      </c>
      <c r="X19" s="711">
        <f>X5+X9+X14+X16+X18</f>
        <v>120000000</v>
      </c>
      <c r="Y19" s="712">
        <f>Y5+Y9+Y14+Y16+Y18</f>
        <v>400000000</v>
      </c>
    </row>
    <row r="20" spans="2:30" s="718" customFormat="1" ht="17.25" thickTop="1" thickBot="1" x14ac:dyDescent="0.25">
      <c r="B20" s="709" t="s">
        <v>576</v>
      </c>
      <c r="C20" s="714">
        <f>C19/E19</f>
        <v>0.7</v>
      </c>
      <c r="D20" s="715">
        <f>D19/E19</f>
        <v>0.3</v>
      </c>
      <c r="E20" s="716">
        <f>C20+D20</f>
        <v>1</v>
      </c>
      <c r="F20" s="714">
        <f>F19/H19</f>
        <v>0.85400315981246122</v>
      </c>
      <c r="G20" s="715">
        <f>G19/H19</f>
        <v>0.14599684018753897</v>
      </c>
      <c r="H20" s="716">
        <f>F20+G20</f>
        <v>1.0000000000000002</v>
      </c>
      <c r="I20" s="714">
        <f>I19/K19</f>
        <v>0.54478266288488697</v>
      </c>
      <c r="J20" s="715">
        <f>J19/K19</f>
        <v>0.45521733711511297</v>
      </c>
      <c r="K20" s="717">
        <f>I20+J20</f>
        <v>1</v>
      </c>
      <c r="L20" s="714">
        <f>L19/N19</f>
        <v>0.59965880250718129</v>
      </c>
      <c r="M20" s="715">
        <f>M19/N19</f>
        <v>0.40034119749281888</v>
      </c>
      <c r="N20" s="716">
        <f>L20+M20</f>
        <v>1.0000000000000002</v>
      </c>
      <c r="O20" s="714">
        <f>O19/Q19</f>
        <v>4.3678282840921332E-15</v>
      </c>
      <c r="P20" s="715">
        <f>P19/Q19</f>
        <v>0.99999999999999556</v>
      </c>
      <c r="Q20" s="716">
        <f>O20+P20</f>
        <v>0.99999999999999989</v>
      </c>
      <c r="S20" s="765">
        <f>S19/U19</f>
        <v>0.73342701529489684</v>
      </c>
      <c r="T20" s="715">
        <f>T19/U19</f>
        <v>0.26657298470510321</v>
      </c>
      <c r="U20" s="716">
        <f>S20+T20</f>
        <v>1</v>
      </c>
      <c r="W20" s="714">
        <f>W19/Y19</f>
        <v>0.7</v>
      </c>
      <c r="X20" s="715">
        <f>X19/Y19</f>
        <v>0.3</v>
      </c>
      <c r="Y20" s="716">
        <f>W20+X20</f>
        <v>1</v>
      </c>
    </row>
    <row r="21" spans="2:30" ht="18.75" customHeight="1" thickTop="1" x14ac:dyDescent="0.35">
      <c r="B21" s="1511" t="s">
        <v>589</v>
      </c>
      <c r="C21" s="1511"/>
      <c r="D21" s="1511"/>
      <c r="E21" s="1511"/>
      <c r="F21" s="1511"/>
      <c r="G21" s="1511"/>
      <c r="H21" s="1511"/>
      <c r="I21" s="1511"/>
      <c r="J21" s="1511"/>
      <c r="K21" s="1511"/>
      <c r="L21" s="1511"/>
      <c r="M21" s="1511"/>
      <c r="N21" s="1511"/>
      <c r="O21" s="666"/>
      <c r="P21" s="666"/>
      <c r="Q21" s="719"/>
      <c r="R21" s="666"/>
      <c r="S21" s="666"/>
      <c r="T21" s="666"/>
      <c r="U21" s="666"/>
      <c r="Y21" s="668" t="s">
        <v>83</v>
      </c>
      <c r="AA21" s="766">
        <f>+Y19-U19</f>
        <v>18230588.51000005</v>
      </c>
      <c r="AC21" s="834">
        <f>+AA21*3.7</f>
        <v>67453177.487000182</v>
      </c>
    </row>
    <row r="23" spans="2:30" ht="53.25" customHeight="1" thickTop="1" thickBot="1" x14ac:dyDescent="0.4">
      <c r="B23" s="1521" t="s">
        <v>569</v>
      </c>
      <c r="C23" s="1523" t="s">
        <v>661</v>
      </c>
      <c r="D23" s="1524"/>
      <c r="E23" s="1525"/>
      <c r="F23" s="1526" t="s">
        <v>578</v>
      </c>
      <c r="G23" s="1524"/>
      <c r="H23" s="1524"/>
      <c r="I23" s="1523" t="s">
        <v>580</v>
      </c>
      <c r="J23" s="1524"/>
      <c r="K23" s="1524"/>
      <c r="L23" s="1527" t="s">
        <v>579</v>
      </c>
      <c r="M23" s="1528"/>
      <c r="N23" s="1529"/>
      <c r="O23" s="1512" t="s">
        <v>570</v>
      </c>
      <c r="P23" s="1513"/>
      <c r="Q23" s="1514"/>
      <c r="S23" s="1515" t="s">
        <v>571</v>
      </c>
      <c r="T23" s="1516"/>
      <c r="U23" s="1517"/>
      <c r="W23" s="1518" t="s">
        <v>572</v>
      </c>
      <c r="X23" s="1519"/>
      <c r="Y23" s="1520"/>
      <c r="AC23" s="834">
        <f>+AC21/3.1394</f>
        <v>21486009.265146263</v>
      </c>
    </row>
    <row r="24" spans="2:30" ht="18" customHeight="1" thickBot="1" x14ac:dyDescent="0.25">
      <c r="B24" s="1522"/>
      <c r="C24" s="669" t="s">
        <v>86</v>
      </c>
      <c r="D24" s="670" t="s">
        <v>87</v>
      </c>
      <c r="E24" s="671" t="s">
        <v>92</v>
      </c>
      <c r="F24" s="669" t="s">
        <v>86</v>
      </c>
      <c r="G24" s="670" t="s">
        <v>87</v>
      </c>
      <c r="H24" s="671" t="s">
        <v>92</v>
      </c>
      <c r="I24" s="669" t="s">
        <v>86</v>
      </c>
      <c r="J24" s="670" t="s">
        <v>87</v>
      </c>
      <c r="K24" s="672" t="s">
        <v>92</v>
      </c>
      <c r="L24" s="673" t="s">
        <v>86</v>
      </c>
      <c r="M24" s="674" t="s">
        <v>87</v>
      </c>
      <c r="N24" s="675" t="s">
        <v>92</v>
      </c>
      <c r="O24" s="673" t="s">
        <v>86</v>
      </c>
      <c r="P24" s="674" t="s">
        <v>87</v>
      </c>
      <c r="Q24" s="675" t="s">
        <v>92</v>
      </c>
      <c r="S24" s="676" t="s">
        <v>86</v>
      </c>
      <c r="T24" s="677" t="s">
        <v>87</v>
      </c>
      <c r="U24" s="678" t="s">
        <v>92</v>
      </c>
      <c r="W24" s="679" t="s">
        <v>86</v>
      </c>
      <c r="X24" s="680" t="s">
        <v>87</v>
      </c>
      <c r="Y24" s="681" t="s">
        <v>92</v>
      </c>
    </row>
    <row r="25" spans="2:30" ht="31.5" x14ac:dyDescent="0.2">
      <c r="B25" s="682" t="s">
        <v>189</v>
      </c>
      <c r="C25" s="683">
        <f t="shared" ref="C25:Q25" si="17">C26+C27+C28</f>
        <v>30446165.91</v>
      </c>
      <c r="D25" s="684">
        <f t="shared" si="17"/>
        <v>23931834.09</v>
      </c>
      <c r="E25" s="685">
        <f t="shared" si="17"/>
        <v>54378000</v>
      </c>
      <c r="F25" s="683">
        <f t="shared" si="17"/>
        <v>10617445.379999999</v>
      </c>
      <c r="G25" s="684">
        <f t="shared" si="17"/>
        <v>22051839.57</v>
      </c>
      <c r="H25" s="685">
        <f t="shared" si="17"/>
        <v>32669284.949999999</v>
      </c>
      <c r="I25" s="683">
        <f t="shared" si="17"/>
        <v>19828720.530000001</v>
      </c>
      <c r="J25" s="684">
        <f t="shared" si="17"/>
        <v>1879994.5199999998</v>
      </c>
      <c r="K25" s="686">
        <f t="shared" si="17"/>
        <v>21708715.049999997</v>
      </c>
      <c r="L25" s="683">
        <f t="shared" si="17"/>
        <v>19587220.880000003</v>
      </c>
      <c r="M25" s="684">
        <f t="shared" si="17"/>
        <v>488422.28</v>
      </c>
      <c r="N25" s="685">
        <f t="shared" si="17"/>
        <v>20075643.160000004</v>
      </c>
      <c r="O25" s="683">
        <f t="shared" si="17"/>
        <v>241499.64999999944</v>
      </c>
      <c r="P25" s="684">
        <f t="shared" si="17"/>
        <v>1391572.2399999998</v>
      </c>
      <c r="Q25" s="685">
        <f t="shared" si="17"/>
        <v>1633071.8899999992</v>
      </c>
      <c r="S25" s="683">
        <f>S26+S27+S28</f>
        <v>30204666.260000002</v>
      </c>
      <c r="T25" s="684">
        <f>T26+T27+T28</f>
        <v>22540261.850000001</v>
      </c>
      <c r="U25" s="685">
        <f>U26+U27+U28</f>
        <v>52744928.109999999</v>
      </c>
      <c r="W25" s="683">
        <f>W26+W27+W28</f>
        <v>30446165.91</v>
      </c>
      <c r="X25" s="684">
        <f>X26+X27+X28</f>
        <v>23931834.09</v>
      </c>
      <c r="Y25" s="685">
        <f>Y26+Y27+Y28</f>
        <v>54378000</v>
      </c>
    </row>
    <row r="26" spans="2:30" ht="19.5" customHeight="1" x14ac:dyDescent="0.2">
      <c r="B26" s="687" t="s">
        <v>190</v>
      </c>
      <c r="C26" s="735">
        <v>1828000</v>
      </c>
      <c r="D26" s="736">
        <v>6052000</v>
      </c>
      <c r="E26" s="737">
        <f>C26+D26</f>
        <v>7880000</v>
      </c>
      <c r="F26" s="720">
        <f t="shared" ref="F26:G28" si="18">F6</f>
        <v>741423.09</v>
      </c>
      <c r="G26" s="721">
        <f t="shared" si="18"/>
        <v>4148939.37</v>
      </c>
      <c r="H26" s="722">
        <f>F26+G26</f>
        <v>4890362.46</v>
      </c>
      <c r="I26" s="688">
        <f t="shared" ref="I26:J28" si="19">C26-F26</f>
        <v>1086576.9100000001</v>
      </c>
      <c r="J26" s="689">
        <f t="shared" si="19"/>
        <v>1903060.63</v>
      </c>
      <c r="K26" s="691">
        <f>I26+J26</f>
        <v>2989637.54</v>
      </c>
      <c r="L26" s="688">
        <f t="shared" ref="L26:M28" si="20">L6</f>
        <v>1691034.25</v>
      </c>
      <c r="M26" s="689">
        <f t="shared" si="20"/>
        <v>488422.28</v>
      </c>
      <c r="N26" s="690">
        <f t="shared" ref="N26:N33" si="21">L26+M26</f>
        <v>2179456.5300000003</v>
      </c>
      <c r="O26" s="688">
        <f t="shared" ref="O26:P28" si="22">I26-L26</f>
        <v>-604457.33999999985</v>
      </c>
      <c r="P26" s="689">
        <f t="shared" si="22"/>
        <v>1414638.3499999999</v>
      </c>
      <c r="Q26" s="690">
        <f>O26+P26</f>
        <v>810181.01</v>
      </c>
      <c r="S26" s="688">
        <f t="shared" ref="S26:T28" si="23">F26+L26</f>
        <v>2432457.34</v>
      </c>
      <c r="T26" s="689">
        <f t="shared" si="23"/>
        <v>4637361.6500000004</v>
      </c>
      <c r="U26" s="690">
        <f>S26+T26</f>
        <v>7069818.9900000002</v>
      </c>
      <c r="W26" s="688">
        <f t="shared" ref="W26:X28" si="24">O26+S26</f>
        <v>1828000</v>
      </c>
      <c r="X26" s="689">
        <f t="shared" si="24"/>
        <v>6052000</v>
      </c>
      <c r="Y26" s="690">
        <f>W26+X26</f>
        <v>7880000</v>
      </c>
    </row>
    <row r="27" spans="2:30" ht="34.5" customHeight="1" x14ac:dyDescent="0.2">
      <c r="B27" s="692" t="s">
        <v>193</v>
      </c>
      <c r="C27" s="735">
        <v>20120165.91</v>
      </c>
      <c r="D27" s="736">
        <v>17879834.09</v>
      </c>
      <c r="E27" s="786">
        <f>C27+D27</f>
        <v>38000000</v>
      </c>
      <c r="F27" s="720">
        <f t="shared" si="18"/>
        <v>7772941.2499999991</v>
      </c>
      <c r="G27" s="721">
        <f t="shared" si="18"/>
        <v>17879834.09</v>
      </c>
      <c r="H27" s="722">
        <f>F27+G27</f>
        <v>25652775.34</v>
      </c>
      <c r="I27" s="688">
        <f t="shared" si="19"/>
        <v>12347224.66</v>
      </c>
      <c r="J27" s="689">
        <f t="shared" si="19"/>
        <v>0</v>
      </c>
      <c r="K27" s="691">
        <f>I27+J27</f>
        <v>12347224.66</v>
      </c>
      <c r="L27" s="688">
        <f t="shared" si="20"/>
        <v>12347224.66</v>
      </c>
      <c r="M27" s="689">
        <f t="shared" si="20"/>
        <v>0</v>
      </c>
      <c r="N27" s="690">
        <f t="shared" si="21"/>
        <v>12347224.66</v>
      </c>
      <c r="O27" s="688">
        <f t="shared" si="22"/>
        <v>0</v>
      </c>
      <c r="P27" s="689">
        <f t="shared" si="22"/>
        <v>0</v>
      </c>
      <c r="Q27" s="690">
        <f>O27+P27</f>
        <v>0</v>
      </c>
      <c r="S27" s="688">
        <f t="shared" si="23"/>
        <v>20120165.91</v>
      </c>
      <c r="T27" s="689">
        <f t="shared" si="23"/>
        <v>17879834.09</v>
      </c>
      <c r="U27" s="690">
        <f>S27+T27</f>
        <v>38000000</v>
      </c>
      <c r="W27" s="688">
        <f t="shared" si="24"/>
        <v>20120165.91</v>
      </c>
      <c r="X27" s="689">
        <f t="shared" si="24"/>
        <v>17879834.09</v>
      </c>
      <c r="Y27" s="690">
        <f>W27+X27</f>
        <v>38000000</v>
      </c>
    </row>
    <row r="28" spans="2:30" ht="19.5" customHeight="1" x14ac:dyDescent="0.2">
      <c r="B28" s="687" t="s">
        <v>198</v>
      </c>
      <c r="C28" s="735">
        <v>8498000</v>
      </c>
      <c r="D28" s="736"/>
      <c r="E28" s="737">
        <f>C28+D28</f>
        <v>8498000</v>
      </c>
      <c r="F28" s="720">
        <f t="shared" si="18"/>
        <v>2103081.04</v>
      </c>
      <c r="G28" s="721">
        <f t="shared" si="18"/>
        <v>23066.11</v>
      </c>
      <c r="H28" s="722">
        <f>F28+G28</f>
        <v>2126147.15</v>
      </c>
      <c r="I28" s="688">
        <f t="shared" si="19"/>
        <v>6394918.96</v>
      </c>
      <c r="J28" s="782">
        <f t="shared" si="19"/>
        <v>-23066.11</v>
      </c>
      <c r="K28" s="691">
        <f>I28+J28</f>
        <v>6371852.8499999996</v>
      </c>
      <c r="L28" s="688">
        <f t="shared" si="20"/>
        <v>5548961.9700000007</v>
      </c>
      <c r="M28" s="689">
        <f t="shared" si="20"/>
        <v>0</v>
      </c>
      <c r="N28" s="690">
        <f t="shared" si="21"/>
        <v>5548961.9700000007</v>
      </c>
      <c r="O28" s="688">
        <f t="shared" si="22"/>
        <v>845956.98999999929</v>
      </c>
      <c r="P28" s="689">
        <f t="shared" si="22"/>
        <v>-23066.11</v>
      </c>
      <c r="Q28" s="690">
        <f>O28+P28</f>
        <v>822890.87999999931</v>
      </c>
      <c r="S28" s="688">
        <f t="shared" si="23"/>
        <v>7652043.0100000007</v>
      </c>
      <c r="T28" s="689">
        <f t="shared" si="23"/>
        <v>23066.11</v>
      </c>
      <c r="U28" s="690">
        <f>S28+T28</f>
        <v>7675109.120000001</v>
      </c>
      <c r="W28" s="688">
        <f t="shared" si="24"/>
        <v>8498000</v>
      </c>
      <c r="X28" s="689">
        <f t="shared" si="24"/>
        <v>0</v>
      </c>
      <c r="Y28" s="690">
        <f>W28+X28</f>
        <v>8498000</v>
      </c>
    </row>
    <row r="29" spans="2:30" ht="15.75" x14ac:dyDescent="0.2">
      <c r="B29" s="693" t="s">
        <v>203</v>
      </c>
      <c r="C29" s="726">
        <f>C30+C31+C32+C33</f>
        <v>235577834.09</v>
      </c>
      <c r="D29" s="724">
        <f>D30+D31+D32+D33</f>
        <v>66990165.909999996</v>
      </c>
      <c r="E29" s="762">
        <f>E30+E31+E32+E33</f>
        <v>302568000</v>
      </c>
      <c r="F29" s="726">
        <f>+F30+F33</f>
        <v>160853847.9799999</v>
      </c>
      <c r="G29" s="724">
        <f>+G30+G33</f>
        <v>1024826.48</v>
      </c>
      <c r="H29" s="762">
        <f>H30+H31+H32+H33</f>
        <v>320524183.00999981</v>
      </c>
      <c r="I29" s="723">
        <f>+I30+I33</f>
        <v>74723986.110000104</v>
      </c>
      <c r="J29" s="724">
        <f>+J30+J33</f>
        <v>65965339.43</v>
      </c>
      <c r="K29" s="725">
        <f t="shared" ref="K29:Q29" si="25">+K30+K33</f>
        <v>140689325.54000011</v>
      </c>
      <c r="L29" s="807">
        <f t="shared" si="25"/>
        <v>76327161.320000023</v>
      </c>
      <c r="M29" s="808">
        <f t="shared" si="25"/>
        <v>50631864.510000005</v>
      </c>
      <c r="N29" s="808">
        <f t="shared" si="25"/>
        <v>126959025.83000001</v>
      </c>
      <c r="O29" s="726">
        <f t="shared" si="25"/>
        <v>-1603175.2099999152</v>
      </c>
      <c r="P29" s="724">
        <f t="shared" si="25"/>
        <v>15333474.919999994</v>
      </c>
      <c r="Q29" s="725">
        <f t="shared" si="25"/>
        <v>13730299.710000079</v>
      </c>
      <c r="S29" s="726">
        <f>+S30+S33</f>
        <v>237181009.29999992</v>
      </c>
      <c r="T29" s="724">
        <f>+T30+T33</f>
        <v>51656690.990000002</v>
      </c>
      <c r="U29" s="725">
        <f>+U30+U33</f>
        <v>288837700.28999996</v>
      </c>
      <c r="W29" s="726">
        <f>+W30+W33</f>
        <v>235577834.09000003</v>
      </c>
      <c r="X29" s="724">
        <f>+X30+X33</f>
        <v>66990165.909999996</v>
      </c>
      <c r="Y29" s="724">
        <f>+Y30+Y33</f>
        <v>302568000</v>
      </c>
    </row>
    <row r="30" spans="2:30" ht="30" customHeight="1" x14ac:dyDescent="0.2">
      <c r="B30" s="692" t="s">
        <v>573</v>
      </c>
      <c r="C30" s="784">
        <f>239688000+C43</f>
        <v>228139834.09</v>
      </c>
      <c r="D30" s="785">
        <f>57647000+D43</f>
        <v>66990165.909999996</v>
      </c>
      <c r="E30" s="786">
        <f>+C30+D30</f>
        <v>295130000</v>
      </c>
      <c r="F30" s="795">
        <f>+F31+F32</f>
        <v>157620682.0699999</v>
      </c>
      <c r="G30" s="721">
        <f>+G31+G32</f>
        <v>1024826.48</v>
      </c>
      <c r="H30" s="799">
        <f>+H31+H32</f>
        <v>158645508.54999989</v>
      </c>
      <c r="I30" s="803">
        <f t="shared" ref="I30:J33" si="26">C30-F30</f>
        <v>70519152.0200001</v>
      </c>
      <c r="J30" s="804">
        <f t="shared" si="26"/>
        <v>65965339.43</v>
      </c>
      <c r="K30" s="805">
        <f>I30+J30</f>
        <v>136484491.45000011</v>
      </c>
      <c r="L30" s="809">
        <f>+L31+L32</f>
        <v>70052749.500000015</v>
      </c>
      <c r="M30" s="810">
        <f>+M31+M32</f>
        <v>50631864.510000005</v>
      </c>
      <c r="N30" s="811">
        <f>+N31+N32</f>
        <v>120684614.01000002</v>
      </c>
      <c r="O30" s="812">
        <f t="shared" ref="O30:P33" si="27">I30-L30</f>
        <v>466402.52000008523</v>
      </c>
      <c r="P30" s="813">
        <f t="shared" si="27"/>
        <v>15333474.919999994</v>
      </c>
      <c r="Q30" s="814">
        <f>O30+P30</f>
        <v>15799877.44000008</v>
      </c>
      <c r="S30" s="795">
        <f>+S31+S32</f>
        <v>227673431.56999993</v>
      </c>
      <c r="T30" s="721">
        <f>+T31+T32</f>
        <v>51656690.990000002</v>
      </c>
      <c r="U30" s="798">
        <f>+U31+U32</f>
        <v>279330122.55999994</v>
      </c>
      <c r="W30" s="688">
        <f t="shared" ref="W30:X33" si="28">O30+S30</f>
        <v>228139834.09000003</v>
      </c>
      <c r="X30" s="689">
        <f t="shared" si="28"/>
        <v>66990165.909999996</v>
      </c>
      <c r="Y30" s="690">
        <f>W30+X30</f>
        <v>295130000</v>
      </c>
      <c r="AD30" s="698"/>
    </row>
    <row r="31" spans="2:30" ht="30" customHeight="1" x14ac:dyDescent="0.2">
      <c r="B31" s="692" t="s">
        <v>590</v>
      </c>
      <c r="C31" s="735"/>
      <c r="D31" s="736"/>
      <c r="E31" s="737">
        <f>+C31+D31</f>
        <v>0</v>
      </c>
      <c r="F31" s="720">
        <f t="shared" ref="F31:G33" si="29">F11</f>
        <v>95975990.049999982</v>
      </c>
      <c r="G31" s="721">
        <f t="shared" si="29"/>
        <v>0</v>
      </c>
      <c r="H31" s="722">
        <f>F31+G31</f>
        <v>95975990.049999982</v>
      </c>
      <c r="I31" s="688">
        <f t="shared" si="26"/>
        <v>-95975990.049999982</v>
      </c>
      <c r="J31" s="689">
        <f t="shared" si="26"/>
        <v>0</v>
      </c>
      <c r="K31" s="691">
        <f>I31+J31</f>
        <v>-95975990.049999982</v>
      </c>
      <c r="L31" s="688">
        <f t="shared" ref="L31:M33" si="30">L11</f>
        <v>68356636.38000001</v>
      </c>
      <c r="M31" s="689">
        <f t="shared" si="30"/>
        <v>38509286.060000002</v>
      </c>
      <c r="N31" s="690">
        <f>L31+M31</f>
        <v>106865922.44000001</v>
      </c>
      <c r="O31" s="688">
        <f t="shared" si="27"/>
        <v>-164332626.43000001</v>
      </c>
      <c r="P31" s="689">
        <f t="shared" si="27"/>
        <v>-38509286.060000002</v>
      </c>
      <c r="Q31" s="690">
        <f>O31+P31</f>
        <v>-202841912.49000001</v>
      </c>
      <c r="S31" s="688">
        <f t="shared" ref="S31:T33" si="31">F31+L31</f>
        <v>164332626.43000001</v>
      </c>
      <c r="T31" s="689">
        <f t="shared" si="31"/>
        <v>38509286.060000002</v>
      </c>
      <c r="U31" s="690">
        <f>S31+T31</f>
        <v>202841912.49000001</v>
      </c>
      <c r="W31" s="688">
        <f t="shared" si="28"/>
        <v>0</v>
      </c>
      <c r="X31" s="689">
        <f t="shared" si="28"/>
        <v>0</v>
      </c>
      <c r="Y31" s="690">
        <f>W31+X31</f>
        <v>0</v>
      </c>
      <c r="AD31" s="698"/>
    </row>
    <row r="32" spans="2:30" ht="30" customHeight="1" x14ac:dyDescent="0.2">
      <c r="B32" s="692" t="s">
        <v>591</v>
      </c>
      <c r="C32" s="735"/>
      <c r="D32" s="736"/>
      <c r="E32" s="737">
        <f>+C32+D32</f>
        <v>0</v>
      </c>
      <c r="F32" s="720">
        <f t="shared" si="29"/>
        <v>61644692.019999914</v>
      </c>
      <c r="G32" s="721">
        <f t="shared" si="29"/>
        <v>1024826.48</v>
      </c>
      <c r="H32" s="722">
        <f>F32+G32</f>
        <v>62669518.499999911</v>
      </c>
      <c r="I32" s="688">
        <f t="shared" si="26"/>
        <v>-61644692.019999914</v>
      </c>
      <c r="J32" s="689">
        <f t="shared" si="26"/>
        <v>-1024826.48</v>
      </c>
      <c r="K32" s="691">
        <f>I32+J32</f>
        <v>-62669518.499999911</v>
      </c>
      <c r="L32" s="688">
        <f t="shared" si="30"/>
        <v>1696113.12</v>
      </c>
      <c r="M32" s="689">
        <f t="shared" si="30"/>
        <v>12122578.449999999</v>
      </c>
      <c r="N32" s="690">
        <f>L32+M32</f>
        <v>13818691.57</v>
      </c>
      <c r="O32" s="688">
        <f t="shared" si="27"/>
        <v>-63340805.139999911</v>
      </c>
      <c r="P32" s="689">
        <f t="shared" si="27"/>
        <v>-13147404.93</v>
      </c>
      <c r="Q32" s="690">
        <f>O32+P32</f>
        <v>-76488210.069999903</v>
      </c>
      <c r="S32" s="688">
        <f t="shared" si="31"/>
        <v>63340805.139999911</v>
      </c>
      <c r="T32" s="689">
        <f t="shared" si="31"/>
        <v>13147404.93</v>
      </c>
      <c r="U32" s="690">
        <f>S32+T32</f>
        <v>76488210.069999903</v>
      </c>
      <c r="W32" s="688">
        <f t="shared" si="28"/>
        <v>0</v>
      </c>
      <c r="X32" s="689">
        <f t="shared" si="28"/>
        <v>0</v>
      </c>
      <c r="Y32" s="690">
        <f>W32+X32</f>
        <v>0</v>
      </c>
      <c r="AD32" s="698"/>
    </row>
    <row r="33" spans="2:25" ht="30.75" customHeight="1" x14ac:dyDescent="0.2">
      <c r="B33" s="692" t="s">
        <v>219</v>
      </c>
      <c r="C33" s="735">
        <v>7438000</v>
      </c>
      <c r="D33" s="736"/>
      <c r="E33" s="737">
        <f>C33+D33</f>
        <v>7438000</v>
      </c>
      <c r="F33" s="720">
        <f t="shared" si="29"/>
        <v>3233165.9099999997</v>
      </c>
      <c r="G33" s="721">
        <f t="shared" si="29"/>
        <v>0</v>
      </c>
      <c r="H33" s="722">
        <f>F33+G33</f>
        <v>3233165.9099999997</v>
      </c>
      <c r="I33" s="688">
        <f t="shared" si="26"/>
        <v>4204834.09</v>
      </c>
      <c r="J33" s="689">
        <f t="shared" si="26"/>
        <v>0</v>
      </c>
      <c r="K33" s="691">
        <f>I33+J33</f>
        <v>4204834.09</v>
      </c>
      <c r="L33" s="688">
        <f t="shared" si="30"/>
        <v>6274411.8200000003</v>
      </c>
      <c r="M33" s="689">
        <f t="shared" si="30"/>
        <v>0</v>
      </c>
      <c r="N33" s="690">
        <f t="shared" si="21"/>
        <v>6274411.8200000003</v>
      </c>
      <c r="O33" s="688">
        <f t="shared" si="27"/>
        <v>-2069577.7300000004</v>
      </c>
      <c r="P33" s="689">
        <f t="shared" si="27"/>
        <v>0</v>
      </c>
      <c r="Q33" s="690">
        <f>O33+P33</f>
        <v>-2069577.7300000004</v>
      </c>
      <c r="S33" s="688">
        <f t="shared" si="31"/>
        <v>9507577.7300000004</v>
      </c>
      <c r="T33" s="689">
        <f t="shared" si="31"/>
        <v>0</v>
      </c>
      <c r="U33" s="690">
        <f>S33+T33</f>
        <v>9507577.7300000004</v>
      </c>
      <c r="W33" s="688">
        <f t="shared" si="28"/>
        <v>7438000</v>
      </c>
      <c r="X33" s="689">
        <f t="shared" si="28"/>
        <v>0</v>
      </c>
      <c r="Y33" s="690">
        <f>W33+X33</f>
        <v>7438000</v>
      </c>
    </row>
    <row r="34" spans="2:25" ht="15.75" x14ac:dyDescent="0.2">
      <c r="B34" s="693" t="s">
        <v>220</v>
      </c>
      <c r="C34" s="738">
        <f t="shared" ref="C34:Q34" si="32">C35</f>
        <v>2500000</v>
      </c>
      <c r="D34" s="739">
        <f t="shared" si="32"/>
        <v>0</v>
      </c>
      <c r="E34" s="740">
        <f t="shared" si="32"/>
        <v>2500000</v>
      </c>
      <c r="F34" s="723">
        <f t="shared" si="32"/>
        <v>0</v>
      </c>
      <c r="G34" s="724">
        <f t="shared" si="32"/>
        <v>0</v>
      </c>
      <c r="H34" s="725">
        <f t="shared" si="32"/>
        <v>0</v>
      </c>
      <c r="I34" s="694">
        <f t="shared" si="32"/>
        <v>2500000</v>
      </c>
      <c r="J34" s="695">
        <f t="shared" si="32"/>
        <v>0</v>
      </c>
      <c r="K34" s="697">
        <f t="shared" si="32"/>
        <v>2500000</v>
      </c>
      <c r="L34" s="694">
        <f t="shared" si="32"/>
        <v>1138324.44</v>
      </c>
      <c r="M34" s="695">
        <f t="shared" si="32"/>
        <v>0</v>
      </c>
      <c r="N34" s="696">
        <f t="shared" si="32"/>
        <v>1138324.44</v>
      </c>
      <c r="O34" s="694">
        <f t="shared" si="32"/>
        <v>1361675.56</v>
      </c>
      <c r="P34" s="695">
        <f t="shared" si="32"/>
        <v>0</v>
      </c>
      <c r="Q34" s="696">
        <f t="shared" si="32"/>
        <v>1361675.56</v>
      </c>
      <c r="S34" s="694">
        <f>S35</f>
        <v>1138324.44</v>
      </c>
      <c r="T34" s="695">
        <f>T35</f>
        <v>0</v>
      </c>
      <c r="U34" s="696">
        <f>U35</f>
        <v>1138324.44</v>
      </c>
      <c r="W34" s="694">
        <f>W35</f>
        <v>2500000</v>
      </c>
      <c r="X34" s="695">
        <f>X35</f>
        <v>0</v>
      </c>
      <c r="Y34" s="696">
        <f>Y35</f>
        <v>2500000</v>
      </c>
    </row>
    <row r="35" spans="2:25" ht="31.5" x14ac:dyDescent="0.2">
      <c r="B35" s="699" t="s">
        <v>221</v>
      </c>
      <c r="C35" s="735">
        <v>2500000</v>
      </c>
      <c r="D35" s="736"/>
      <c r="E35" s="737">
        <f>D35+C35</f>
        <v>2500000</v>
      </c>
      <c r="F35" s="720">
        <f>F15</f>
        <v>0</v>
      </c>
      <c r="G35" s="721">
        <f>G15</f>
        <v>0</v>
      </c>
      <c r="H35" s="722">
        <f>G35+F35</f>
        <v>0</v>
      </c>
      <c r="I35" s="688">
        <f>C35-F35</f>
        <v>2500000</v>
      </c>
      <c r="J35" s="689">
        <f>D35-G35</f>
        <v>0</v>
      </c>
      <c r="K35" s="691">
        <f>J35+I35</f>
        <v>2500000</v>
      </c>
      <c r="L35" s="688">
        <f>L15</f>
        <v>1138324.44</v>
      </c>
      <c r="M35" s="689">
        <f>M15</f>
        <v>0</v>
      </c>
      <c r="N35" s="690">
        <f>M35+L35</f>
        <v>1138324.44</v>
      </c>
      <c r="O35" s="688">
        <f>I35-L35</f>
        <v>1361675.56</v>
      </c>
      <c r="P35" s="689">
        <f>J35-M35</f>
        <v>0</v>
      </c>
      <c r="Q35" s="690">
        <f>P35+O35</f>
        <v>1361675.56</v>
      </c>
      <c r="S35" s="688">
        <f>F35+L35</f>
        <v>1138324.44</v>
      </c>
      <c r="T35" s="689">
        <f>G35+M35</f>
        <v>0</v>
      </c>
      <c r="U35" s="690">
        <f>T35+S35</f>
        <v>1138324.44</v>
      </c>
      <c r="W35" s="688">
        <f>O35+S35</f>
        <v>2500000</v>
      </c>
      <c r="X35" s="689">
        <f>P35+T35</f>
        <v>0</v>
      </c>
      <c r="Y35" s="690">
        <f>X35+W35</f>
        <v>2500000</v>
      </c>
    </row>
    <row r="36" spans="2:25" ht="15.75" x14ac:dyDescent="0.2">
      <c r="B36" s="693" t="s">
        <v>222</v>
      </c>
      <c r="C36" s="741">
        <f t="shared" ref="C36:Q36" si="33">C37</f>
        <v>0</v>
      </c>
      <c r="D36" s="739">
        <f t="shared" si="33"/>
        <v>10000000</v>
      </c>
      <c r="E36" s="740">
        <f>E37</f>
        <v>10000000</v>
      </c>
      <c r="F36" s="726">
        <f t="shared" si="33"/>
        <v>0</v>
      </c>
      <c r="G36" s="724">
        <f t="shared" si="33"/>
        <v>6237355.4800000004</v>
      </c>
      <c r="H36" s="725">
        <f t="shared" si="33"/>
        <v>6237355.4800000004</v>
      </c>
      <c r="I36" s="700">
        <f t="shared" si="33"/>
        <v>0</v>
      </c>
      <c r="J36" s="695">
        <f t="shared" si="33"/>
        <v>3762644.5199999996</v>
      </c>
      <c r="K36" s="697">
        <f t="shared" si="33"/>
        <v>3762644.5199999996</v>
      </c>
      <c r="L36" s="700">
        <f t="shared" si="33"/>
        <v>0</v>
      </c>
      <c r="M36" s="695">
        <f t="shared" si="33"/>
        <v>2257103.17</v>
      </c>
      <c r="N36" s="696">
        <f t="shared" si="33"/>
        <v>2257103.17</v>
      </c>
      <c r="O36" s="700">
        <f t="shared" si="33"/>
        <v>0</v>
      </c>
      <c r="P36" s="695">
        <f t="shared" si="33"/>
        <v>1505541.3499999996</v>
      </c>
      <c r="Q36" s="696">
        <f t="shared" si="33"/>
        <v>1505541.35</v>
      </c>
      <c r="S36" s="694">
        <f>S37</f>
        <v>0</v>
      </c>
      <c r="T36" s="695">
        <f>T37</f>
        <v>8494458.6500000004</v>
      </c>
      <c r="U36" s="696">
        <f>U37</f>
        <v>8494458.6500000004</v>
      </c>
      <c r="W36" s="700">
        <f>W37</f>
        <v>0</v>
      </c>
      <c r="X36" s="695">
        <f>X37</f>
        <v>10000000</v>
      </c>
      <c r="Y36" s="696">
        <f>Y37</f>
        <v>10000000</v>
      </c>
    </row>
    <row r="37" spans="2:25" ht="22.5" customHeight="1" x14ac:dyDescent="0.2">
      <c r="B37" s="701" t="s">
        <v>574</v>
      </c>
      <c r="C37" s="742"/>
      <c r="D37" s="743">
        <v>10000000</v>
      </c>
      <c r="E37" s="744">
        <f>C37+D37</f>
        <v>10000000</v>
      </c>
      <c r="F37" s="720">
        <f>F17</f>
        <v>0</v>
      </c>
      <c r="G37" s="721">
        <f>G17</f>
        <v>6237355.4800000004</v>
      </c>
      <c r="H37" s="729">
        <f>F37+G37</f>
        <v>6237355.4800000004</v>
      </c>
      <c r="I37" s="702">
        <f>C37-F37</f>
        <v>0</v>
      </c>
      <c r="J37" s="703">
        <f>D37-G37</f>
        <v>3762644.5199999996</v>
      </c>
      <c r="K37" s="705">
        <f>J37+I37</f>
        <v>3762644.5199999996</v>
      </c>
      <c r="L37" s="688">
        <f>L17</f>
        <v>0</v>
      </c>
      <c r="M37" s="689">
        <f>M17</f>
        <v>2257103.17</v>
      </c>
      <c r="N37" s="704">
        <f>L37+M37</f>
        <v>2257103.17</v>
      </c>
      <c r="O37" s="688">
        <f>I37-L37</f>
        <v>0</v>
      </c>
      <c r="P37" s="689">
        <f>J37-M37</f>
        <v>1505541.3499999996</v>
      </c>
      <c r="Q37" s="704">
        <f>ROUND(P37+O37,2)</f>
        <v>1505541.35</v>
      </c>
      <c r="S37" s="688">
        <f>F37+L37</f>
        <v>0</v>
      </c>
      <c r="T37" s="689">
        <f>G37+M37</f>
        <v>8494458.6500000004</v>
      </c>
      <c r="U37" s="704">
        <f>T37+S37</f>
        <v>8494458.6500000004</v>
      </c>
      <c r="W37" s="702">
        <f>O37+S37</f>
        <v>0</v>
      </c>
      <c r="X37" s="703">
        <f>P37+T37</f>
        <v>10000000</v>
      </c>
      <c r="Y37" s="704">
        <f>X37+W37</f>
        <v>10000000</v>
      </c>
    </row>
    <row r="38" spans="2:25" ht="16.5" thickBot="1" x14ac:dyDescent="0.25">
      <c r="B38" s="706" t="s">
        <v>575</v>
      </c>
      <c r="C38" s="745">
        <v>11476000</v>
      </c>
      <c r="D38" s="746">
        <v>19078000</v>
      </c>
      <c r="E38" s="740">
        <f>D38+C38</f>
        <v>30554000</v>
      </c>
      <c r="F38" s="730"/>
      <c r="G38" s="731"/>
      <c r="H38" s="725">
        <f>G38+F38</f>
        <v>0</v>
      </c>
      <c r="I38" s="707">
        <f>C38-F38</f>
        <v>11476000</v>
      </c>
      <c r="J38" s="708">
        <f>D38-G38</f>
        <v>19078000</v>
      </c>
      <c r="K38" s="697">
        <f>J38+I38</f>
        <v>30554000</v>
      </c>
      <c r="L38" s="707">
        <f>L18</f>
        <v>11476000</v>
      </c>
      <c r="M38" s="708">
        <f>M18</f>
        <v>19078000</v>
      </c>
      <c r="N38" s="696">
        <f>M38+L38</f>
        <v>30554000</v>
      </c>
      <c r="O38" s="707">
        <f>I38-L38</f>
        <v>0</v>
      </c>
      <c r="P38" s="708">
        <f>J38-M38</f>
        <v>0</v>
      </c>
      <c r="Q38" s="696">
        <f>P38+O38</f>
        <v>0</v>
      </c>
      <c r="S38" s="707">
        <f>F38+L38</f>
        <v>11476000</v>
      </c>
      <c r="T38" s="708">
        <f>G38+M38</f>
        <v>19078000</v>
      </c>
      <c r="U38" s="696">
        <f>T38+S38</f>
        <v>30554000</v>
      </c>
      <c r="W38" s="707">
        <f>O38+S38</f>
        <v>11476000</v>
      </c>
      <c r="X38" s="708">
        <f>P38+T38</f>
        <v>19078000</v>
      </c>
      <c r="Y38" s="696">
        <f>X38+W38</f>
        <v>30554000</v>
      </c>
    </row>
    <row r="39" spans="2:25" ht="16.5" thickBot="1" x14ac:dyDescent="0.25">
      <c r="B39" s="709" t="s">
        <v>0</v>
      </c>
      <c r="C39" s="747">
        <f>C25+C29+C34+C36+C38</f>
        <v>280000000</v>
      </c>
      <c r="D39" s="748">
        <f>D25+D29+D34+D36+D38</f>
        <v>120000000</v>
      </c>
      <c r="E39" s="749">
        <f>E25+E29+E34+E36+E38</f>
        <v>400000000</v>
      </c>
      <c r="F39" s="732">
        <f t="shared" ref="F39:Q39" si="34">F25+F29+F34+F36+F38</f>
        <v>171471293.3599999</v>
      </c>
      <c r="G39" s="733">
        <f t="shared" si="34"/>
        <v>29314021.530000001</v>
      </c>
      <c r="H39" s="734">
        <f t="shared" si="34"/>
        <v>359430823.43999982</v>
      </c>
      <c r="I39" s="710">
        <f t="shared" si="34"/>
        <v>108528706.6400001</v>
      </c>
      <c r="J39" s="711">
        <f t="shared" si="34"/>
        <v>90685978.469999999</v>
      </c>
      <c r="K39" s="713">
        <f t="shared" si="34"/>
        <v>199214685.1100001</v>
      </c>
      <c r="L39" s="710">
        <f t="shared" si="34"/>
        <v>108528706.64000002</v>
      </c>
      <c r="M39" s="711">
        <f t="shared" si="34"/>
        <v>72455389.960000008</v>
      </c>
      <c r="N39" s="711">
        <f t="shared" si="34"/>
        <v>180984096.59999999</v>
      </c>
      <c r="O39" s="835">
        <f t="shared" si="34"/>
        <v>8.4284693002700806E-8</v>
      </c>
      <c r="P39" s="836">
        <f t="shared" si="34"/>
        <v>18230588.509999994</v>
      </c>
      <c r="Q39" s="837">
        <f t="shared" si="34"/>
        <v>18230588.51000008</v>
      </c>
      <c r="S39" s="710">
        <f>S25+S29+S34+S36+S38</f>
        <v>279999999.99999994</v>
      </c>
      <c r="T39" s="711">
        <f>T25+T29+T34+T36+T38</f>
        <v>101769411.49000001</v>
      </c>
      <c r="U39" s="712">
        <f>U25+U29+U34+U36+U38</f>
        <v>381769411.48999995</v>
      </c>
      <c r="W39" s="710">
        <f>W25+W29+W34+W36+W38</f>
        <v>280000000</v>
      </c>
      <c r="X39" s="711">
        <f>X25+X29+X34+X36+X38</f>
        <v>120000000</v>
      </c>
      <c r="Y39" s="712">
        <f>Y25+Y29+Y34+Y36+Y38</f>
        <v>400000000</v>
      </c>
    </row>
    <row r="40" spans="2:25" s="718" customFormat="1" ht="17.25" thickTop="1" thickBot="1" x14ac:dyDescent="0.25">
      <c r="B40" s="709" t="s">
        <v>576</v>
      </c>
      <c r="C40" s="714">
        <f>C39/E39</f>
        <v>0.7</v>
      </c>
      <c r="D40" s="715">
        <f>D39/E39</f>
        <v>0.3</v>
      </c>
      <c r="E40" s="716">
        <f>C40+D40</f>
        <v>1</v>
      </c>
      <c r="F40" s="714">
        <f>F39/H39</f>
        <v>0.47706340741426084</v>
      </c>
      <c r="G40" s="715">
        <f>G39/H39</f>
        <v>8.1556782608249015E-2</v>
      </c>
      <c r="H40" s="716">
        <f>F40+G40</f>
        <v>0.55862019002250984</v>
      </c>
      <c r="I40" s="714">
        <f>I39/K39</f>
        <v>0.54478266288488697</v>
      </c>
      <c r="J40" s="715">
        <f>J39/K39</f>
        <v>0.45521733711511297</v>
      </c>
      <c r="K40" s="717">
        <f>I40+J40</f>
        <v>1</v>
      </c>
      <c r="L40" s="714">
        <f>L39/N39</f>
        <v>0.59965880250718129</v>
      </c>
      <c r="M40" s="715">
        <f>M39/N39</f>
        <v>0.40034119749281888</v>
      </c>
      <c r="N40" s="716">
        <f>L40+M40</f>
        <v>1.0000000000000002</v>
      </c>
      <c r="O40" s="714">
        <f>O39/Q39</f>
        <v>4.6232568387174044E-15</v>
      </c>
      <c r="P40" s="715">
        <f>P39/Q39</f>
        <v>0.99999999999999534</v>
      </c>
      <c r="Q40" s="716">
        <f>O40+P40</f>
        <v>1</v>
      </c>
      <c r="S40" s="765">
        <f>S39/U39</f>
        <v>0.73342701529489684</v>
      </c>
      <c r="T40" s="715">
        <f>T39/U39</f>
        <v>0.26657298470510321</v>
      </c>
      <c r="U40" s="716">
        <f>S40+T40</f>
        <v>1</v>
      </c>
      <c r="W40" s="714">
        <f>W39/Y39</f>
        <v>0.7</v>
      </c>
      <c r="X40" s="715">
        <f>X39/Y39</f>
        <v>0.3</v>
      </c>
      <c r="Y40" s="716">
        <f>W40+X40</f>
        <v>1</v>
      </c>
    </row>
    <row r="43" spans="2:25" ht="18" x14ac:dyDescent="0.25">
      <c r="C43" s="766">
        <f>+C7-C27</f>
        <v>-11548165.91</v>
      </c>
      <c r="D43" s="766">
        <f>+D7-D27</f>
        <v>9343165.9100000001</v>
      </c>
      <c r="I43" s="763"/>
      <c r="L43" s="766">
        <f>I39-L39</f>
        <v>0</v>
      </c>
      <c r="M43" s="766"/>
      <c r="W43" s="833">
        <f>+F19</f>
        <v>171471293.3599999</v>
      </c>
      <c r="X43" s="833">
        <f>+G19</f>
        <v>29314021.530000001</v>
      </c>
      <c r="Y43" s="833">
        <f>+X43+W43</f>
        <v>200785314.8899999</v>
      </c>
    </row>
    <row r="44" spans="2:25" ht="18" x14ac:dyDescent="0.25">
      <c r="E44" s="766">
        <f>+E7-E27</f>
        <v>-2205000</v>
      </c>
      <c r="G44" s="763">
        <f>+G27-38000000</f>
        <v>-20120165.91</v>
      </c>
      <c r="W44" s="833">
        <f>S19</f>
        <v>279999999.99999994</v>
      </c>
      <c r="X44" s="833">
        <f>T19</f>
        <v>101769411.49000001</v>
      </c>
      <c r="Y44" s="833">
        <f>+X44+W44</f>
        <v>381769411.48999995</v>
      </c>
    </row>
    <row r="45" spans="2:25" ht="18" x14ac:dyDescent="0.25">
      <c r="W45" s="833"/>
      <c r="X45" s="833"/>
      <c r="Y45" s="833">
        <f>+Y39-Y44</f>
        <v>18230588.51000005</v>
      </c>
    </row>
  </sheetData>
  <customSheetViews>
    <customSheetView guid="{4F748D0E-E050-4B9E-BA26-0A3F6D7B169B}" scale="64" showPageBreaks="1" showGridLines="0" fitToPage="1" printArea="1" state="hidden" topLeftCell="A13">
      <selection activeCell="G6" sqref="G6"/>
      <pageMargins left="3.937007874015748E-2" right="0.78740157480314965" top="0.31496062992125984" bottom="0.15748031496062992" header="0.19685039370078741" footer="7.874015748031496E-2"/>
      <printOptions horizontalCentered="1"/>
      <pageSetup paperSize="9" scale="53" fitToWidth="2" orientation="landscape" horizontalDpi="4294967295" verticalDpi="4294967295" r:id="rId1"/>
    </customSheetView>
    <customSheetView guid="{8679FB5B-1AA7-40E9-8152-505014626217}" scale="64" showPageBreaks="1" showGridLines="0" fitToPage="1" printArea="1" state="hidden" topLeftCell="A13">
      <selection activeCell="G6" sqref="G6"/>
      <pageMargins left="3.937007874015748E-2" right="0.78740157480314965" top="0.31496062992125984" bottom="0.15748031496062992" header="0.19685039370078741" footer="7.874015748031496E-2"/>
      <printOptions horizontalCentered="1"/>
      <pageSetup paperSize="9" scale="51" fitToWidth="2" orientation="landscape" horizontalDpi="4294967295" verticalDpi="4294967295" r:id="rId2"/>
    </customSheetView>
  </customSheetViews>
  <mergeCells count="18">
    <mergeCell ref="O3:Q3"/>
    <mergeCell ref="S3:U3"/>
    <mergeCell ref="W3:Y3"/>
    <mergeCell ref="B1:N1"/>
    <mergeCell ref="B3:B4"/>
    <mergeCell ref="C3:E3"/>
    <mergeCell ref="F3:H3"/>
    <mergeCell ref="I3:K3"/>
    <mergeCell ref="L3:N3"/>
    <mergeCell ref="B21:N21"/>
    <mergeCell ref="O23:Q23"/>
    <mergeCell ref="S23:U23"/>
    <mergeCell ref="W23:Y23"/>
    <mergeCell ref="B23:B24"/>
    <mergeCell ref="C23:E23"/>
    <mergeCell ref="F23:H23"/>
    <mergeCell ref="I23:K23"/>
    <mergeCell ref="L23:N23"/>
  </mergeCells>
  <printOptions horizontalCentered="1"/>
  <pageMargins left="3.937007874015748E-2" right="0.78740157480314965" top="0.31496062992125984" bottom="0.15748031496062992" header="0.19685039370078741" footer="7.874015748031496E-2"/>
  <pageSetup paperSize="9" scale="53" fitToWidth="2" orientation="landscape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Q33"/>
  <sheetViews>
    <sheetView workbookViewId="0">
      <selection sqref="A1:AE1"/>
    </sheetView>
  </sheetViews>
  <sheetFormatPr defaultColWidth="9.140625" defaultRowHeight="15.75" outlineLevelRow="3" x14ac:dyDescent="0.25"/>
  <cols>
    <col min="1" max="1" width="6.42578125" style="1103" customWidth="1"/>
    <col min="2" max="2" width="40.5703125" style="888" customWidth="1"/>
    <col min="3" max="3" width="12.140625" style="1119" hidden="1" customWidth="1"/>
    <col min="4" max="4" width="14.140625" style="952" hidden="1" customWidth="1"/>
    <col min="5" max="5" width="12" style="952" hidden="1" customWidth="1"/>
    <col min="6" max="6" width="19.5703125" style="665" hidden="1" customWidth="1"/>
    <col min="7" max="7" width="23.5703125" style="665" hidden="1" customWidth="1"/>
    <col min="8" max="8" width="26.140625" style="698" hidden="1" customWidth="1"/>
    <col min="9" max="9" width="23.7109375" style="665" hidden="1" customWidth="1"/>
    <col min="10" max="11" width="22" style="665" hidden="1" customWidth="1"/>
    <col min="12" max="12" width="20.42578125" style="665" hidden="1" customWidth="1"/>
    <col min="13" max="13" width="23.7109375" style="665" hidden="1" customWidth="1"/>
    <col min="14" max="14" width="23.28515625" style="888" hidden="1" customWidth="1"/>
    <col min="15" max="16" width="21.42578125" style="665" hidden="1" customWidth="1"/>
    <col min="17" max="17" width="20.42578125" style="665" hidden="1" customWidth="1"/>
    <col min="18" max="18" width="23.5703125" style="665" hidden="1" customWidth="1"/>
    <col min="19" max="19" width="23.28515625" style="665" hidden="1" customWidth="1"/>
    <col min="20" max="20" width="22.42578125" style="665" hidden="1" customWidth="1"/>
    <col min="21" max="21" width="24.5703125" style="665" hidden="1" customWidth="1"/>
    <col min="22" max="22" width="24.85546875" style="665" hidden="1" customWidth="1"/>
    <col min="23" max="23" width="23" style="999" customWidth="1"/>
    <col min="24" max="25" width="6.7109375" style="1225" customWidth="1"/>
    <col min="26" max="27" width="23.7109375" style="698" hidden="1" customWidth="1"/>
    <col min="28" max="28" width="25" style="665" hidden="1" customWidth="1"/>
    <col min="29" max="29" width="22.5703125" style="698" customWidth="1"/>
    <col min="30" max="30" width="22.28515625" style="698" customWidth="1"/>
    <col min="31" max="31" width="23.85546875" style="665" customWidth="1"/>
    <col min="32" max="32" width="23.28515625" style="892" hidden="1" customWidth="1"/>
    <col min="33" max="34" width="21.42578125" style="698" hidden="1" customWidth="1"/>
    <col min="35" max="35" width="22" style="665" hidden="1" customWidth="1"/>
    <col min="36" max="36" width="34.42578125" style="665" hidden="1" customWidth="1"/>
    <col min="37" max="37" width="23.5703125" style="665" hidden="1" customWidth="1"/>
    <col min="38" max="39" width="16.28515625" style="665" hidden="1" customWidth="1"/>
    <col min="40" max="40" width="24.5703125" style="665" hidden="1" customWidth="1"/>
    <col min="41" max="41" width="9.140625" style="665" hidden="1" customWidth="1"/>
    <col min="42" max="42" width="7.7109375" style="665" hidden="1" customWidth="1"/>
    <col min="43" max="43" width="17.140625" style="665" hidden="1" customWidth="1"/>
    <col min="44" max="44" width="17.5703125" style="665" bestFit="1" customWidth="1"/>
    <col min="45" max="16384" width="9.140625" style="665"/>
  </cols>
  <sheetData>
    <row r="1" spans="1:42" ht="7.5" customHeight="1" x14ac:dyDescent="0.2">
      <c r="A1" s="1534"/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  <c r="Q1" s="1534"/>
      <c r="R1" s="1534"/>
      <c r="S1" s="1534"/>
      <c r="T1" s="1534"/>
      <c r="U1" s="1534"/>
      <c r="V1" s="1534"/>
      <c r="W1" s="1534"/>
      <c r="X1" s="1534"/>
      <c r="Y1" s="1534"/>
      <c r="Z1" s="1534"/>
      <c r="AA1" s="1534"/>
      <c r="AB1" s="1534"/>
      <c r="AC1" s="1534"/>
      <c r="AD1" s="1534"/>
      <c r="AE1" s="1534"/>
      <c r="AF1" s="887"/>
      <c r="AG1" s="887"/>
      <c r="AH1" s="951"/>
      <c r="AI1" s="887"/>
      <c r="AJ1" s="887"/>
    </row>
    <row r="2" spans="1:42" ht="12" customHeight="1" x14ac:dyDescent="0.3">
      <c r="A2" s="1095"/>
      <c r="B2" s="1074"/>
      <c r="C2" s="1109"/>
      <c r="D2" s="665"/>
      <c r="E2" s="665"/>
      <c r="F2" s="1104"/>
      <c r="G2" s="904"/>
      <c r="I2" s="698"/>
      <c r="J2" s="698"/>
      <c r="K2" s="698"/>
      <c r="L2" s="698"/>
      <c r="M2" s="698"/>
      <c r="O2" s="889"/>
      <c r="P2" s="698"/>
      <c r="Q2" s="698"/>
      <c r="R2" s="698"/>
      <c r="S2" s="763"/>
      <c r="T2" s="1072"/>
      <c r="U2" s="763"/>
      <c r="W2" s="1061"/>
      <c r="Z2" s="1535"/>
      <c r="AA2" s="1535"/>
      <c r="AB2" s="1535"/>
      <c r="AC2" s="1535"/>
      <c r="AE2" s="1073"/>
      <c r="AF2" s="962">
        <v>3.33</v>
      </c>
      <c r="AH2" s="1048"/>
      <c r="AI2" s="890"/>
    </row>
    <row r="3" spans="1:42" ht="18.600000000000001" customHeight="1" x14ac:dyDescent="0.3">
      <c r="A3" s="1095"/>
      <c r="B3" s="1074"/>
      <c r="C3" s="1109"/>
      <c r="D3" s="665"/>
      <c r="E3" s="665"/>
      <c r="F3" s="1104"/>
      <c r="G3" s="904"/>
      <c r="I3" s="698"/>
      <c r="J3" s="698"/>
      <c r="K3" s="698"/>
      <c r="L3" s="698"/>
      <c r="M3" s="698"/>
      <c r="O3" s="889"/>
      <c r="P3" s="698"/>
      <c r="Q3" s="698"/>
      <c r="R3" s="698"/>
      <c r="S3" s="763"/>
      <c r="T3" s="1072"/>
      <c r="U3" s="763"/>
      <c r="W3" s="1061"/>
      <c r="Z3" s="1249"/>
      <c r="AA3" s="1124"/>
      <c r="AB3" s="1124"/>
      <c r="AC3" s="1249"/>
      <c r="AE3" s="1073"/>
      <c r="AF3" s="962"/>
      <c r="AH3" s="1048"/>
      <c r="AI3" s="890"/>
    </row>
    <row r="4" spans="1:42" ht="16.5" thickBot="1" x14ac:dyDescent="0.3">
      <c r="A4" s="1096"/>
      <c r="C4" s="1109"/>
      <c r="D4" s="665"/>
      <c r="E4" s="665"/>
      <c r="F4" s="1536"/>
      <c r="G4" s="1537"/>
      <c r="H4" s="1538"/>
      <c r="I4" s="698"/>
      <c r="J4" s="698"/>
      <c r="K4" s="698"/>
      <c r="L4" s="698"/>
      <c r="M4" s="698"/>
      <c r="N4" s="889"/>
      <c r="O4" s="698"/>
      <c r="P4" s="698"/>
      <c r="Q4" s="698"/>
      <c r="R4" s="698"/>
      <c r="U4" s="698"/>
      <c r="W4" s="987"/>
      <c r="Z4" s="1126"/>
      <c r="AA4" s="1123"/>
      <c r="AB4" s="1122"/>
      <c r="AC4" s="1122"/>
      <c r="AD4" s="891"/>
      <c r="AE4" s="890"/>
      <c r="AI4" s="890"/>
    </row>
    <row r="5" spans="1:42" s="1001" customFormat="1" ht="55.5" customHeight="1" x14ac:dyDescent="0.25">
      <c r="A5" s="1539"/>
      <c r="B5" s="1541" t="s">
        <v>15</v>
      </c>
      <c r="C5" s="1543" t="s">
        <v>14</v>
      </c>
      <c r="D5" s="1543" t="s">
        <v>13</v>
      </c>
      <c r="E5" s="1541" t="s">
        <v>12</v>
      </c>
      <c r="F5" s="1543" t="s">
        <v>762</v>
      </c>
      <c r="G5" s="1543" t="s">
        <v>566</v>
      </c>
      <c r="H5" s="1545" t="s">
        <v>454</v>
      </c>
      <c r="I5" s="1543" t="s">
        <v>227</v>
      </c>
      <c r="J5" s="1543"/>
      <c r="K5" s="1543"/>
      <c r="L5" s="1543"/>
      <c r="M5" s="1543"/>
      <c r="N5" s="1543" t="s">
        <v>228</v>
      </c>
      <c r="O5" s="1543"/>
      <c r="P5" s="1543"/>
      <c r="Q5" s="1543"/>
      <c r="R5" s="1543"/>
      <c r="S5" s="1541" t="s">
        <v>567</v>
      </c>
      <c r="T5" s="1246" t="s">
        <v>663</v>
      </c>
      <c r="U5" s="1246" t="s">
        <v>666</v>
      </c>
      <c r="V5" s="1547" t="s">
        <v>667</v>
      </c>
      <c r="W5" s="1532" t="s">
        <v>707</v>
      </c>
      <c r="X5" s="1549" t="s">
        <v>8</v>
      </c>
      <c r="Y5" s="1549" t="s">
        <v>7</v>
      </c>
      <c r="Z5" s="1551" t="s">
        <v>130</v>
      </c>
      <c r="AA5" s="1551"/>
      <c r="AB5" s="1551"/>
      <c r="AC5" s="1552" t="s">
        <v>131</v>
      </c>
      <c r="AD5" s="1552"/>
      <c r="AE5" s="1553"/>
      <c r="AF5" s="1000">
        <v>1000</v>
      </c>
      <c r="AG5" s="1554" t="s">
        <v>422</v>
      </c>
      <c r="AH5" s="1555"/>
      <c r="AI5" s="1556"/>
      <c r="AK5" s="1001">
        <f>14310</f>
        <v>14310</v>
      </c>
    </row>
    <row r="6" spans="1:42" s="1001" customFormat="1" ht="33.75" thickBot="1" x14ac:dyDescent="0.3">
      <c r="A6" s="1540"/>
      <c r="B6" s="1542"/>
      <c r="C6" s="1544"/>
      <c r="D6" s="1544"/>
      <c r="E6" s="1542"/>
      <c r="F6" s="1544"/>
      <c r="G6" s="1544"/>
      <c r="H6" s="1546"/>
      <c r="I6" s="1248" t="s">
        <v>86</v>
      </c>
      <c r="J6" s="1248" t="s">
        <v>225</v>
      </c>
      <c r="K6" s="1248" t="s">
        <v>87</v>
      </c>
      <c r="L6" s="1248" t="s">
        <v>226</v>
      </c>
      <c r="M6" s="1248" t="s">
        <v>92</v>
      </c>
      <c r="N6" s="1248" t="s">
        <v>86</v>
      </c>
      <c r="O6" s="1248" t="s">
        <v>225</v>
      </c>
      <c r="P6" s="1248" t="s">
        <v>87</v>
      </c>
      <c r="Q6" s="1248" t="s">
        <v>226</v>
      </c>
      <c r="R6" s="1248" t="s">
        <v>92</v>
      </c>
      <c r="S6" s="1542"/>
      <c r="T6" s="1247" t="s">
        <v>565</v>
      </c>
      <c r="U6" s="1247" t="s">
        <v>565</v>
      </c>
      <c r="V6" s="1548"/>
      <c r="W6" s="1533"/>
      <c r="X6" s="1550"/>
      <c r="Y6" s="1550"/>
      <c r="Z6" s="1248" t="s">
        <v>86</v>
      </c>
      <c r="AA6" s="1248" t="s">
        <v>87</v>
      </c>
      <c r="AB6" s="1248" t="s">
        <v>92</v>
      </c>
      <c r="AC6" s="1248" t="s">
        <v>86</v>
      </c>
      <c r="AD6" s="1248" t="s">
        <v>87</v>
      </c>
      <c r="AE6" s="1127" t="s">
        <v>92</v>
      </c>
      <c r="AF6" s="1000"/>
      <c r="AG6" s="1002" t="s">
        <v>86</v>
      </c>
      <c r="AH6" s="1049" t="s">
        <v>87</v>
      </c>
      <c r="AI6" s="1003" t="s">
        <v>92</v>
      </c>
      <c r="AK6" s="1006">
        <f>AK5/3.33</f>
        <v>4297.2972972972975</v>
      </c>
    </row>
    <row r="7" spans="1:42" ht="31.5" outlineLevel="2" x14ac:dyDescent="0.2">
      <c r="A7" s="1098"/>
      <c r="B7" s="1212" t="s">
        <v>676</v>
      </c>
      <c r="C7" s="1213"/>
      <c r="D7" s="1015"/>
      <c r="E7" s="1212"/>
      <c r="F7" s="990">
        <f t="shared" ref="F7:V7" si="0">SUBTOTAL(9,F8:F10)</f>
        <v>331266241.56999999</v>
      </c>
      <c r="G7" s="990">
        <f t="shared" si="0"/>
        <v>30303661.149999999</v>
      </c>
      <c r="H7" s="990">
        <f t="shared" si="0"/>
        <v>361569902.71999997</v>
      </c>
      <c r="I7" s="990">
        <f t="shared" si="0"/>
        <v>184482802.81999999</v>
      </c>
      <c r="J7" s="990">
        <f t="shared" si="0"/>
        <v>30303661.149999999</v>
      </c>
      <c r="K7" s="990">
        <f t="shared" si="0"/>
        <v>0</v>
      </c>
      <c r="L7" s="990">
        <f t="shared" si="0"/>
        <v>0</v>
      </c>
      <c r="M7" s="990">
        <f t="shared" si="0"/>
        <v>214786463.97</v>
      </c>
      <c r="N7" s="990">
        <f t="shared" si="0"/>
        <v>71352539.389999986</v>
      </c>
      <c r="O7" s="990">
        <f t="shared" si="0"/>
        <v>10713420.109999996</v>
      </c>
      <c r="P7" s="990">
        <f t="shared" si="0"/>
        <v>0</v>
      </c>
      <c r="Q7" s="990">
        <f t="shared" si="0"/>
        <v>0</v>
      </c>
      <c r="R7" s="990">
        <f t="shared" si="0"/>
        <v>82065959.499999985</v>
      </c>
      <c r="S7" s="990">
        <f t="shared" si="0"/>
        <v>146783438.74999997</v>
      </c>
      <c r="T7" s="990">
        <f t="shared" si="0"/>
        <v>56778.654999999999</v>
      </c>
      <c r="U7" s="990">
        <f t="shared" si="0"/>
        <v>52075542.789999999</v>
      </c>
      <c r="V7" s="990">
        <f t="shared" si="0"/>
        <v>52132321.445</v>
      </c>
      <c r="W7" s="990">
        <f>SUBTOTAL(9,W8:W11)</f>
        <v>198992184.29004622</v>
      </c>
      <c r="X7" s="1230"/>
      <c r="Y7" s="1230"/>
      <c r="Z7" s="990">
        <f t="shared" ref="Z7:AE7" si="1">SUBTOTAL(9,Z8:Z11)</f>
        <v>117622981.61674617</v>
      </c>
      <c r="AA7" s="990">
        <f t="shared" si="1"/>
        <v>81369202.673300028</v>
      </c>
      <c r="AB7" s="990">
        <f t="shared" si="1"/>
        <v>198992184.29004622</v>
      </c>
      <c r="AC7" s="990">
        <f t="shared" si="1"/>
        <v>35322216.710000001</v>
      </c>
      <c r="AD7" s="990">
        <f t="shared" si="1"/>
        <v>24435196</v>
      </c>
      <c r="AE7" s="990">
        <f t="shared" si="1"/>
        <v>59757412.710000001</v>
      </c>
      <c r="AF7" s="893"/>
      <c r="AG7" s="990">
        <f>SUBTOTAL(9,AG8:AG14)</f>
        <v>21916575.091605477</v>
      </c>
      <c r="AH7" s="990">
        <f>SUBTOTAL(9,AH8:AH14)</f>
        <v>3603603.6036036038</v>
      </c>
      <c r="AI7" s="1016">
        <f>SUBTOTAL(9,AI8:AI14)</f>
        <v>25520178.695209082</v>
      </c>
      <c r="AJ7" s="904"/>
    </row>
    <row r="8" spans="1:42" ht="120" customHeight="1" outlineLevel="3" x14ac:dyDescent="0.2">
      <c r="A8" s="1100" t="s">
        <v>306</v>
      </c>
      <c r="B8" s="1224" t="s">
        <v>807</v>
      </c>
      <c r="C8" s="1270" t="s">
        <v>21</v>
      </c>
      <c r="D8" s="1271" t="s">
        <v>103</v>
      </c>
      <c r="E8" s="1270" t="s">
        <v>3</v>
      </c>
      <c r="F8" s="1038">
        <f>277415678.7+53609138.25</f>
        <v>331024816.94999999</v>
      </c>
      <c r="G8" s="1038">
        <v>30303661.149999999</v>
      </c>
      <c r="H8" s="1038">
        <f>F8+G8</f>
        <v>361328478.09999996</v>
      </c>
      <c r="I8" s="1038">
        <v>184482802.81999999</v>
      </c>
      <c r="J8" s="1038">
        <v>30303661.149999999</v>
      </c>
      <c r="K8" s="1038"/>
      <c r="L8" s="1038"/>
      <c r="M8" s="1018">
        <f>I8+J8+K8+L8</f>
        <v>214786463.97</v>
      </c>
      <c r="N8" s="1272">
        <v>71352539.389999986</v>
      </c>
      <c r="O8" s="1038">
        <v>10713420.109999996</v>
      </c>
      <c r="P8" s="1273"/>
      <c r="Q8" s="1273"/>
      <c r="R8" s="1018">
        <f>N8+O8+P8+Q8</f>
        <v>82065959.499999985</v>
      </c>
      <c r="S8" s="1018">
        <f>(H8-M8)</f>
        <v>146542014.12999997</v>
      </c>
      <c r="T8" s="1274"/>
      <c r="U8" s="1274">
        <v>52075542.789999999</v>
      </c>
      <c r="V8" s="1018">
        <f>T8+U8</f>
        <v>52075542.789999999</v>
      </c>
      <c r="W8" s="1018">
        <f>(S8+V8)</f>
        <v>198617556.91999996</v>
      </c>
      <c r="X8" s="1242">
        <f>Z8/AB8</f>
        <v>0.59032220547313308</v>
      </c>
      <c r="Y8" s="1242">
        <f>100%-X8</f>
        <v>0.40967779452686692</v>
      </c>
      <c r="Z8" s="1019">
        <v>117248354.24669993</v>
      </c>
      <c r="AA8" s="1019">
        <f>W8-Z8</f>
        <v>81369202.673300028</v>
      </c>
      <c r="AB8" s="1018">
        <f>Z8+AA8</f>
        <v>198617556.91999996</v>
      </c>
      <c r="AC8" s="1019">
        <f t="shared" ref="AC8:AD11" si="2">ROUND(Z8/$AF$2,2)</f>
        <v>35209715.990000002</v>
      </c>
      <c r="AD8" s="1019">
        <f t="shared" si="2"/>
        <v>24435196</v>
      </c>
      <c r="AE8" s="1020">
        <f>AC8+AD8</f>
        <v>59644911.990000002</v>
      </c>
      <c r="AF8" s="763"/>
      <c r="AG8" s="1275"/>
      <c r="AH8" s="942"/>
      <c r="AI8" s="1276">
        <f>AG8+AH8</f>
        <v>0</v>
      </c>
      <c r="AJ8" s="1277"/>
      <c r="AK8" s="1278"/>
    </row>
    <row r="9" spans="1:42" ht="57" outlineLevel="3" x14ac:dyDescent="0.2">
      <c r="A9" s="1101" t="s">
        <v>323</v>
      </c>
      <c r="B9" s="1224" t="s">
        <v>811</v>
      </c>
      <c r="C9" s="1215"/>
      <c r="D9" s="1216"/>
      <c r="E9" s="1215"/>
      <c r="F9" s="1032">
        <v>227114.62</v>
      </c>
      <c r="G9" s="1032"/>
      <c r="H9" s="1032">
        <f>F9+G9</f>
        <v>227114.62</v>
      </c>
      <c r="I9" s="1032"/>
      <c r="J9" s="1032"/>
      <c r="K9" s="1032"/>
      <c r="L9" s="1032"/>
      <c r="M9" s="1012">
        <f>I9+J9+K9+L9</f>
        <v>0</v>
      </c>
      <c r="N9" s="1042"/>
      <c r="O9" s="1037"/>
      <c r="P9" s="1037"/>
      <c r="Q9" s="1037"/>
      <c r="R9" s="1012">
        <f>N9+O9+P9+Q9</f>
        <v>0</v>
      </c>
      <c r="S9" s="1018">
        <f>H9-M9</f>
        <v>227114.62</v>
      </c>
      <c r="T9" s="1012">
        <f>S9*0.25</f>
        <v>56778.654999999999</v>
      </c>
      <c r="U9" s="1012"/>
      <c r="V9" s="1012">
        <f>T9+U9</f>
        <v>56778.654999999999</v>
      </c>
      <c r="W9" s="989">
        <f>+S9+V9</f>
        <v>283893.27500000002</v>
      </c>
      <c r="X9" s="1235">
        <v>1</v>
      </c>
      <c r="Y9" s="1235"/>
      <c r="Z9" s="1013">
        <f>W9*X9</f>
        <v>283893.27500000002</v>
      </c>
      <c r="AA9" s="1013">
        <f>W9*Y9</f>
        <v>0</v>
      </c>
      <c r="AB9" s="1012">
        <f>Z9+AA9</f>
        <v>283893.27500000002</v>
      </c>
      <c r="AC9" s="1013">
        <f t="shared" si="2"/>
        <v>85253.24</v>
      </c>
      <c r="AD9" s="1013">
        <f t="shared" si="2"/>
        <v>0</v>
      </c>
      <c r="AE9" s="1014">
        <f>AC9+AD9</f>
        <v>85253.24</v>
      </c>
      <c r="AG9" s="921">
        <v>0</v>
      </c>
      <c r="AH9" s="903">
        <v>0</v>
      </c>
      <c r="AI9" s="961">
        <f>AG9+AH9</f>
        <v>0</v>
      </c>
      <c r="AJ9" s="904"/>
    </row>
    <row r="10" spans="1:42" ht="85.5" outlineLevel="3" x14ac:dyDescent="0.2">
      <c r="A10" s="1101" t="s">
        <v>326</v>
      </c>
      <c r="B10" s="1224" t="s">
        <v>812</v>
      </c>
      <c r="C10" s="1215" t="s">
        <v>742</v>
      </c>
      <c r="D10" s="1216"/>
      <c r="E10" s="1215"/>
      <c r="F10" s="1032">
        <v>14310</v>
      </c>
      <c r="G10" s="1032"/>
      <c r="H10" s="1032">
        <f>F10+G10</f>
        <v>14310</v>
      </c>
      <c r="I10" s="1032"/>
      <c r="J10" s="1032"/>
      <c r="K10" s="1032"/>
      <c r="L10" s="1032"/>
      <c r="M10" s="1012">
        <f>I10+J10+K10+L10</f>
        <v>0</v>
      </c>
      <c r="N10" s="1042"/>
      <c r="O10" s="1037"/>
      <c r="P10" s="1037"/>
      <c r="Q10" s="1037"/>
      <c r="R10" s="1012">
        <f>N10+O10+P10+Q10</f>
        <v>0</v>
      </c>
      <c r="S10" s="1018">
        <f>H10-M10</f>
        <v>14310</v>
      </c>
      <c r="T10" s="1012"/>
      <c r="U10" s="1012"/>
      <c r="V10" s="1012">
        <f>T10+U10</f>
        <v>0</v>
      </c>
      <c r="W10" s="989">
        <f>+S10+V10</f>
        <v>14310</v>
      </c>
      <c r="X10" s="1235">
        <v>1</v>
      </c>
      <c r="Y10" s="1235"/>
      <c r="Z10" s="1013">
        <f>W10*X10</f>
        <v>14310</v>
      </c>
      <c r="AA10" s="1013">
        <f>W10*Y10</f>
        <v>0</v>
      </c>
      <c r="AB10" s="1012">
        <f>Z10+AA10</f>
        <v>14310</v>
      </c>
      <c r="AC10" s="1013">
        <f t="shared" si="2"/>
        <v>4297.3</v>
      </c>
      <c r="AD10" s="1013">
        <f t="shared" si="2"/>
        <v>0</v>
      </c>
      <c r="AE10" s="1014">
        <f>AC10+AD10</f>
        <v>4297.3</v>
      </c>
      <c r="AG10" s="921"/>
      <c r="AH10" s="903"/>
      <c r="AI10" s="961">
        <f>AG10+AH10</f>
        <v>0</v>
      </c>
      <c r="AJ10" s="904"/>
    </row>
    <row r="11" spans="1:42" ht="60.75" customHeight="1" outlineLevel="3" x14ac:dyDescent="0.2">
      <c r="A11" s="1101" t="s">
        <v>326</v>
      </c>
      <c r="B11" s="1217" t="s">
        <v>342</v>
      </c>
      <c r="C11" s="1215"/>
      <c r="D11" s="1216"/>
      <c r="E11" s="1215"/>
      <c r="F11" s="1032"/>
      <c r="G11" s="1032"/>
      <c r="H11" s="1032">
        <f>F11+G11</f>
        <v>0</v>
      </c>
      <c r="I11" s="1032"/>
      <c r="J11" s="1032"/>
      <c r="K11" s="1032"/>
      <c r="L11" s="1032"/>
      <c r="M11" s="1012">
        <f>I11+J11+K11+L11</f>
        <v>0</v>
      </c>
      <c r="N11" s="1042"/>
      <c r="O11" s="1037"/>
      <c r="P11" s="1037"/>
      <c r="Q11" s="1037"/>
      <c r="R11" s="1012">
        <f>N11+O11+P11+Q11</f>
        <v>0</v>
      </c>
      <c r="S11" s="1018">
        <f>AI11*$AF$2</f>
        <v>76424.095046242612</v>
      </c>
      <c r="T11" s="1012"/>
      <c r="U11" s="1012"/>
      <c r="V11" s="1012">
        <f>T11+U11</f>
        <v>0</v>
      </c>
      <c r="W11" s="989">
        <f>+S11+V11</f>
        <v>76424.095046242612</v>
      </c>
      <c r="X11" s="1235">
        <v>1</v>
      </c>
      <c r="Y11" s="1235"/>
      <c r="Z11" s="1013">
        <f>W11*X11</f>
        <v>76424.095046242612</v>
      </c>
      <c r="AA11" s="1013">
        <f>W11*Y11</f>
        <v>0</v>
      </c>
      <c r="AB11" s="1012">
        <f>Z11+AA11</f>
        <v>76424.095046242612</v>
      </c>
      <c r="AC11" s="1013">
        <f t="shared" si="2"/>
        <v>22950.18</v>
      </c>
      <c r="AD11" s="1013">
        <f t="shared" si="2"/>
        <v>0</v>
      </c>
      <c r="AE11" s="1014">
        <f>AC11+AD11</f>
        <v>22950.18</v>
      </c>
      <c r="AG11" s="921">
        <f>AI11*X11</f>
        <v>22950.178692565347</v>
      </c>
      <c r="AH11" s="903">
        <f>AI11*Y11</f>
        <v>0</v>
      </c>
      <c r="AI11" s="922">
        <f>(90734.1040462426/AF2)-4297.3</f>
        <v>22950.178692565347</v>
      </c>
      <c r="AJ11" s="904"/>
    </row>
    <row r="12" spans="1:42" ht="23.25" customHeight="1" outlineLevel="1" x14ac:dyDescent="0.2">
      <c r="A12" s="1099"/>
      <c r="B12" s="1218" t="s">
        <v>711</v>
      </c>
      <c r="C12" s="1219"/>
      <c r="D12" s="1220"/>
      <c r="E12" s="1219"/>
      <c r="F12" s="997">
        <f t="shared" ref="F12:W12" si="3">SUBTOTAL(9,F13:F22)</f>
        <v>40000000</v>
      </c>
      <c r="G12" s="997">
        <f t="shared" si="3"/>
        <v>0</v>
      </c>
      <c r="H12" s="997">
        <f t="shared" si="3"/>
        <v>40000000</v>
      </c>
      <c r="I12" s="997">
        <f t="shared" si="3"/>
        <v>0</v>
      </c>
      <c r="J12" s="997">
        <f t="shared" si="3"/>
        <v>0</v>
      </c>
      <c r="K12" s="997">
        <f t="shared" si="3"/>
        <v>0</v>
      </c>
      <c r="L12" s="997">
        <f t="shared" si="3"/>
        <v>0</v>
      </c>
      <c r="M12" s="997">
        <f t="shared" si="3"/>
        <v>0</v>
      </c>
      <c r="N12" s="997">
        <f t="shared" si="3"/>
        <v>0</v>
      </c>
      <c r="O12" s="997">
        <f t="shared" si="3"/>
        <v>0</v>
      </c>
      <c r="P12" s="997">
        <f t="shared" si="3"/>
        <v>0</v>
      </c>
      <c r="Q12" s="997">
        <f t="shared" si="3"/>
        <v>0</v>
      </c>
      <c r="R12" s="997">
        <f t="shared" si="3"/>
        <v>0</v>
      </c>
      <c r="S12" s="997">
        <f t="shared" si="3"/>
        <v>121165698.91546066</v>
      </c>
      <c r="T12" s="997">
        <f t="shared" si="3"/>
        <v>99310155.767999977</v>
      </c>
      <c r="U12" s="997">
        <f t="shared" si="3"/>
        <v>544404.62400000007</v>
      </c>
      <c r="V12" s="997">
        <f t="shared" si="3"/>
        <v>99854560.39199999</v>
      </c>
      <c r="W12" s="997">
        <f t="shared" si="3"/>
        <v>221020259.30746061</v>
      </c>
      <c r="X12" s="1232"/>
      <c r="Y12" s="1232"/>
      <c r="Z12" s="997">
        <f t="shared" ref="Z12:AE12" si="4">SUBTOTAL(9,Z13:Z22)</f>
        <v>88236951.088260666</v>
      </c>
      <c r="AA12" s="997">
        <f t="shared" si="4"/>
        <v>132783308.21919999</v>
      </c>
      <c r="AB12" s="997">
        <f t="shared" si="4"/>
        <v>221020259.30746061</v>
      </c>
      <c r="AC12" s="997">
        <f t="shared" si="4"/>
        <v>26497582.91</v>
      </c>
      <c r="AD12" s="997">
        <f t="shared" si="4"/>
        <v>39874867.329999998</v>
      </c>
      <c r="AE12" s="1080">
        <f t="shared" si="4"/>
        <v>66372450.240000002</v>
      </c>
      <c r="AG12" s="997">
        <f>SUBTOTAL(9,AG13:AG22)</f>
        <v>26383143.49893713</v>
      </c>
      <c r="AH12" s="997">
        <f>SUBTOTAL(9,AH13:AH22)</f>
        <v>10002952.271471472</v>
      </c>
      <c r="AI12" s="997">
        <f>SUBTOTAL(9,AI13:AI22)</f>
        <v>66208965.370408602</v>
      </c>
      <c r="AJ12" s="904"/>
    </row>
    <row r="13" spans="1:42" ht="47.25" outlineLevel="3" x14ac:dyDescent="0.2">
      <c r="A13" s="1101" t="s">
        <v>320</v>
      </c>
      <c r="B13" s="1214" t="s">
        <v>805</v>
      </c>
      <c r="C13" s="1215"/>
      <c r="D13" s="1216"/>
      <c r="E13" s="1215"/>
      <c r="F13" s="1032"/>
      <c r="G13" s="1032"/>
      <c r="H13" s="1032">
        <f t="shared" ref="H13:H21" si="5">F13+G13</f>
        <v>0</v>
      </c>
      <c r="I13" s="1032"/>
      <c r="J13" s="1032"/>
      <c r="K13" s="1032"/>
      <c r="L13" s="1032"/>
      <c r="M13" s="1012">
        <f t="shared" ref="M13:M21" si="6">I13+J13+K13+L13</f>
        <v>0</v>
      </c>
      <c r="N13" s="1042"/>
      <c r="O13" s="1037"/>
      <c r="P13" s="1037"/>
      <c r="Q13" s="1037"/>
      <c r="R13" s="1012">
        <f t="shared" ref="R13:R21" si="7">N13+O13+P13+Q13</f>
        <v>0</v>
      </c>
      <c r="S13" s="1018">
        <f t="shared" ref="S13:S21" si="8">AI13*$AF$2</f>
        <v>44905770.960000001</v>
      </c>
      <c r="T13" s="1012"/>
      <c r="U13" s="1012"/>
      <c r="V13" s="1012">
        <f t="shared" ref="V13:V21" si="9">T13+U13</f>
        <v>0</v>
      </c>
      <c r="W13" s="989">
        <f>+S13+V13</f>
        <v>44905770.960000001</v>
      </c>
      <c r="X13" s="1231">
        <v>1</v>
      </c>
      <c r="Y13" s="1235"/>
      <c r="Z13" s="1013">
        <f t="shared" ref="Z13:Z21" si="10">W13*X13</f>
        <v>44905770.960000001</v>
      </c>
      <c r="AA13" s="1013">
        <f t="shared" ref="AA13:AA22" si="11">W13*Y13</f>
        <v>0</v>
      </c>
      <c r="AB13" s="1012">
        <f t="shared" ref="AB13:AB21" si="12">Z13+AA13</f>
        <v>44905770.960000001</v>
      </c>
      <c r="AC13" s="1013">
        <f>ROUND(Z13/$AF$2,2)</f>
        <v>13485216.5</v>
      </c>
      <c r="AD13" s="1013">
        <f>ROUND(AA13/$AF$2,2)</f>
        <v>0</v>
      </c>
      <c r="AE13" s="1014">
        <f t="shared" ref="AE13:AE21" si="13">AC13+AD13</f>
        <v>13485216.5</v>
      </c>
      <c r="AG13" s="921">
        <f>AI13*X13</f>
        <v>13485216.504504504</v>
      </c>
      <c r="AH13" s="903">
        <f>AI13*Y13</f>
        <v>0</v>
      </c>
      <c r="AI13" s="922">
        <f>44905770.96/AF2</f>
        <v>13485216.504504504</v>
      </c>
      <c r="AJ13" s="937" t="s">
        <v>655</v>
      </c>
      <c r="AK13" s="938">
        <v>44905770.960000001</v>
      </c>
      <c r="AM13" s="698">
        <v>11278458.682111824</v>
      </c>
      <c r="AN13" s="665" t="s">
        <v>656</v>
      </c>
      <c r="AP13" s="763">
        <f>+AM13/AI13</f>
        <v>0.83635725672957861</v>
      </c>
    </row>
    <row r="14" spans="1:42" ht="71.25" outlineLevel="3" x14ac:dyDescent="0.2">
      <c r="A14" s="1101" t="s">
        <v>315</v>
      </c>
      <c r="B14" s="1222" t="s">
        <v>813</v>
      </c>
      <c r="C14" s="1215"/>
      <c r="D14" s="1216"/>
      <c r="E14" s="1215"/>
      <c r="F14" s="1032">
        <v>40000000</v>
      </c>
      <c r="G14" s="1032"/>
      <c r="H14" s="1032">
        <f>F14+G14</f>
        <v>40000000</v>
      </c>
      <c r="I14" s="1032"/>
      <c r="J14" s="1032"/>
      <c r="K14" s="1032"/>
      <c r="L14" s="1032"/>
      <c r="M14" s="1012">
        <f>I14+J14+K14+L14</f>
        <v>0</v>
      </c>
      <c r="N14" s="1042"/>
      <c r="O14" s="1037"/>
      <c r="P14" s="1037"/>
      <c r="Q14" s="1037"/>
      <c r="R14" s="1012">
        <f>N14+O14+P14+Q14</f>
        <v>0</v>
      </c>
      <c r="S14" s="1018">
        <f>H14-M14</f>
        <v>40000000</v>
      </c>
      <c r="T14" s="1012"/>
      <c r="U14" s="1012"/>
      <c r="V14" s="1012">
        <f>T14+U14</f>
        <v>0</v>
      </c>
      <c r="W14" s="989">
        <f>+S14+V14</f>
        <v>40000000</v>
      </c>
      <c r="X14" s="1231">
        <v>0.7</v>
      </c>
      <c r="Y14" s="1231">
        <v>0.3</v>
      </c>
      <c r="Z14" s="1013">
        <f>W14*X14</f>
        <v>28000000</v>
      </c>
      <c r="AA14" s="1013">
        <f>W14*Y14</f>
        <v>12000000</v>
      </c>
      <c r="AB14" s="1012">
        <f>Z14+AA14</f>
        <v>40000000</v>
      </c>
      <c r="AC14" s="1013">
        <f>ROUND(Z14/$AF$2,2)</f>
        <v>8408408.4100000001</v>
      </c>
      <c r="AD14" s="1013">
        <f>ROUND(AA14/$AF$2,2)</f>
        <v>3603603.6</v>
      </c>
      <c r="AE14" s="1014">
        <f>AC14+AD14</f>
        <v>12012012.01</v>
      </c>
      <c r="AG14" s="921">
        <f>AI14*X14</f>
        <v>8408408.408408409</v>
      </c>
      <c r="AH14" s="903">
        <f>AI14*Y14</f>
        <v>3603603.6036036038</v>
      </c>
      <c r="AI14" s="922">
        <f>40000000/AF2</f>
        <v>12012012.012012012</v>
      </c>
      <c r="AJ14" s="904"/>
      <c r="AK14" s="698"/>
    </row>
    <row r="15" spans="1:42" ht="34.5" customHeight="1" outlineLevel="3" x14ac:dyDescent="0.2">
      <c r="A15" s="1221" t="s">
        <v>759</v>
      </c>
      <c r="B15" s="1217" t="s">
        <v>806</v>
      </c>
      <c r="C15" s="1215"/>
      <c r="D15" s="1216"/>
      <c r="E15" s="1215"/>
      <c r="F15" s="1032"/>
      <c r="G15" s="1032"/>
      <c r="H15" s="1032">
        <f t="shared" si="5"/>
        <v>0</v>
      </c>
      <c r="I15" s="1032"/>
      <c r="J15" s="1032"/>
      <c r="K15" s="1032"/>
      <c r="L15" s="1032"/>
      <c r="M15" s="1012">
        <f t="shared" si="6"/>
        <v>0</v>
      </c>
      <c r="N15" s="1042"/>
      <c r="O15" s="1037"/>
      <c r="P15" s="1037"/>
      <c r="Q15" s="1037"/>
      <c r="R15" s="1012">
        <f t="shared" si="7"/>
        <v>0</v>
      </c>
      <c r="S15" s="1018">
        <v>0</v>
      </c>
      <c r="T15" s="1012">
        <v>37557271.800000004</v>
      </c>
      <c r="U15" s="1012"/>
      <c r="V15" s="1012">
        <f t="shared" si="9"/>
        <v>37557271.800000004</v>
      </c>
      <c r="W15" s="989">
        <f>+S15+V15</f>
        <v>37557271.800000004</v>
      </c>
      <c r="X15" s="1235"/>
      <c r="Y15" s="1235">
        <v>1</v>
      </c>
      <c r="Z15" s="1013">
        <f>W15*X15</f>
        <v>0</v>
      </c>
      <c r="AA15" s="1013">
        <f>W15*Y15</f>
        <v>37557271.800000004</v>
      </c>
      <c r="AB15" s="1012">
        <f>Z15+AA15</f>
        <v>37557271.800000004</v>
      </c>
      <c r="AC15" s="1013">
        <f t="shared" ref="AC15:AD21" si="14">ROUND(Z15/$AF$2,2)</f>
        <v>0</v>
      </c>
      <c r="AD15" s="1013">
        <f t="shared" si="14"/>
        <v>11278460</v>
      </c>
      <c r="AE15" s="1014">
        <f>AC15+AD15</f>
        <v>11278460</v>
      </c>
      <c r="AF15" s="763"/>
      <c r="AG15" s="906"/>
      <c r="AH15" s="903"/>
      <c r="AI15" s="907">
        <v>11278460</v>
      </c>
      <c r="AJ15" s="904"/>
    </row>
    <row r="16" spans="1:42" ht="78.75" outlineLevel="3" x14ac:dyDescent="0.2">
      <c r="A16" s="1101" t="s">
        <v>319</v>
      </c>
      <c r="B16" s="1214" t="s">
        <v>713</v>
      </c>
      <c r="C16" s="1215"/>
      <c r="D16" s="1216"/>
      <c r="E16" s="1215"/>
      <c r="F16" s="1032"/>
      <c r="G16" s="1032"/>
      <c r="H16" s="1032">
        <f t="shared" si="5"/>
        <v>0</v>
      </c>
      <c r="I16" s="1032"/>
      <c r="J16" s="1032"/>
      <c r="K16" s="1032"/>
      <c r="L16" s="1032"/>
      <c r="M16" s="1012">
        <f t="shared" si="6"/>
        <v>0</v>
      </c>
      <c r="N16" s="1042"/>
      <c r="O16" s="1037"/>
      <c r="P16" s="1037"/>
      <c r="Q16" s="1037"/>
      <c r="R16" s="1012">
        <f t="shared" si="7"/>
        <v>0</v>
      </c>
      <c r="S16" s="1018">
        <f t="shared" si="8"/>
        <v>18092091.760000002</v>
      </c>
      <c r="T16" s="1012"/>
      <c r="U16" s="1012"/>
      <c r="V16" s="1012">
        <f t="shared" si="9"/>
        <v>0</v>
      </c>
      <c r="W16" s="989">
        <f t="shared" ref="W16:W21" si="15">+S16+V16</f>
        <v>18092091.760000002</v>
      </c>
      <c r="X16" s="1235"/>
      <c r="Y16" s="1231">
        <v>1</v>
      </c>
      <c r="Z16" s="1013">
        <f t="shared" si="10"/>
        <v>0</v>
      </c>
      <c r="AA16" s="1013">
        <f t="shared" si="11"/>
        <v>18092091.760000002</v>
      </c>
      <c r="AB16" s="1012">
        <f t="shared" si="12"/>
        <v>18092091.760000002</v>
      </c>
      <c r="AC16" s="1012">
        <f t="shared" si="14"/>
        <v>0</v>
      </c>
      <c r="AD16" s="1013">
        <f t="shared" si="14"/>
        <v>5433060.5899999999</v>
      </c>
      <c r="AE16" s="1014">
        <f t="shared" si="13"/>
        <v>5433060.5899999999</v>
      </c>
      <c r="AF16" s="892">
        <v>0.32918695714513407</v>
      </c>
      <c r="AG16" s="921">
        <f t="shared" ref="AG16:AG21" si="16">AI16*X16</f>
        <v>0</v>
      </c>
      <c r="AH16" s="903">
        <f t="shared" ref="AH16:AH21" si="17">AI16*Y16</f>
        <v>5433060.5885885889</v>
      </c>
      <c r="AI16" s="922">
        <f>AK16/AF2</f>
        <v>5433060.5885885889</v>
      </c>
      <c r="AJ16" s="937" t="s">
        <v>655</v>
      </c>
      <c r="AK16" s="938">
        <v>18092091.760000002</v>
      </c>
      <c r="AM16" s="665" t="s">
        <v>568</v>
      </c>
    </row>
    <row r="17" spans="1:39" ht="94.5" outlineLevel="3" x14ac:dyDescent="0.2">
      <c r="A17" s="1101" t="s">
        <v>317</v>
      </c>
      <c r="B17" s="1214" t="s">
        <v>333</v>
      </c>
      <c r="C17" s="1215"/>
      <c r="D17" s="1216"/>
      <c r="E17" s="1215"/>
      <c r="F17" s="1032"/>
      <c r="G17" s="1032"/>
      <c r="H17" s="1032">
        <f t="shared" si="5"/>
        <v>0</v>
      </c>
      <c r="I17" s="1032"/>
      <c r="J17" s="1032"/>
      <c r="K17" s="1032"/>
      <c r="L17" s="1032"/>
      <c r="M17" s="1012">
        <f t="shared" si="6"/>
        <v>0</v>
      </c>
      <c r="N17" s="1042"/>
      <c r="O17" s="1037"/>
      <c r="P17" s="1037"/>
      <c r="Q17" s="1037"/>
      <c r="R17" s="1012">
        <f t="shared" si="7"/>
        <v>0</v>
      </c>
      <c r="S17" s="1018">
        <f>(AI17*$AF$2)</f>
        <v>5444046.2400000002</v>
      </c>
      <c r="T17" s="1012"/>
      <c r="U17" s="1018">
        <f>(S17*0.1)</f>
        <v>544404.62400000007</v>
      </c>
      <c r="V17" s="1012">
        <f t="shared" si="9"/>
        <v>544404.62400000007</v>
      </c>
      <c r="W17" s="989">
        <f t="shared" si="15"/>
        <v>5988450.8640000001</v>
      </c>
      <c r="X17" s="1231">
        <v>0.7</v>
      </c>
      <c r="Y17" s="1231">
        <v>0.3</v>
      </c>
      <c r="Z17" s="1013">
        <f t="shared" si="10"/>
        <v>4191915.6047999999</v>
      </c>
      <c r="AA17" s="1013">
        <f t="shared" si="11"/>
        <v>1796535.2592</v>
      </c>
      <c r="AB17" s="1012">
        <f t="shared" si="12"/>
        <v>5988450.8640000001</v>
      </c>
      <c r="AC17" s="1013">
        <f t="shared" si="14"/>
        <v>1258833.51</v>
      </c>
      <c r="AD17" s="1013">
        <f t="shared" si="14"/>
        <v>539500.07999999996</v>
      </c>
      <c r="AE17" s="1014">
        <f t="shared" si="13"/>
        <v>1798333.5899999999</v>
      </c>
      <c r="AG17" s="921">
        <f t="shared" si="16"/>
        <v>1144394.1045045045</v>
      </c>
      <c r="AH17" s="903">
        <f t="shared" si="17"/>
        <v>490454.61621621618</v>
      </c>
      <c r="AI17" s="922">
        <f>5444046.24/AF2</f>
        <v>1634848.7207207207</v>
      </c>
      <c r="AJ17" s="889"/>
      <c r="AK17" s="763">
        <f>AJ17/3.33</f>
        <v>0</v>
      </c>
    </row>
    <row r="18" spans="1:39" ht="63" outlineLevel="3" x14ac:dyDescent="0.2">
      <c r="A18" s="1101" t="s">
        <v>316</v>
      </c>
      <c r="B18" s="1214" t="s">
        <v>332</v>
      </c>
      <c r="C18" s="1215"/>
      <c r="D18" s="1216"/>
      <c r="E18" s="1215"/>
      <c r="F18" s="1032"/>
      <c r="G18" s="1032"/>
      <c r="H18" s="1032">
        <f>F18+G18</f>
        <v>0</v>
      </c>
      <c r="I18" s="1032"/>
      <c r="J18" s="1032"/>
      <c r="K18" s="1032"/>
      <c r="L18" s="1032"/>
      <c r="M18" s="1012">
        <f>I18+J18+K18+L18</f>
        <v>0</v>
      </c>
      <c r="N18" s="1042"/>
      <c r="O18" s="1037"/>
      <c r="P18" s="1037"/>
      <c r="Q18" s="1037"/>
      <c r="R18" s="1012">
        <f>N18+O18+P18+Q18</f>
        <v>0</v>
      </c>
      <c r="S18" s="1018">
        <f>AI18*$AF$2</f>
        <v>5281751.4400000004</v>
      </c>
      <c r="T18" s="1012"/>
      <c r="U18" s="1012"/>
      <c r="V18" s="1012">
        <f>T18+U18</f>
        <v>0</v>
      </c>
      <c r="W18" s="989">
        <f>+S18+V18</f>
        <v>5281751.4400000004</v>
      </c>
      <c r="X18" s="1231">
        <v>0.7</v>
      </c>
      <c r="Y18" s="1231">
        <v>0.3</v>
      </c>
      <c r="Z18" s="1013">
        <f>W18*X18</f>
        <v>3697226.0079999999</v>
      </c>
      <c r="AA18" s="1013">
        <f>W18*Y18</f>
        <v>1584525.432</v>
      </c>
      <c r="AB18" s="1012">
        <f>Z18+AA18</f>
        <v>5281751.4399999995</v>
      </c>
      <c r="AC18" s="1013">
        <f>ROUND(Z18/$AF$2,2)</f>
        <v>1110278.08</v>
      </c>
      <c r="AD18" s="1013">
        <f>ROUND(AA18/$AF$2,2)</f>
        <v>475833.46</v>
      </c>
      <c r="AE18" s="1014">
        <f>AC18+AD18</f>
        <v>1586111.54</v>
      </c>
      <c r="AG18" s="921">
        <f t="shared" si="16"/>
        <v>1110278.0804804806</v>
      </c>
      <c r="AH18" s="903">
        <f t="shared" si="17"/>
        <v>475833.4630630631</v>
      </c>
      <c r="AI18" s="922">
        <f>5281751.44/AF2</f>
        <v>1586111.5435435437</v>
      </c>
      <c r="AJ18" s="904"/>
      <c r="AK18" s="763"/>
    </row>
    <row r="19" spans="1:39" ht="35.25" customHeight="1" outlineLevel="3" x14ac:dyDescent="0.2">
      <c r="A19" s="1102" t="s">
        <v>330</v>
      </c>
      <c r="B19" s="1214" t="s">
        <v>731</v>
      </c>
      <c r="C19" s="1215"/>
      <c r="D19" s="1216"/>
      <c r="E19" s="1215"/>
      <c r="F19" s="1032"/>
      <c r="G19" s="1032"/>
      <c r="H19" s="1032">
        <f t="shared" si="5"/>
        <v>0</v>
      </c>
      <c r="I19" s="1032"/>
      <c r="J19" s="1032"/>
      <c r="K19" s="1032"/>
      <c r="L19" s="1032"/>
      <c r="M19" s="1012">
        <f t="shared" si="6"/>
        <v>0</v>
      </c>
      <c r="N19" s="1042"/>
      <c r="O19" s="1037"/>
      <c r="P19" s="1037"/>
      <c r="Q19" s="1037"/>
      <c r="R19" s="1012">
        <f t="shared" si="7"/>
        <v>0</v>
      </c>
      <c r="S19" s="1018">
        <f t="shared" si="8"/>
        <v>3214915.2972972798</v>
      </c>
      <c r="T19" s="1012"/>
      <c r="U19" s="1012"/>
      <c r="V19" s="1012">
        <f t="shared" si="9"/>
        <v>0</v>
      </c>
      <c r="W19" s="989">
        <f t="shared" si="15"/>
        <v>3214915.2972972798</v>
      </c>
      <c r="X19" s="1231">
        <v>1</v>
      </c>
      <c r="Y19" s="1235"/>
      <c r="Z19" s="1013">
        <f t="shared" si="10"/>
        <v>3214915.2972972798</v>
      </c>
      <c r="AA19" s="1013">
        <f t="shared" si="11"/>
        <v>0</v>
      </c>
      <c r="AB19" s="1012">
        <f t="shared" si="12"/>
        <v>3214915.2972972798</v>
      </c>
      <c r="AC19" s="1013">
        <f t="shared" si="14"/>
        <v>965440.03</v>
      </c>
      <c r="AD19" s="1013">
        <f t="shared" si="14"/>
        <v>0</v>
      </c>
      <c r="AE19" s="1014">
        <f t="shared" si="13"/>
        <v>965440.03</v>
      </c>
      <c r="AF19" s="665"/>
      <c r="AG19" s="906">
        <f t="shared" si="16"/>
        <v>965440.02921840234</v>
      </c>
      <c r="AH19" s="903">
        <f t="shared" si="17"/>
        <v>0</v>
      </c>
      <c r="AI19" s="907">
        <f>3214915.29729728/AF2</f>
        <v>965440.02921840234</v>
      </c>
      <c r="AJ19" s="904" t="s">
        <v>592</v>
      </c>
    </row>
    <row r="20" spans="1:39" ht="31.5" outlineLevel="3" x14ac:dyDescent="0.2">
      <c r="A20" s="1102" t="s">
        <v>328</v>
      </c>
      <c r="B20" s="1214" t="s">
        <v>814</v>
      </c>
      <c r="C20" s="1215"/>
      <c r="D20" s="1216"/>
      <c r="E20" s="1215"/>
      <c r="F20" s="1032"/>
      <c r="G20" s="1032"/>
      <c r="H20" s="1032">
        <f t="shared" si="5"/>
        <v>0</v>
      </c>
      <c r="I20" s="1032"/>
      <c r="J20" s="1032"/>
      <c r="K20" s="1032"/>
      <c r="L20" s="1032"/>
      <c r="M20" s="1012">
        <f t="shared" si="6"/>
        <v>0</v>
      </c>
      <c r="N20" s="1042"/>
      <c r="O20" s="1037"/>
      <c r="P20" s="1037"/>
      <c r="Q20" s="1037"/>
      <c r="R20" s="1012">
        <f t="shared" si="7"/>
        <v>0</v>
      </c>
      <c r="S20" s="1018">
        <f>AI20*$AF$2</f>
        <v>2509501.5405882299</v>
      </c>
      <c r="T20" s="1012"/>
      <c r="U20" s="1012"/>
      <c r="V20" s="1012">
        <f t="shared" si="9"/>
        <v>0</v>
      </c>
      <c r="W20" s="989">
        <f t="shared" si="15"/>
        <v>2509501.5405882299</v>
      </c>
      <c r="X20" s="1235">
        <v>1</v>
      </c>
      <c r="Y20" s="1235"/>
      <c r="Z20" s="1013">
        <f t="shared" si="10"/>
        <v>2509501.5405882299</v>
      </c>
      <c r="AA20" s="1013">
        <f t="shared" si="11"/>
        <v>0</v>
      </c>
      <c r="AB20" s="1012">
        <f t="shared" si="12"/>
        <v>2509501.5405882299</v>
      </c>
      <c r="AC20" s="1013">
        <f t="shared" si="14"/>
        <v>753604.07</v>
      </c>
      <c r="AD20" s="1013">
        <f t="shared" si="14"/>
        <v>0</v>
      </c>
      <c r="AE20" s="1014">
        <f t="shared" si="13"/>
        <v>753604.07</v>
      </c>
      <c r="AF20" s="665"/>
      <c r="AG20" s="906">
        <f t="shared" si="16"/>
        <v>753604.06624271162</v>
      </c>
      <c r="AH20" s="903">
        <f t="shared" si="17"/>
        <v>0</v>
      </c>
      <c r="AI20" s="907">
        <f>2509501.54058823/AF2</f>
        <v>753604.06624271162</v>
      </c>
      <c r="AJ20" s="904" t="s">
        <v>593</v>
      </c>
      <c r="AK20" s="665">
        <v>6735865.6399999997</v>
      </c>
      <c r="AL20" s="665">
        <f>+AK13+AK20</f>
        <v>51641636.600000001</v>
      </c>
      <c r="AM20" s="665">
        <f>AL20/3.1394</f>
        <v>16449524.304007135</v>
      </c>
    </row>
    <row r="21" spans="1:39" ht="63" outlineLevel="3" x14ac:dyDescent="0.2">
      <c r="A21" s="1101" t="s">
        <v>318</v>
      </c>
      <c r="B21" s="1214" t="s">
        <v>664</v>
      </c>
      <c r="C21" s="1215"/>
      <c r="D21" s="1216"/>
      <c r="E21" s="1215"/>
      <c r="F21" s="1032"/>
      <c r="G21" s="1032"/>
      <c r="H21" s="1032">
        <f t="shared" si="5"/>
        <v>0</v>
      </c>
      <c r="I21" s="1032"/>
      <c r="J21" s="1032"/>
      <c r="K21" s="1032"/>
      <c r="L21" s="1032"/>
      <c r="M21" s="1012">
        <f t="shared" si="6"/>
        <v>0</v>
      </c>
      <c r="N21" s="1042"/>
      <c r="O21" s="1037"/>
      <c r="P21" s="1037"/>
      <c r="Q21" s="1037"/>
      <c r="R21" s="1012">
        <f t="shared" si="7"/>
        <v>0</v>
      </c>
      <c r="S21" s="1018">
        <f t="shared" si="8"/>
        <v>1717621.67757514</v>
      </c>
      <c r="T21" s="1012"/>
      <c r="U21" s="1012"/>
      <c r="V21" s="1012">
        <f t="shared" si="9"/>
        <v>0</v>
      </c>
      <c r="W21" s="989">
        <f t="shared" si="15"/>
        <v>1717621.67757514</v>
      </c>
      <c r="X21" s="1235">
        <v>1</v>
      </c>
      <c r="Y21" s="1235"/>
      <c r="Z21" s="1013">
        <f t="shared" si="10"/>
        <v>1717621.67757514</v>
      </c>
      <c r="AA21" s="1013">
        <f t="shared" si="11"/>
        <v>0</v>
      </c>
      <c r="AB21" s="1012">
        <f t="shared" si="12"/>
        <v>1717621.67757514</v>
      </c>
      <c r="AC21" s="1013">
        <f t="shared" si="14"/>
        <v>515802.31</v>
      </c>
      <c r="AD21" s="1013">
        <f t="shared" si="14"/>
        <v>0</v>
      </c>
      <c r="AE21" s="1014">
        <f t="shared" si="13"/>
        <v>515802.31</v>
      </c>
      <c r="AG21" s="921">
        <f t="shared" si="16"/>
        <v>515802.30557812011</v>
      </c>
      <c r="AH21" s="903">
        <f t="shared" si="17"/>
        <v>0</v>
      </c>
      <c r="AI21" s="922">
        <f>1717621.67757514/AF2</f>
        <v>515802.30557812011</v>
      </c>
      <c r="AJ21" s="904"/>
    </row>
    <row r="22" spans="1:39" s="952" customFormat="1" ht="42" customHeight="1" outlineLevel="3" x14ac:dyDescent="0.2">
      <c r="A22" s="1097"/>
      <c r="B22" s="1223" t="s">
        <v>761</v>
      </c>
      <c r="C22" s="1215"/>
      <c r="D22" s="1216"/>
      <c r="E22" s="1215"/>
      <c r="F22" s="1032"/>
      <c r="G22" s="1032"/>
      <c r="H22" s="1032">
        <f>F22+G22</f>
        <v>0</v>
      </c>
      <c r="I22" s="1038"/>
      <c r="J22" s="1038"/>
      <c r="K22" s="1032"/>
      <c r="L22" s="1032"/>
      <c r="M22" s="1012"/>
      <c r="N22" s="1042"/>
      <c r="O22" s="1032"/>
      <c r="P22" s="1037"/>
      <c r="Q22" s="1037"/>
      <c r="R22" s="1012"/>
      <c r="S22" s="1018">
        <f>(H22-M22)</f>
        <v>0</v>
      </c>
      <c r="T22" s="1125">
        <f>AI22*AF2</f>
        <v>61752883.96799998</v>
      </c>
      <c r="U22" s="979"/>
      <c r="V22" s="1012">
        <f>T22+U22</f>
        <v>61752883.96799998</v>
      </c>
      <c r="W22" s="989">
        <f>(S22+V22)</f>
        <v>61752883.96799998</v>
      </c>
      <c r="X22" s="1242"/>
      <c r="Y22" s="1242">
        <v>1</v>
      </c>
      <c r="Z22" s="1019">
        <f>W22*X22</f>
        <v>0</v>
      </c>
      <c r="AA22" s="1013">
        <f t="shared" si="11"/>
        <v>61752883.96799998</v>
      </c>
      <c r="AB22" s="1012">
        <f>Z22+AA22</f>
        <v>61752883.96799998</v>
      </c>
      <c r="AC22" s="1013">
        <f>ROUND(Z22/$AF$2,2)</f>
        <v>0</v>
      </c>
      <c r="AD22" s="1013">
        <f>ROUND(AA22/$AF$2,2)</f>
        <v>18544409.600000001</v>
      </c>
      <c r="AE22" s="1014">
        <f>AC22+AD22</f>
        <v>18544409.600000001</v>
      </c>
      <c r="AF22" s="960"/>
      <c r="AG22" s="927"/>
      <c r="AH22" s="942"/>
      <c r="AI22" s="1092">
        <v>18544409.599999994</v>
      </c>
      <c r="AJ22" s="984"/>
      <c r="AK22" s="984"/>
    </row>
    <row r="23" spans="1:39" s="1254" customFormat="1" ht="18" x14ac:dyDescent="0.25">
      <c r="A23" s="1250"/>
      <c r="B23" s="1251"/>
      <c r="C23" s="1252"/>
      <c r="D23" s="1253"/>
      <c r="E23" s="1253"/>
      <c r="H23" s="1259"/>
      <c r="N23" s="1251"/>
      <c r="S23" s="1262"/>
      <c r="T23" s="1251"/>
      <c r="V23" s="1263"/>
      <c r="W23" s="1264"/>
      <c r="X23" s="1258"/>
      <c r="Y23" s="1258"/>
      <c r="Z23" s="1259"/>
      <c r="AA23" s="1259"/>
      <c r="AC23" s="1259"/>
      <c r="AD23" s="1259"/>
      <c r="AE23" s="1261"/>
      <c r="AF23" s="1260"/>
      <c r="AG23" s="1259"/>
      <c r="AH23" s="1259"/>
    </row>
    <row r="24" spans="1:39" s="1254" customFormat="1" ht="18" x14ac:dyDescent="0.25">
      <c r="A24" s="1250"/>
      <c r="B24" s="1251"/>
      <c r="C24" s="1252"/>
      <c r="D24" s="1253"/>
      <c r="E24" s="1253"/>
      <c r="H24" s="1259"/>
      <c r="N24" s="1251"/>
      <c r="S24" s="1265"/>
      <c r="T24" s="1251"/>
      <c r="W24" s="1266"/>
      <c r="X24" s="1258"/>
      <c r="Y24" s="1258"/>
      <c r="Z24" s="1259"/>
      <c r="AA24" s="1259"/>
      <c r="AB24" s="1259"/>
      <c r="AC24" s="1259"/>
      <c r="AD24" s="1267"/>
      <c r="AE24" s="1259"/>
      <c r="AF24" s="1259"/>
      <c r="AG24" s="1259"/>
      <c r="AH24" s="1259"/>
      <c r="AI24" s="1259"/>
      <c r="AJ24" s="1259"/>
      <c r="AK24" s="1259"/>
    </row>
    <row r="25" spans="1:39" s="1254" customFormat="1" ht="18" x14ac:dyDescent="0.25">
      <c r="A25" s="1250"/>
      <c r="B25" s="1251"/>
      <c r="C25" s="1252"/>
      <c r="D25" s="1253"/>
      <c r="E25" s="1253"/>
      <c r="H25" s="1259"/>
      <c r="N25" s="1251"/>
      <c r="S25" s="1262"/>
      <c r="T25" s="1251"/>
      <c r="W25" s="1266"/>
      <c r="X25" s="1258"/>
      <c r="Y25" s="1258"/>
      <c r="Z25" s="1259"/>
      <c r="AA25" s="1259"/>
      <c r="AC25" s="1259"/>
      <c r="AD25" s="1259"/>
      <c r="AE25" s="1259"/>
      <c r="AF25" s="1259"/>
      <c r="AG25" s="1259"/>
      <c r="AH25" s="1259"/>
      <c r="AI25" s="1259"/>
      <c r="AJ25" s="1259"/>
      <c r="AK25" s="1259"/>
    </row>
    <row r="26" spans="1:39" s="1254" customFormat="1" x14ac:dyDescent="0.25">
      <c r="A26" s="1250"/>
      <c r="B26" s="1251"/>
      <c r="C26" s="1252"/>
      <c r="D26" s="1253"/>
      <c r="E26" s="1253"/>
      <c r="H26" s="1259"/>
      <c r="N26" s="1251"/>
      <c r="W26" s="1266"/>
      <c r="X26" s="1258"/>
      <c r="Y26" s="1258"/>
      <c r="Z26" s="1259"/>
      <c r="AA26" s="1259"/>
      <c r="AC26" s="1259"/>
      <c r="AD26" s="1259"/>
      <c r="AE26" s="1259"/>
      <c r="AF26" s="1259"/>
      <c r="AG26" s="1259"/>
      <c r="AH26" s="1259"/>
      <c r="AI26" s="1259"/>
      <c r="AJ26" s="1259"/>
      <c r="AK26" s="1259"/>
      <c r="AL26" s="1268"/>
    </row>
    <row r="27" spans="1:39" s="1254" customFormat="1" x14ac:dyDescent="0.25">
      <c r="A27" s="1250"/>
      <c r="B27" s="1251"/>
      <c r="C27" s="1252"/>
      <c r="D27" s="1253"/>
      <c r="E27" s="1253"/>
      <c r="H27" s="1259"/>
      <c r="N27" s="1251"/>
      <c r="W27" s="1266"/>
      <c r="X27" s="1258"/>
      <c r="Y27" s="1258"/>
      <c r="Z27" s="1259"/>
      <c r="AA27" s="1259"/>
      <c r="AB27" s="1259"/>
      <c r="AC27" s="1259"/>
      <c r="AD27" s="1259"/>
      <c r="AE27" s="1259"/>
      <c r="AF27" s="1260"/>
      <c r="AG27" s="1259"/>
      <c r="AH27" s="1259"/>
    </row>
    <row r="28" spans="1:39" s="1254" customFormat="1" x14ac:dyDescent="0.25">
      <c r="A28" s="1250"/>
      <c r="B28" s="1251"/>
      <c r="C28" s="1252"/>
      <c r="D28" s="1253"/>
      <c r="E28" s="1253"/>
      <c r="H28" s="1259"/>
      <c r="N28" s="1251"/>
      <c r="W28" s="1266"/>
      <c r="X28" s="1258"/>
      <c r="Y28" s="1258"/>
      <c r="Z28" s="1259"/>
      <c r="AA28" s="1259"/>
      <c r="AC28" s="1259"/>
      <c r="AD28" s="1259"/>
      <c r="AE28" s="1259"/>
      <c r="AF28" s="1260"/>
      <c r="AG28" s="1259"/>
      <c r="AH28" s="1259"/>
    </row>
    <row r="29" spans="1:39" s="1254" customFormat="1" x14ac:dyDescent="0.25">
      <c r="A29" s="1250"/>
      <c r="B29" s="1251"/>
      <c r="C29" s="1252"/>
      <c r="D29" s="1253"/>
      <c r="E29" s="1253"/>
      <c r="H29" s="1259"/>
      <c r="N29" s="1251"/>
      <c r="W29" s="1266"/>
      <c r="X29" s="1258"/>
      <c r="Y29" s="1258"/>
      <c r="Z29" s="1259"/>
      <c r="AA29" s="1259"/>
      <c r="AC29" s="1259"/>
      <c r="AD29" s="1259"/>
      <c r="AF29" s="1260"/>
      <c r="AG29" s="1259"/>
      <c r="AH29" s="1259"/>
    </row>
    <row r="30" spans="1:39" s="1254" customFormat="1" x14ac:dyDescent="0.25">
      <c r="A30" s="1250"/>
      <c r="B30" s="1251"/>
      <c r="C30" s="1252"/>
      <c r="D30" s="1253"/>
      <c r="E30" s="1253"/>
      <c r="H30" s="1259"/>
      <c r="N30" s="1251"/>
      <c r="W30" s="1266"/>
      <c r="X30" s="1258"/>
      <c r="Y30" s="1258"/>
      <c r="Z30" s="1259"/>
      <c r="AA30" s="1259"/>
      <c r="AC30" s="1259"/>
      <c r="AD30" s="1259"/>
      <c r="AF30" s="1260"/>
      <c r="AG30" s="1259"/>
      <c r="AH30" s="1259"/>
    </row>
    <row r="31" spans="1:39" s="1254" customFormat="1" x14ac:dyDescent="0.25">
      <c r="A31" s="1250"/>
      <c r="B31" s="1251"/>
      <c r="C31" s="1252"/>
      <c r="D31" s="1253"/>
      <c r="E31" s="1253"/>
      <c r="H31" s="1259"/>
      <c r="N31" s="1251"/>
      <c r="W31" s="1266"/>
      <c r="X31" s="1258"/>
      <c r="Y31" s="1258"/>
      <c r="Z31" s="1259"/>
      <c r="AA31" s="1259"/>
      <c r="AC31" s="1259"/>
      <c r="AD31" s="1259"/>
      <c r="AF31" s="1260"/>
      <c r="AG31" s="1259"/>
      <c r="AH31" s="1259"/>
    </row>
    <row r="32" spans="1:39" s="1254" customFormat="1" x14ac:dyDescent="0.25">
      <c r="A32" s="1250"/>
      <c r="B32" s="1251"/>
      <c r="C32" s="1252"/>
      <c r="D32" s="1253"/>
      <c r="E32" s="1253"/>
      <c r="H32" s="1259"/>
      <c r="N32" s="1251"/>
      <c r="W32" s="1266"/>
      <c r="X32" s="1258"/>
      <c r="Y32" s="1258"/>
      <c r="Z32" s="1259"/>
      <c r="AA32" s="1259"/>
      <c r="AC32" s="1259"/>
      <c r="AD32" s="1259"/>
      <c r="AF32" s="1260"/>
      <c r="AG32" s="1259"/>
      <c r="AH32" s="1259"/>
    </row>
    <row r="33" spans="1:34" s="1254" customFormat="1" x14ac:dyDescent="0.25">
      <c r="A33" s="1250"/>
      <c r="B33" s="1251"/>
      <c r="C33" s="1252"/>
      <c r="D33" s="1253"/>
      <c r="E33" s="1253"/>
      <c r="H33" s="1259"/>
      <c r="N33" s="1251"/>
      <c r="W33" s="1266"/>
      <c r="X33" s="1258"/>
      <c r="Y33" s="1258"/>
      <c r="Z33" s="1259"/>
      <c r="AA33" s="1259"/>
      <c r="AC33" s="1259"/>
      <c r="AD33" s="1259"/>
      <c r="AF33" s="1260"/>
      <c r="AG33" s="1259"/>
      <c r="AH33" s="1259"/>
    </row>
  </sheetData>
  <customSheetViews>
    <customSheetView guid="{4F748D0E-E050-4B9E-BA26-0A3F6D7B169B}" scale="60" showPageBreaks="1" showGridLines="0" printArea="1" hiddenColumns="1" state="hidden">
      <pane xSplit="21" ySplit="6" topLeftCell="W7" activePane="bottomRight" state="frozen"/>
      <selection pane="bottomRight" activeCell="AT8" sqref="AT8"/>
      <pageMargins left="0.19685039370078741" right="0.15748031496062992" top="0.43307086614173229" bottom="0.15748031496062992" header="0.23622047244094491" footer="0.15748031496062992"/>
      <printOptions horizontalCentered="1"/>
      <pageSetup paperSize="8" scale="44" orientation="landscape" cellComments="asDisplayed" horizontalDpi="200" verticalDpi="200" r:id="rId1"/>
      <headerFooter>
        <oddHeader>&amp;C&amp;"Cambria,Regular"&amp;14DEMONSTRATIVO ANALÍTICO - FINAL</oddHeader>
        <oddFooter>&amp;L&amp;F&amp;C&amp;D &amp;T&amp;R&amp;P/ &amp;N</oddFooter>
      </headerFooter>
    </customSheetView>
    <customSheetView guid="{8679FB5B-1AA7-40E9-8152-505014626217}" scale="60" showPageBreaks="1" showGridLines="0" printArea="1" hiddenColumns="1" state="hidden">
      <pane xSplit="21" ySplit="6" topLeftCell="W7" activePane="bottomRight" state="frozen"/>
      <selection pane="bottomRight" activeCell="AT8" sqref="AT8"/>
      <pageMargins left="0.19685039370078741" right="0.15748031496062992" top="0.43307086614173229" bottom="0.15748031496062992" header="0.23622047244094491" footer="0.15748031496062992"/>
      <printOptions horizontalCentered="1"/>
      <pageSetup paperSize="8" scale="44" orientation="landscape" cellComments="asDisplayed" horizontalDpi="200" verticalDpi="200" r:id="rId2"/>
      <headerFooter>
        <oddHeader>&amp;C&amp;"Cambria,Regular"&amp;14DEMONSTRATIVO ANALÍTICO - FINAL</oddHeader>
        <oddFooter>&amp;L&amp;F&amp;C&amp;D &amp;T&amp;R&amp;P/ &amp;N</oddFooter>
      </headerFooter>
    </customSheetView>
  </customSheetViews>
  <mergeCells count="21">
    <mergeCell ref="X5:X6"/>
    <mergeCell ref="Y5:Y6"/>
    <mergeCell ref="Z5:AB5"/>
    <mergeCell ref="AC5:AE5"/>
    <mergeCell ref="AG5:AI5"/>
    <mergeCell ref="W5:W6"/>
    <mergeCell ref="A1:AE1"/>
    <mergeCell ref="Z2:AC2"/>
    <mergeCell ref="F4:H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R5"/>
    <mergeCell ref="S5:S6"/>
    <mergeCell ref="V5:V6"/>
  </mergeCells>
  <printOptions horizontalCentered="1"/>
  <pageMargins left="0.19685039370078741" right="0.15748031496062992" top="0.43307086614173229" bottom="0.15748031496062992" header="0.23622047244094491" footer="0.15748031496062992"/>
  <pageSetup paperSize="8" scale="44" orientation="landscape" cellComments="asDisplayed" horizontalDpi="200" verticalDpi="200" r:id="rId3"/>
  <headerFooter>
    <oddHeader>&amp;C&amp;"Cambria,Regular"&amp;14DEMONSTRATIVO ANALÍTICO - FINAL</oddHeader>
    <oddFooter>&amp;L&amp;F&amp;C&amp;D &amp;T&amp;R&amp;P/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/>
  </sheetViews>
  <sheetFormatPr defaultRowHeight="15" x14ac:dyDescent="0.25"/>
  <cols>
    <col min="1" max="4" width="14.28515625" bestFit="1" customWidth="1"/>
  </cols>
  <sheetData>
    <row r="2" spans="1:7" x14ac:dyDescent="0.25">
      <c r="A2" s="1">
        <v>18825351.859999999</v>
      </c>
      <c r="B2" s="32">
        <v>13485216.5</v>
      </c>
      <c r="C2" s="1">
        <v>11278458.68</v>
      </c>
    </row>
    <row r="3" spans="1:7" x14ac:dyDescent="0.25">
      <c r="A3" s="1">
        <v>69653801.879999995</v>
      </c>
      <c r="B3" s="1">
        <f>B2*3.33</f>
        <v>44905770.945</v>
      </c>
      <c r="C3" s="1">
        <f>C2*3.33</f>
        <v>37557267.404399998</v>
      </c>
    </row>
    <row r="4" spans="1:7" x14ac:dyDescent="0.25">
      <c r="B4" s="1">
        <f>B3/A3</f>
        <v>0.64469949569104557</v>
      </c>
      <c r="C4" s="1">
        <f>C3*0.65</f>
        <v>24412223.812860001</v>
      </c>
      <c r="D4" s="27">
        <f>C2*0.65</f>
        <v>7330998.142</v>
      </c>
    </row>
    <row r="5" spans="1:7" x14ac:dyDescent="0.25">
      <c r="A5" s="27"/>
      <c r="B5" s="27"/>
    </row>
    <row r="6" spans="1:7" x14ac:dyDescent="0.25">
      <c r="C6" s="27">
        <f>B3+C4</f>
        <v>69317994.757860005</v>
      </c>
    </row>
    <row r="7" spans="1:7" x14ac:dyDescent="0.25">
      <c r="B7" s="27">
        <f>C7-C2</f>
        <v>9537755.9620000012</v>
      </c>
      <c r="C7" s="27">
        <f>C6/3.33</f>
        <v>20816214.642000001</v>
      </c>
      <c r="D7" s="27">
        <f>C7-C8</f>
        <v>11032593.760260001</v>
      </c>
    </row>
    <row r="8" spans="1:7" x14ac:dyDescent="0.25">
      <c r="A8" s="259">
        <f>B7/B8</f>
        <v>0.45818877860512025</v>
      </c>
      <c r="B8" s="27">
        <f>C2+B7</f>
        <v>20816214.642000001</v>
      </c>
      <c r="C8" s="27">
        <f>C7*47%</f>
        <v>9783620.8817400001</v>
      </c>
    </row>
    <row r="10" spans="1:7" x14ac:dyDescent="0.25">
      <c r="C10" s="1">
        <v>9745589.8599999994</v>
      </c>
      <c r="D10" s="27">
        <f>C10-C11</f>
        <v>9707558.8382599987</v>
      </c>
    </row>
    <row r="11" spans="1:7" x14ac:dyDescent="0.25">
      <c r="C11" s="27">
        <f>C8-C10</f>
        <v>38031.021740000695</v>
      </c>
    </row>
    <row r="12" spans="1:7" x14ac:dyDescent="0.25">
      <c r="B12" s="27">
        <f>B2*0.64</f>
        <v>8630538.5600000005</v>
      </c>
    </row>
    <row r="13" spans="1:7" x14ac:dyDescent="0.25">
      <c r="C13" s="27">
        <f>B8-B7</f>
        <v>11278458.68</v>
      </c>
      <c r="G13">
        <f>35*5</f>
        <v>175</v>
      </c>
    </row>
    <row r="14" spans="1:7" x14ac:dyDescent="0.25">
      <c r="G14">
        <f>G13/3.33</f>
        <v>52.552552552552548</v>
      </c>
    </row>
    <row r="15" spans="1:7" x14ac:dyDescent="0.25">
      <c r="B15" s="27">
        <f>B7*3.33</f>
        <v>31760727.353460006</v>
      </c>
    </row>
  </sheetData>
  <customSheetViews>
    <customSheetView guid="{4F748D0E-E050-4B9E-BA26-0A3F6D7B169B}" state="hidden">
      <selection activeCell="D13" sqref="D13"/>
      <pageMargins left="0.511811024" right="0.511811024" top="0.78740157499999996" bottom="0.78740157499999996" header="0.31496062000000002" footer="0.31496062000000002"/>
    </customSheetView>
    <customSheetView guid="{8679FB5B-1AA7-40E9-8152-505014626217}" state="hidden">
      <selection activeCell="D13" sqref="D13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4"/>
  <sheetViews>
    <sheetView workbookViewId="0">
      <selection sqref="A1:AE1"/>
    </sheetView>
  </sheetViews>
  <sheetFormatPr defaultColWidth="9.140625" defaultRowHeight="15.75" outlineLevelRow="4" x14ac:dyDescent="0.25"/>
  <cols>
    <col min="1" max="1" width="10.42578125" style="1309" bestFit="1" customWidth="1"/>
    <col min="2" max="2" width="50.7109375" style="888" customWidth="1"/>
    <col min="3" max="3" width="19.85546875" style="1119" hidden="1" customWidth="1"/>
    <col min="4" max="4" width="16.5703125" style="952" hidden="1" customWidth="1"/>
    <col min="5" max="5" width="18.7109375" style="952" hidden="1" customWidth="1"/>
    <col min="6" max="6" width="24.42578125" style="665" hidden="1" customWidth="1"/>
    <col min="7" max="7" width="29.42578125" style="665" hidden="1" customWidth="1"/>
    <col min="8" max="8" width="29" style="698" hidden="1" customWidth="1"/>
    <col min="9" max="9" width="25.140625" style="665" hidden="1" customWidth="1"/>
    <col min="10" max="10" width="23.42578125" style="665" hidden="1" customWidth="1"/>
    <col min="11" max="11" width="25.5703125" style="665" hidden="1" customWidth="1"/>
    <col min="12" max="12" width="21.28515625" style="665" hidden="1" customWidth="1"/>
    <col min="13" max="13" width="25.5703125" style="665" hidden="1" customWidth="1"/>
    <col min="14" max="14" width="24.7109375" style="888" hidden="1" customWidth="1"/>
    <col min="15" max="15" width="23" style="665" hidden="1" customWidth="1"/>
    <col min="16" max="16" width="25.140625" style="665" hidden="1" customWidth="1"/>
    <col min="17" max="17" width="21.28515625" style="665" hidden="1" customWidth="1"/>
    <col min="18" max="18" width="25.140625" style="665" hidden="1" customWidth="1"/>
    <col min="19" max="19" width="21.28515625" style="665" hidden="1" customWidth="1"/>
    <col min="20" max="21" width="23.42578125" style="665" hidden="1" customWidth="1"/>
    <col min="22" max="22" width="25.28515625" style="665" hidden="1" customWidth="1"/>
    <col min="23" max="23" width="28.7109375" style="1001" bestFit="1" customWidth="1"/>
    <col min="24" max="24" width="8.28515625" style="1225" bestFit="1" customWidth="1"/>
    <col min="25" max="25" width="11.28515625" style="1225" bestFit="1" customWidth="1"/>
    <col min="26" max="27" width="24.7109375" style="698" bestFit="1" customWidth="1"/>
    <col min="28" max="28" width="29.85546875" style="665" customWidth="1"/>
    <col min="29" max="30" width="23.42578125" style="698" bestFit="1" customWidth="1"/>
    <col min="31" max="31" width="24.7109375" style="665" bestFit="1" customWidth="1"/>
    <col min="32" max="32" width="26.28515625" style="892" bestFit="1" customWidth="1"/>
    <col min="33" max="34" width="23" style="698" hidden="1" customWidth="1"/>
    <col min="35" max="35" width="23.42578125" style="665" hidden="1" customWidth="1"/>
    <col min="36" max="36" width="34.42578125" style="665" customWidth="1"/>
    <col min="37" max="37" width="22.7109375" style="665" bestFit="1" customWidth="1"/>
    <col min="38" max="38" width="16.140625" style="665" bestFit="1" customWidth="1"/>
    <col min="39" max="39" width="15.42578125" style="665" bestFit="1" customWidth="1"/>
    <col min="40" max="40" width="25.140625" style="665" bestFit="1" customWidth="1"/>
    <col min="41" max="41" width="9.140625" style="665" customWidth="1"/>
    <col min="42" max="42" width="7.7109375" style="665" customWidth="1"/>
    <col min="43" max="43" width="17.140625" style="665" customWidth="1"/>
    <col min="44" max="44" width="17.5703125" style="665" bestFit="1" customWidth="1"/>
    <col min="45" max="16384" width="9.140625" style="665"/>
  </cols>
  <sheetData>
    <row r="1" spans="1:38" ht="7.5" customHeight="1" x14ac:dyDescent="0.2">
      <c r="A1" s="1534"/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  <c r="Q1" s="1534"/>
      <c r="R1" s="1534"/>
      <c r="S1" s="1534"/>
      <c r="T1" s="1534"/>
      <c r="U1" s="1534"/>
      <c r="V1" s="1534"/>
      <c r="W1" s="1534"/>
      <c r="X1" s="1534"/>
      <c r="Y1" s="1534"/>
      <c r="Z1" s="1534"/>
      <c r="AA1" s="1534"/>
      <c r="AB1" s="1534"/>
      <c r="AC1" s="1534"/>
      <c r="AD1" s="1534"/>
      <c r="AE1" s="1534"/>
      <c r="AF1" s="887"/>
      <c r="AG1" s="887"/>
      <c r="AH1" s="951"/>
      <c r="AI1" s="887"/>
      <c r="AJ1" s="887"/>
    </row>
    <row r="2" spans="1:38" ht="12" customHeight="1" x14ac:dyDescent="0.3">
      <c r="A2" s="1292"/>
      <c r="B2" s="1074"/>
      <c r="C2" s="1109"/>
      <c r="D2" s="665"/>
      <c r="E2" s="665"/>
      <c r="F2" s="1104"/>
      <c r="G2" s="904"/>
      <c r="I2" s="698"/>
      <c r="J2" s="698"/>
      <c r="K2" s="698"/>
      <c r="L2" s="698"/>
      <c r="M2" s="698"/>
      <c r="O2" s="889"/>
      <c r="P2" s="698"/>
      <c r="Q2" s="698"/>
      <c r="R2" s="698"/>
      <c r="S2" s="763"/>
      <c r="T2" s="1072"/>
      <c r="U2" s="763"/>
      <c r="W2" s="1061"/>
      <c r="Z2" s="1535" t="s">
        <v>760</v>
      </c>
      <c r="AA2" s="1535"/>
      <c r="AB2" s="1535"/>
      <c r="AC2" s="1535"/>
      <c r="AE2" s="1073"/>
      <c r="AF2" s="962">
        <v>3.33</v>
      </c>
      <c r="AH2" s="1048"/>
      <c r="AI2" s="890"/>
    </row>
    <row r="3" spans="1:38" ht="18.600000000000001" customHeight="1" x14ac:dyDescent="0.3">
      <c r="A3" s="1292"/>
      <c r="B3" s="1074"/>
      <c r="C3" s="1109"/>
      <c r="D3" s="665"/>
      <c r="E3" s="665"/>
      <c r="F3" s="1104"/>
      <c r="G3" s="904"/>
      <c r="I3" s="698"/>
      <c r="J3" s="698"/>
      <c r="K3" s="698"/>
      <c r="L3" s="698"/>
      <c r="M3" s="698"/>
      <c r="O3" s="889"/>
      <c r="P3" s="698"/>
      <c r="Q3" s="698"/>
      <c r="R3" s="698"/>
      <c r="S3" s="763"/>
      <c r="T3" s="1072"/>
      <c r="U3" s="763"/>
      <c r="W3" s="1061"/>
      <c r="Z3" s="1249" t="s">
        <v>83</v>
      </c>
      <c r="AA3" s="1124" t="s">
        <v>568</v>
      </c>
      <c r="AB3" s="1124" t="s">
        <v>568</v>
      </c>
      <c r="AC3" s="1249" t="s">
        <v>83</v>
      </c>
      <c r="AE3" s="1073"/>
      <c r="AF3" s="962"/>
      <c r="AH3" s="1048"/>
      <c r="AI3" s="890"/>
    </row>
    <row r="4" spans="1:38" ht="16.5" thickBot="1" x14ac:dyDescent="0.3">
      <c r="A4" s="1109"/>
      <c r="C4" s="1109"/>
      <c r="D4" s="665"/>
      <c r="E4" s="665"/>
      <c r="F4" s="1536"/>
      <c r="G4" s="1537"/>
      <c r="H4" s="1538"/>
      <c r="I4" s="698"/>
      <c r="J4" s="698"/>
      <c r="K4" s="698"/>
      <c r="L4" s="698"/>
      <c r="M4" s="698"/>
      <c r="N4" s="889"/>
      <c r="O4" s="698"/>
      <c r="P4" s="698"/>
      <c r="Q4" s="698"/>
      <c r="R4" s="698"/>
      <c r="U4" s="698"/>
      <c r="W4" s="1007"/>
      <c r="Z4" s="1126">
        <f>AA4*3.33</f>
        <v>0</v>
      </c>
      <c r="AA4" s="1123">
        <f>AC160</f>
        <v>0</v>
      </c>
      <c r="AB4" s="1122">
        <f>AD160</f>
        <v>18544409.600000009</v>
      </c>
      <c r="AC4" s="1122">
        <f>AB4*3.33</f>
        <v>61752883.968000032</v>
      </c>
      <c r="AD4" s="891"/>
      <c r="AE4" s="890"/>
      <c r="AI4" s="890"/>
    </row>
    <row r="5" spans="1:38" s="1001" customFormat="1" ht="55.5" customHeight="1" x14ac:dyDescent="0.25">
      <c r="A5" s="1557"/>
      <c r="B5" s="1541" t="s">
        <v>15</v>
      </c>
      <c r="C5" s="1543" t="s">
        <v>14</v>
      </c>
      <c r="D5" s="1543" t="s">
        <v>13</v>
      </c>
      <c r="E5" s="1541" t="s">
        <v>12</v>
      </c>
      <c r="F5" s="1543" t="s">
        <v>762</v>
      </c>
      <c r="G5" s="1543" t="s">
        <v>566</v>
      </c>
      <c r="H5" s="1545" t="s">
        <v>454</v>
      </c>
      <c r="I5" s="1543" t="s">
        <v>227</v>
      </c>
      <c r="J5" s="1543"/>
      <c r="K5" s="1543"/>
      <c r="L5" s="1543"/>
      <c r="M5" s="1543"/>
      <c r="N5" s="1543" t="s">
        <v>228</v>
      </c>
      <c r="O5" s="1543"/>
      <c r="P5" s="1543"/>
      <c r="Q5" s="1543"/>
      <c r="R5" s="1543"/>
      <c r="S5" s="1541" t="s">
        <v>567</v>
      </c>
      <c r="T5" s="1246" t="s">
        <v>663</v>
      </c>
      <c r="U5" s="1246" t="s">
        <v>666</v>
      </c>
      <c r="V5" s="1547" t="s">
        <v>667</v>
      </c>
      <c r="W5" s="1547" t="s">
        <v>707</v>
      </c>
      <c r="X5" s="1549" t="s">
        <v>8</v>
      </c>
      <c r="Y5" s="1549" t="s">
        <v>7</v>
      </c>
      <c r="Z5" s="1551" t="s">
        <v>130</v>
      </c>
      <c r="AA5" s="1551"/>
      <c r="AB5" s="1551"/>
      <c r="AC5" s="1552" t="s">
        <v>857</v>
      </c>
      <c r="AD5" s="1552"/>
      <c r="AE5" s="1553"/>
      <c r="AF5" s="1000">
        <v>1000</v>
      </c>
      <c r="AG5" s="1554" t="s">
        <v>422</v>
      </c>
      <c r="AH5" s="1555"/>
      <c r="AI5" s="1556"/>
    </row>
    <row r="6" spans="1:38" s="1001" customFormat="1" ht="33.75" thickBot="1" x14ac:dyDescent="0.3">
      <c r="A6" s="1558"/>
      <c r="B6" s="1542"/>
      <c r="C6" s="1544"/>
      <c r="D6" s="1544"/>
      <c r="E6" s="1542"/>
      <c r="F6" s="1544"/>
      <c r="G6" s="1544"/>
      <c r="H6" s="1546"/>
      <c r="I6" s="1248" t="s">
        <v>86</v>
      </c>
      <c r="J6" s="1248" t="s">
        <v>225</v>
      </c>
      <c r="K6" s="1248" t="s">
        <v>87</v>
      </c>
      <c r="L6" s="1248" t="s">
        <v>226</v>
      </c>
      <c r="M6" s="1248" t="s">
        <v>92</v>
      </c>
      <c r="N6" s="1248" t="s">
        <v>86</v>
      </c>
      <c r="O6" s="1248" t="s">
        <v>225</v>
      </c>
      <c r="P6" s="1248" t="s">
        <v>87</v>
      </c>
      <c r="Q6" s="1248" t="s">
        <v>226</v>
      </c>
      <c r="R6" s="1248" t="s">
        <v>92</v>
      </c>
      <c r="S6" s="1542"/>
      <c r="T6" s="1247" t="s">
        <v>565</v>
      </c>
      <c r="U6" s="1247" t="s">
        <v>565</v>
      </c>
      <c r="V6" s="1548"/>
      <c r="W6" s="1548"/>
      <c r="X6" s="1550"/>
      <c r="Y6" s="1550"/>
      <c r="Z6" s="1248" t="s">
        <v>86</v>
      </c>
      <c r="AA6" s="1248" t="s">
        <v>87</v>
      </c>
      <c r="AB6" s="1248" t="s">
        <v>92</v>
      </c>
      <c r="AC6" s="1248" t="s">
        <v>86</v>
      </c>
      <c r="AD6" s="1248" t="s">
        <v>87</v>
      </c>
      <c r="AE6" s="1127" t="s">
        <v>92</v>
      </c>
      <c r="AF6" s="1000"/>
      <c r="AG6" s="1002" t="s">
        <v>86</v>
      </c>
      <c r="AH6" s="1049" t="s">
        <v>87</v>
      </c>
      <c r="AI6" s="1003" t="s">
        <v>92</v>
      </c>
      <c r="AK6" s="1006">
        <f>AK5/3.33</f>
        <v>0</v>
      </c>
    </row>
    <row r="7" spans="1:38" s="1001" customFormat="1" ht="16.5" hidden="1" x14ac:dyDescent="0.25">
      <c r="A7" s="1293"/>
      <c r="B7" s="1128" t="s">
        <v>189</v>
      </c>
      <c r="C7" s="1129"/>
      <c r="D7" s="1130"/>
      <c r="E7" s="1129"/>
      <c r="F7" s="1131">
        <f t="shared" ref="F7:W7" si="0">F8+F48+F56</f>
        <v>105912251.05999997</v>
      </c>
      <c r="G7" s="1131">
        <f t="shared" si="0"/>
        <v>11965676.919999998</v>
      </c>
      <c r="H7" s="1131">
        <f t="shared" si="0"/>
        <v>117877927.97999999</v>
      </c>
      <c r="I7" s="1131">
        <f t="shared" si="0"/>
        <v>21115633.409999989</v>
      </c>
      <c r="J7" s="1131">
        <f t="shared" si="0"/>
        <v>2095626.4899999998</v>
      </c>
      <c r="K7" s="1131">
        <f t="shared" si="0"/>
        <v>63346829.399999999</v>
      </c>
      <c r="L7" s="1131">
        <f t="shared" si="0"/>
        <v>9358103.3699999955</v>
      </c>
      <c r="M7" s="1131">
        <f t="shared" si="0"/>
        <v>95916192.669999987</v>
      </c>
      <c r="N7" s="1131">
        <f t="shared" si="0"/>
        <v>9726976.459999999</v>
      </c>
      <c r="O7" s="1131">
        <f t="shared" si="0"/>
        <v>1021215.1999999998</v>
      </c>
      <c r="P7" s="1131">
        <f t="shared" si="0"/>
        <v>22558339.979999997</v>
      </c>
      <c r="Q7" s="1131">
        <f t="shared" si="0"/>
        <v>3069654.1699999995</v>
      </c>
      <c r="R7" s="1131">
        <f t="shared" si="0"/>
        <v>36376185.809999995</v>
      </c>
      <c r="S7" s="1131">
        <f t="shared" si="0"/>
        <v>50934716.966305643</v>
      </c>
      <c r="T7" s="1131">
        <f t="shared" si="0"/>
        <v>4928516.1399999997</v>
      </c>
      <c r="U7" s="1131">
        <f t="shared" si="0"/>
        <v>574002.23190000001</v>
      </c>
      <c r="V7" s="1131">
        <f t="shared" si="0"/>
        <v>5502518.3718999997</v>
      </c>
      <c r="W7" s="1282">
        <f t="shared" si="0"/>
        <v>56437235.33820565</v>
      </c>
      <c r="X7" s="1226"/>
      <c r="Y7" s="1226"/>
      <c r="Z7" s="1131">
        <f t="shared" ref="Z7:AE7" si="1">Z8+Z48+Z56</f>
        <v>39755133.566505641</v>
      </c>
      <c r="AA7" s="1131">
        <f t="shared" si="1"/>
        <v>16682101.7717</v>
      </c>
      <c r="AB7" s="1131">
        <f t="shared" si="1"/>
        <v>56437235.33820565</v>
      </c>
      <c r="AC7" s="1131">
        <f t="shared" si="1"/>
        <v>11938478.539999999</v>
      </c>
      <c r="AD7" s="1131">
        <f t="shared" si="1"/>
        <v>5009640.18</v>
      </c>
      <c r="AE7" s="1133">
        <f t="shared" si="1"/>
        <v>16948118.719999999</v>
      </c>
      <c r="AF7" s="1000"/>
      <c r="AG7" s="1004">
        <f>AG8+AG48+AG56</f>
        <v>5546336.6019836757</v>
      </c>
      <c r="AH7" s="1050">
        <f>AH8+AH48+AH56</f>
        <v>3154258.4900000021</v>
      </c>
      <c r="AI7" s="1005">
        <f>AI8+AI48+AI56</f>
        <v>8700595.0919836778</v>
      </c>
      <c r="AJ7" s="1006"/>
      <c r="AK7" s="1007"/>
    </row>
    <row r="8" spans="1:38" s="1001" customFormat="1" ht="16.5" outlineLevel="2" x14ac:dyDescent="0.25">
      <c r="A8" s="1293"/>
      <c r="B8" s="1128" t="s">
        <v>190</v>
      </c>
      <c r="C8" s="1248"/>
      <c r="D8" s="1132"/>
      <c r="E8" s="1128"/>
      <c r="F8" s="1134">
        <f t="shared" ref="F8:W8" si="2">F9+F31+F43</f>
        <v>15768806.149999999</v>
      </c>
      <c r="G8" s="1134">
        <f t="shared" si="2"/>
        <v>0</v>
      </c>
      <c r="H8" s="1134">
        <f t="shared" si="2"/>
        <v>15768806.149999999</v>
      </c>
      <c r="I8" s="1134">
        <f t="shared" si="2"/>
        <v>2748613.2199999997</v>
      </c>
      <c r="J8" s="1134">
        <f t="shared" si="2"/>
        <v>0</v>
      </c>
      <c r="K8" s="1134">
        <f t="shared" si="2"/>
        <v>11606269.310000002</v>
      </c>
      <c r="L8" s="1134">
        <f t="shared" si="2"/>
        <v>0</v>
      </c>
      <c r="M8" s="1134">
        <f t="shared" si="2"/>
        <v>14354882.530000003</v>
      </c>
      <c r="N8" s="1134">
        <f t="shared" si="2"/>
        <v>866176.31</v>
      </c>
      <c r="O8" s="1134">
        <f t="shared" si="2"/>
        <v>0</v>
      </c>
      <c r="P8" s="1134">
        <f t="shared" si="2"/>
        <v>4513927.6500000004</v>
      </c>
      <c r="Q8" s="1134">
        <f t="shared" si="2"/>
        <v>0</v>
      </c>
      <c r="R8" s="1134">
        <f t="shared" si="2"/>
        <v>5380103.96</v>
      </c>
      <c r="S8" s="1134">
        <f t="shared" si="2"/>
        <v>3230537.4299999988</v>
      </c>
      <c r="T8" s="1134">
        <f t="shared" si="2"/>
        <v>4928516.1399999997</v>
      </c>
      <c r="U8" s="1134">
        <f t="shared" si="2"/>
        <v>18207.21</v>
      </c>
      <c r="V8" s="1134">
        <f t="shared" si="2"/>
        <v>4946723.3499999996</v>
      </c>
      <c r="W8" s="1134">
        <f t="shared" si="2"/>
        <v>8177260.7799999993</v>
      </c>
      <c r="X8" s="1226"/>
      <c r="Y8" s="1226"/>
      <c r="Z8" s="1134">
        <f t="shared" ref="Z8:AE8" si="3">Z9+Z31+Z43</f>
        <v>3687750.31</v>
      </c>
      <c r="AA8" s="1134">
        <f t="shared" si="3"/>
        <v>4489510.4699999988</v>
      </c>
      <c r="AB8" s="1134">
        <f t="shared" si="3"/>
        <v>8177260.7799999993</v>
      </c>
      <c r="AC8" s="1134">
        <f t="shared" si="3"/>
        <v>1107432.5299999998</v>
      </c>
      <c r="AD8" s="1134">
        <f t="shared" si="3"/>
        <v>1348201.3499999999</v>
      </c>
      <c r="AE8" s="1135">
        <f t="shared" si="3"/>
        <v>2455633.88</v>
      </c>
      <c r="AF8" s="1008"/>
      <c r="AG8" s="1009">
        <f>AG9+AG31+AG43</f>
        <v>545529.67267267266</v>
      </c>
      <c r="AH8" s="1047">
        <f>AH9+AH31+AH43</f>
        <v>0</v>
      </c>
      <c r="AI8" s="1082">
        <f>AI9+AI31+AI43</f>
        <v>545529.67267267266</v>
      </c>
      <c r="AJ8" s="1010"/>
      <c r="AK8" s="1010"/>
      <c r="AL8" s="1010"/>
    </row>
    <row r="9" spans="1:38" ht="16.5" outlineLevel="3" x14ac:dyDescent="0.2">
      <c r="A9" s="1294"/>
      <c r="B9" s="1136" t="s">
        <v>675</v>
      </c>
      <c r="C9" s="1137"/>
      <c r="D9" s="1138"/>
      <c r="E9" s="1136"/>
      <c r="F9" s="1139">
        <f>SUBTOTAL(9,F10:F30)</f>
        <v>5348882.5</v>
      </c>
      <c r="G9" s="1139">
        <f>SUBTOTAL(9,G10:G30)</f>
        <v>0</v>
      </c>
      <c r="H9" s="1139">
        <f>SUBTOTAL(9,H10:H30)</f>
        <v>5348882.5</v>
      </c>
      <c r="I9" s="1139">
        <f>SUBTOTAL(9,I10:I30)</f>
        <v>2556332.1799999997</v>
      </c>
      <c r="J9" s="1139">
        <f t="shared" ref="J9:W9" si="4">SUBTOTAL(9,J10:J30)</f>
        <v>0</v>
      </c>
      <c r="K9" s="1139">
        <f t="shared" si="4"/>
        <v>2792550.3200000003</v>
      </c>
      <c r="L9" s="1139">
        <f t="shared" si="4"/>
        <v>0</v>
      </c>
      <c r="M9" s="1139">
        <f t="shared" si="4"/>
        <v>5348882.5</v>
      </c>
      <c r="N9" s="1139">
        <f t="shared" si="4"/>
        <v>808954.13</v>
      </c>
      <c r="O9" s="1139">
        <f t="shared" si="4"/>
        <v>0</v>
      </c>
      <c r="P9" s="1139">
        <f t="shared" si="4"/>
        <v>1280635.0300000003</v>
      </c>
      <c r="Q9" s="1139">
        <f t="shared" si="4"/>
        <v>0</v>
      </c>
      <c r="R9" s="1139">
        <f t="shared" si="4"/>
        <v>2089589.1600000004</v>
      </c>
      <c r="S9" s="1139">
        <f t="shared" si="4"/>
        <v>0</v>
      </c>
      <c r="T9" s="1139">
        <f t="shared" si="4"/>
        <v>0</v>
      </c>
      <c r="U9" s="1139">
        <f t="shared" si="4"/>
        <v>0</v>
      </c>
      <c r="V9" s="1139">
        <f t="shared" si="4"/>
        <v>0</v>
      </c>
      <c r="W9" s="1139">
        <f t="shared" si="4"/>
        <v>0</v>
      </c>
      <c r="X9" s="1227"/>
      <c r="Y9" s="1227"/>
      <c r="Z9" s="1139">
        <f t="shared" ref="Z9:AE9" si="5">SUBTOTAL(9,Z10:Z30)</f>
        <v>0</v>
      </c>
      <c r="AA9" s="1139">
        <f t="shared" si="5"/>
        <v>0</v>
      </c>
      <c r="AB9" s="1139">
        <f t="shared" si="5"/>
        <v>0</v>
      </c>
      <c r="AC9" s="1139">
        <f t="shared" si="5"/>
        <v>0</v>
      </c>
      <c r="AD9" s="1139">
        <f t="shared" si="5"/>
        <v>0</v>
      </c>
      <c r="AE9" s="1140">
        <f t="shared" si="5"/>
        <v>0</v>
      </c>
      <c r="AF9" s="893">
        <f>AE2*3.33</f>
        <v>0</v>
      </c>
      <c r="AG9" s="899">
        <f>SUBTOTAL(9,AG10:AG30)</f>
        <v>0</v>
      </c>
      <c r="AH9" s="942">
        <f>SUBTOTAL(9,AH10:AH30)</f>
        <v>0</v>
      </c>
      <c r="AI9" s="900">
        <f>SUBTOTAL(9,AI10:AI30)</f>
        <v>0</v>
      </c>
      <c r="AJ9" s="763"/>
      <c r="AK9" s="763"/>
      <c r="AL9" s="763"/>
    </row>
    <row r="10" spans="1:38" ht="82.5" outlineLevel="4" x14ac:dyDescent="0.2">
      <c r="A10" s="1295" t="s">
        <v>232</v>
      </c>
      <c r="B10" s="1141" t="s">
        <v>763</v>
      </c>
      <c r="C10" s="1142" t="s">
        <v>146</v>
      </c>
      <c r="D10" s="1143" t="s">
        <v>76</v>
      </c>
      <c r="E10" s="1142" t="s">
        <v>70</v>
      </c>
      <c r="F10" s="1144">
        <v>899878.77</v>
      </c>
      <c r="G10" s="1144"/>
      <c r="H10" s="1144">
        <f>F10+G10</f>
        <v>899878.77</v>
      </c>
      <c r="I10" s="1144"/>
      <c r="J10" s="1144"/>
      <c r="K10" s="1144">
        <v>899878.77</v>
      </c>
      <c r="L10" s="1144"/>
      <c r="M10" s="1145">
        <f t="shared" ref="M10:M30" si="6">I10+J10+K10+L10</f>
        <v>899878.77</v>
      </c>
      <c r="N10" s="1146">
        <v>0</v>
      </c>
      <c r="O10" s="1147"/>
      <c r="P10" s="1148">
        <v>417518.12</v>
      </c>
      <c r="Q10" s="1149"/>
      <c r="R10" s="1145">
        <f t="shared" ref="R10:R30" si="7">N10+O10+P10+Q10</f>
        <v>417518.12</v>
      </c>
      <c r="S10" s="1150">
        <f t="shared" ref="S10:S30" si="8">H10-M10</f>
        <v>0</v>
      </c>
      <c r="T10" s="1151"/>
      <c r="U10" s="1151"/>
      <c r="V10" s="1151">
        <f t="shared" ref="V10:V30" si="9">T10+U10</f>
        <v>0</v>
      </c>
      <c r="W10" s="1150">
        <f t="shared" ref="W10:W30" si="10">+S10+V10</f>
        <v>0</v>
      </c>
      <c r="X10" s="1228"/>
      <c r="Y10" s="1228">
        <v>1</v>
      </c>
      <c r="Z10" s="1145">
        <f t="shared" ref="Z10:Z30" si="11">W10*X10</f>
        <v>0</v>
      </c>
      <c r="AA10" s="1145">
        <f t="shared" ref="AA10:AA30" si="12">W10*Y10</f>
        <v>0</v>
      </c>
      <c r="AB10" s="1151">
        <f t="shared" ref="AB10:AB30" si="13">Z10+AA10</f>
        <v>0</v>
      </c>
      <c r="AC10" s="1145">
        <f t="shared" ref="AC10:AD30" si="14">ROUND(Z10/$AF$2,2)</f>
        <v>0</v>
      </c>
      <c r="AD10" s="1145">
        <f t="shared" si="14"/>
        <v>0</v>
      </c>
      <c r="AE10" s="1152">
        <f t="shared" ref="AE10:AE30" si="15">AC10+AD10</f>
        <v>0</v>
      </c>
      <c r="AG10" s="906"/>
      <c r="AH10" s="903"/>
      <c r="AI10" s="907">
        <f t="shared" ref="AI10:AI30" si="16">AG10+AH10</f>
        <v>0</v>
      </c>
      <c r="AJ10" s="904"/>
      <c r="AK10" s="763">
        <f>AC10</f>
        <v>0</v>
      </c>
    </row>
    <row r="11" spans="1:38" ht="99" outlineLevel="4" x14ac:dyDescent="0.2">
      <c r="A11" s="1295" t="s">
        <v>231</v>
      </c>
      <c r="B11" s="1141" t="s">
        <v>764</v>
      </c>
      <c r="C11" s="1142" t="s">
        <v>45</v>
      </c>
      <c r="D11" s="1143" t="s">
        <v>54</v>
      </c>
      <c r="E11" s="1142" t="s">
        <v>70</v>
      </c>
      <c r="F11" s="1144">
        <v>42378.46</v>
      </c>
      <c r="G11" s="1144"/>
      <c r="H11" s="1144">
        <f t="shared" ref="H11:H30" si="17">F11+G11</f>
        <v>42378.46</v>
      </c>
      <c r="I11" s="1144"/>
      <c r="J11" s="1144"/>
      <c r="K11" s="1144">
        <v>42378.460000000006</v>
      </c>
      <c r="L11" s="1144"/>
      <c r="M11" s="1145">
        <f t="shared" si="6"/>
        <v>42378.460000000006</v>
      </c>
      <c r="N11" s="1146">
        <v>0</v>
      </c>
      <c r="O11" s="1147"/>
      <c r="P11" s="1148">
        <v>19710</v>
      </c>
      <c r="Q11" s="1149"/>
      <c r="R11" s="1145">
        <f t="shared" si="7"/>
        <v>19710</v>
      </c>
      <c r="S11" s="1150">
        <f t="shared" si="8"/>
        <v>0</v>
      </c>
      <c r="T11" s="1151"/>
      <c r="U11" s="1151"/>
      <c r="V11" s="1151">
        <f t="shared" si="9"/>
        <v>0</v>
      </c>
      <c r="W11" s="1150">
        <f t="shared" si="10"/>
        <v>0</v>
      </c>
      <c r="X11" s="1228"/>
      <c r="Y11" s="1228">
        <v>1</v>
      </c>
      <c r="Z11" s="1145">
        <f t="shared" si="11"/>
        <v>0</v>
      </c>
      <c r="AA11" s="1145">
        <f t="shared" si="12"/>
        <v>0</v>
      </c>
      <c r="AB11" s="1151">
        <f t="shared" si="13"/>
        <v>0</v>
      </c>
      <c r="AC11" s="1145">
        <f t="shared" si="14"/>
        <v>0</v>
      </c>
      <c r="AD11" s="1145">
        <f t="shared" si="14"/>
        <v>0</v>
      </c>
      <c r="AE11" s="1152">
        <f t="shared" si="15"/>
        <v>0</v>
      </c>
      <c r="AG11" s="906"/>
      <c r="AH11" s="903"/>
      <c r="AI11" s="907">
        <f t="shared" si="16"/>
        <v>0</v>
      </c>
      <c r="AJ11" s="904"/>
    </row>
    <row r="12" spans="1:38" ht="99" outlineLevel="4" x14ac:dyDescent="0.2">
      <c r="A12" s="1295" t="s">
        <v>234</v>
      </c>
      <c r="B12" s="1153" t="s">
        <v>765</v>
      </c>
      <c r="C12" s="1142" t="s">
        <v>44</v>
      </c>
      <c r="D12" s="1143" t="s">
        <v>114</v>
      </c>
      <c r="E12" s="1142" t="s">
        <v>70</v>
      </c>
      <c r="F12" s="1144">
        <v>1719699.72</v>
      </c>
      <c r="G12" s="1144"/>
      <c r="H12" s="1144">
        <f t="shared" si="17"/>
        <v>1719699.72</v>
      </c>
      <c r="I12" s="1144"/>
      <c r="J12" s="1144"/>
      <c r="K12" s="1144">
        <v>1719699.72</v>
      </c>
      <c r="L12" s="1144"/>
      <c r="M12" s="1145">
        <f t="shared" si="6"/>
        <v>1719699.72</v>
      </c>
      <c r="N12" s="1146">
        <v>0</v>
      </c>
      <c r="O12" s="1147"/>
      <c r="P12" s="1148">
        <v>787408.29</v>
      </c>
      <c r="Q12" s="1149"/>
      <c r="R12" s="1145">
        <f t="shared" si="7"/>
        <v>787408.29</v>
      </c>
      <c r="S12" s="1150">
        <f t="shared" si="8"/>
        <v>0</v>
      </c>
      <c r="T12" s="1151"/>
      <c r="U12" s="1151"/>
      <c r="V12" s="1151">
        <f t="shared" si="9"/>
        <v>0</v>
      </c>
      <c r="W12" s="1150">
        <f t="shared" si="10"/>
        <v>0</v>
      </c>
      <c r="X12" s="1228"/>
      <c r="Y12" s="1228">
        <v>1</v>
      </c>
      <c r="Z12" s="1145">
        <f t="shared" si="11"/>
        <v>0</v>
      </c>
      <c r="AA12" s="1145">
        <f t="shared" si="12"/>
        <v>0</v>
      </c>
      <c r="AB12" s="1151">
        <f t="shared" si="13"/>
        <v>0</v>
      </c>
      <c r="AC12" s="1145">
        <f t="shared" si="14"/>
        <v>0</v>
      </c>
      <c r="AD12" s="1145">
        <f t="shared" si="14"/>
        <v>0</v>
      </c>
      <c r="AE12" s="1152">
        <f t="shared" si="15"/>
        <v>0</v>
      </c>
      <c r="AF12" s="665"/>
      <c r="AG12" s="906"/>
      <c r="AH12" s="903"/>
      <c r="AI12" s="907">
        <f t="shared" si="16"/>
        <v>0</v>
      </c>
      <c r="AJ12" s="904"/>
    </row>
    <row r="13" spans="1:38" ht="99" outlineLevel="4" x14ac:dyDescent="0.2">
      <c r="A13" s="1295" t="s">
        <v>262</v>
      </c>
      <c r="B13" s="1141" t="s">
        <v>766</v>
      </c>
      <c r="C13" s="1142" t="s">
        <v>43</v>
      </c>
      <c r="D13" s="1143" t="s">
        <v>114</v>
      </c>
      <c r="E13" s="1142" t="s">
        <v>70</v>
      </c>
      <c r="F13" s="1144">
        <v>6873.37</v>
      </c>
      <c r="G13" s="1144"/>
      <c r="H13" s="1144">
        <f t="shared" si="17"/>
        <v>6873.37</v>
      </c>
      <c r="I13" s="1144"/>
      <c r="J13" s="1144"/>
      <c r="K13" s="1144">
        <v>6873.37</v>
      </c>
      <c r="L13" s="1144"/>
      <c r="M13" s="1145">
        <f t="shared" si="6"/>
        <v>6873.37</v>
      </c>
      <c r="N13" s="1146">
        <v>0</v>
      </c>
      <c r="O13" s="1147"/>
      <c r="P13" s="1148">
        <v>3196.77</v>
      </c>
      <c r="Q13" s="1149"/>
      <c r="R13" s="1145">
        <f t="shared" si="7"/>
        <v>3196.77</v>
      </c>
      <c r="S13" s="1150">
        <f t="shared" si="8"/>
        <v>0</v>
      </c>
      <c r="T13" s="1151"/>
      <c r="U13" s="1151"/>
      <c r="V13" s="1151">
        <f t="shared" si="9"/>
        <v>0</v>
      </c>
      <c r="W13" s="1150">
        <f t="shared" si="10"/>
        <v>0</v>
      </c>
      <c r="X13" s="1228"/>
      <c r="Y13" s="1228">
        <v>1</v>
      </c>
      <c r="Z13" s="1145">
        <f t="shared" si="11"/>
        <v>0</v>
      </c>
      <c r="AA13" s="1145">
        <f t="shared" si="12"/>
        <v>0</v>
      </c>
      <c r="AB13" s="1151">
        <f t="shared" si="13"/>
        <v>0</v>
      </c>
      <c r="AC13" s="1145">
        <f t="shared" si="14"/>
        <v>0</v>
      </c>
      <c r="AD13" s="1145">
        <f t="shared" si="14"/>
        <v>0</v>
      </c>
      <c r="AE13" s="1152">
        <f t="shared" si="15"/>
        <v>0</v>
      </c>
      <c r="AG13" s="906"/>
      <c r="AH13" s="903"/>
      <c r="AI13" s="907">
        <f t="shared" si="16"/>
        <v>0</v>
      </c>
      <c r="AJ13" s="904"/>
    </row>
    <row r="14" spans="1:38" ht="82.5" outlineLevel="4" x14ac:dyDescent="0.2">
      <c r="A14" s="1295" t="s">
        <v>237</v>
      </c>
      <c r="B14" s="1141" t="s">
        <v>767</v>
      </c>
      <c r="C14" s="1142" t="s">
        <v>40</v>
      </c>
      <c r="D14" s="1143" t="s">
        <v>53</v>
      </c>
      <c r="E14" s="1142" t="s">
        <v>66</v>
      </c>
      <c r="F14" s="1144">
        <v>78108.37</v>
      </c>
      <c r="G14" s="1144"/>
      <c r="H14" s="1144">
        <f t="shared" si="17"/>
        <v>78108.37</v>
      </c>
      <c r="I14" s="1154">
        <v>78108.37000000001</v>
      </c>
      <c r="J14" s="1144"/>
      <c r="K14" s="1144"/>
      <c r="L14" s="1144"/>
      <c r="M14" s="1151">
        <f t="shared" si="6"/>
        <v>78108.37000000001</v>
      </c>
      <c r="N14" s="1155">
        <v>35088.239999999998</v>
      </c>
      <c r="O14" s="1149"/>
      <c r="P14" s="1156"/>
      <c r="Q14" s="1145"/>
      <c r="R14" s="1151">
        <f t="shared" si="7"/>
        <v>35088.239999999998</v>
      </c>
      <c r="S14" s="1150">
        <f t="shared" si="8"/>
        <v>0</v>
      </c>
      <c r="T14" s="1151"/>
      <c r="U14" s="1151"/>
      <c r="V14" s="1151">
        <f t="shared" si="9"/>
        <v>0</v>
      </c>
      <c r="W14" s="1150">
        <f t="shared" si="10"/>
        <v>0</v>
      </c>
      <c r="X14" s="1228">
        <v>1</v>
      </c>
      <c r="Y14" s="1228"/>
      <c r="Z14" s="1145">
        <f t="shared" si="11"/>
        <v>0</v>
      </c>
      <c r="AA14" s="1145">
        <f t="shared" si="12"/>
        <v>0</v>
      </c>
      <c r="AB14" s="1151">
        <f t="shared" si="13"/>
        <v>0</v>
      </c>
      <c r="AC14" s="1145">
        <f t="shared" si="14"/>
        <v>0</v>
      </c>
      <c r="AD14" s="1145">
        <f t="shared" si="14"/>
        <v>0</v>
      </c>
      <c r="AE14" s="1152">
        <f t="shared" si="15"/>
        <v>0</v>
      </c>
      <c r="AG14" s="906"/>
      <c r="AH14" s="903"/>
      <c r="AI14" s="907">
        <f t="shared" si="16"/>
        <v>0</v>
      </c>
      <c r="AJ14" s="904"/>
    </row>
    <row r="15" spans="1:38" ht="49.5" outlineLevel="4" x14ac:dyDescent="0.2">
      <c r="A15" s="1295" t="s">
        <v>238</v>
      </c>
      <c r="B15" s="1141" t="s">
        <v>768</v>
      </c>
      <c r="C15" s="1142" t="s">
        <v>32</v>
      </c>
      <c r="D15" s="1143" t="s">
        <v>97</v>
      </c>
      <c r="E15" s="1142" t="s">
        <v>57</v>
      </c>
      <c r="F15" s="1144">
        <v>42880</v>
      </c>
      <c r="G15" s="1144"/>
      <c r="H15" s="1144">
        <f t="shared" si="17"/>
        <v>42880</v>
      </c>
      <c r="I15" s="1144">
        <v>42880</v>
      </c>
      <c r="J15" s="1144"/>
      <c r="K15" s="1144"/>
      <c r="L15" s="1144"/>
      <c r="M15" s="1151">
        <f t="shared" si="6"/>
        <v>42880</v>
      </c>
      <c r="N15" s="1155">
        <v>12228.71</v>
      </c>
      <c r="O15" s="1149"/>
      <c r="P15" s="1156"/>
      <c r="Q15" s="1145"/>
      <c r="R15" s="1151">
        <f t="shared" si="7"/>
        <v>12228.71</v>
      </c>
      <c r="S15" s="1150">
        <f t="shared" si="8"/>
        <v>0</v>
      </c>
      <c r="T15" s="1151"/>
      <c r="U15" s="1151"/>
      <c r="V15" s="1151">
        <f t="shared" si="9"/>
        <v>0</v>
      </c>
      <c r="W15" s="1150">
        <f t="shared" si="10"/>
        <v>0</v>
      </c>
      <c r="X15" s="1228">
        <v>1</v>
      </c>
      <c r="Y15" s="1228"/>
      <c r="Z15" s="1145">
        <f t="shared" si="11"/>
        <v>0</v>
      </c>
      <c r="AA15" s="1145">
        <f t="shared" si="12"/>
        <v>0</v>
      </c>
      <c r="AB15" s="1151">
        <f t="shared" si="13"/>
        <v>0</v>
      </c>
      <c r="AC15" s="1145">
        <f t="shared" si="14"/>
        <v>0</v>
      </c>
      <c r="AD15" s="1145">
        <f t="shared" si="14"/>
        <v>0</v>
      </c>
      <c r="AE15" s="1152">
        <f t="shared" si="15"/>
        <v>0</v>
      </c>
      <c r="AG15" s="906"/>
      <c r="AH15" s="903"/>
      <c r="AI15" s="907">
        <f t="shared" si="16"/>
        <v>0</v>
      </c>
      <c r="AJ15" s="904"/>
    </row>
    <row r="16" spans="1:38" ht="132" outlineLevel="4" x14ac:dyDescent="0.2">
      <c r="A16" s="1295" t="s">
        <v>239</v>
      </c>
      <c r="B16" s="1141" t="s">
        <v>769</v>
      </c>
      <c r="C16" s="1142" t="s">
        <v>26</v>
      </c>
      <c r="D16" s="1143" t="s">
        <v>108</v>
      </c>
      <c r="E16" s="1142" t="s">
        <v>5</v>
      </c>
      <c r="F16" s="1144">
        <v>324074.51</v>
      </c>
      <c r="G16" s="1144"/>
      <c r="H16" s="1144">
        <f t="shared" si="17"/>
        <v>324074.51</v>
      </c>
      <c r="I16" s="1144">
        <v>324074.51</v>
      </c>
      <c r="J16" s="1144"/>
      <c r="K16" s="1144"/>
      <c r="L16" s="1144"/>
      <c r="M16" s="1151">
        <f t="shared" si="6"/>
        <v>324074.51</v>
      </c>
      <c r="N16" s="1155">
        <v>88581.91</v>
      </c>
      <c r="O16" s="1149"/>
      <c r="P16" s="1156"/>
      <c r="Q16" s="1145"/>
      <c r="R16" s="1151">
        <f t="shared" si="7"/>
        <v>88581.91</v>
      </c>
      <c r="S16" s="1150">
        <f t="shared" si="8"/>
        <v>0</v>
      </c>
      <c r="T16" s="1151"/>
      <c r="U16" s="1151"/>
      <c r="V16" s="1151">
        <f t="shared" si="9"/>
        <v>0</v>
      </c>
      <c r="W16" s="1150">
        <f t="shared" si="10"/>
        <v>0</v>
      </c>
      <c r="X16" s="1228">
        <v>1</v>
      </c>
      <c r="Y16" s="1228"/>
      <c r="Z16" s="1145">
        <f t="shared" si="11"/>
        <v>0</v>
      </c>
      <c r="AA16" s="1145">
        <f t="shared" si="12"/>
        <v>0</v>
      </c>
      <c r="AB16" s="1151">
        <f t="shared" si="13"/>
        <v>0</v>
      </c>
      <c r="AC16" s="1145">
        <f t="shared" si="14"/>
        <v>0</v>
      </c>
      <c r="AD16" s="1145">
        <f t="shared" si="14"/>
        <v>0</v>
      </c>
      <c r="AE16" s="1152">
        <f t="shared" si="15"/>
        <v>0</v>
      </c>
      <c r="AG16" s="906"/>
      <c r="AH16" s="903"/>
      <c r="AI16" s="907">
        <f t="shared" si="16"/>
        <v>0</v>
      </c>
      <c r="AJ16" s="904"/>
    </row>
    <row r="17" spans="1:36" ht="49.5" outlineLevel="4" x14ac:dyDescent="0.2">
      <c r="A17" s="1295" t="s">
        <v>241</v>
      </c>
      <c r="B17" s="1141" t="s">
        <v>770</v>
      </c>
      <c r="C17" s="1142" t="s">
        <v>33</v>
      </c>
      <c r="D17" s="1143" t="s">
        <v>99</v>
      </c>
      <c r="E17" s="1142" t="s">
        <v>62</v>
      </c>
      <c r="F17" s="1144">
        <v>248631.8</v>
      </c>
      <c r="G17" s="1144"/>
      <c r="H17" s="1144">
        <f t="shared" si="17"/>
        <v>248631.8</v>
      </c>
      <c r="I17" s="1144">
        <v>248631.8</v>
      </c>
      <c r="J17" s="1144"/>
      <c r="K17" s="1144"/>
      <c r="L17" s="1144"/>
      <c r="M17" s="1151">
        <f t="shared" si="6"/>
        <v>248631.8</v>
      </c>
      <c r="N17" s="1155">
        <v>100319.48</v>
      </c>
      <c r="O17" s="1149"/>
      <c r="P17" s="1145"/>
      <c r="Q17" s="1145"/>
      <c r="R17" s="1151">
        <f t="shared" si="7"/>
        <v>100319.48</v>
      </c>
      <c r="S17" s="1150">
        <f t="shared" si="8"/>
        <v>0</v>
      </c>
      <c r="T17" s="1151"/>
      <c r="U17" s="1151"/>
      <c r="V17" s="1151">
        <f t="shared" si="9"/>
        <v>0</v>
      </c>
      <c r="W17" s="1150">
        <f t="shared" si="10"/>
        <v>0</v>
      </c>
      <c r="X17" s="1228">
        <v>1</v>
      </c>
      <c r="Y17" s="1228"/>
      <c r="Z17" s="1145">
        <f t="shared" si="11"/>
        <v>0</v>
      </c>
      <c r="AA17" s="1145">
        <f t="shared" si="12"/>
        <v>0</v>
      </c>
      <c r="AB17" s="1151">
        <f t="shared" si="13"/>
        <v>0</v>
      </c>
      <c r="AC17" s="1145">
        <f t="shared" si="14"/>
        <v>0</v>
      </c>
      <c r="AD17" s="1145">
        <f t="shared" si="14"/>
        <v>0</v>
      </c>
      <c r="AE17" s="1152">
        <f t="shared" si="15"/>
        <v>0</v>
      </c>
      <c r="AG17" s="906"/>
      <c r="AH17" s="903"/>
      <c r="AI17" s="907">
        <f t="shared" si="16"/>
        <v>0</v>
      </c>
      <c r="AJ17" s="904"/>
    </row>
    <row r="18" spans="1:36" ht="66" outlineLevel="4" x14ac:dyDescent="0.2">
      <c r="A18" s="1295" t="s">
        <v>242</v>
      </c>
      <c r="B18" s="1141" t="s">
        <v>771</v>
      </c>
      <c r="C18" s="1142" t="s">
        <v>31</v>
      </c>
      <c r="D18" s="1143" t="s">
        <v>96</v>
      </c>
      <c r="E18" s="1142" t="s">
        <v>61</v>
      </c>
      <c r="F18" s="1144">
        <v>389929</v>
      </c>
      <c r="G18" s="1144"/>
      <c r="H18" s="1144">
        <f t="shared" si="17"/>
        <v>389929</v>
      </c>
      <c r="I18" s="1144">
        <v>389929</v>
      </c>
      <c r="J18" s="1144"/>
      <c r="K18" s="1144"/>
      <c r="L18" s="1144"/>
      <c r="M18" s="1151">
        <f t="shared" si="6"/>
        <v>389929</v>
      </c>
      <c r="N18" s="1155">
        <v>131608.28</v>
      </c>
      <c r="O18" s="1149"/>
      <c r="P18" s="1145"/>
      <c r="Q18" s="1145"/>
      <c r="R18" s="1151">
        <f t="shared" si="7"/>
        <v>131608.28</v>
      </c>
      <c r="S18" s="1150">
        <f t="shared" si="8"/>
        <v>0</v>
      </c>
      <c r="T18" s="1151"/>
      <c r="U18" s="1151"/>
      <c r="V18" s="1151">
        <f t="shared" si="9"/>
        <v>0</v>
      </c>
      <c r="W18" s="1150">
        <f t="shared" si="10"/>
        <v>0</v>
      </c>
      <c r="X18" s="1228">
        <v>1</v>
      </c>
      <c r="Y18" s="1228"/>
      <c r="Z18" s="1145">
        <f t="shared" si="11"/>
        <v>0</v>
      </c>
      <c r="AA18" s="1145">
        <f t="shared" si="12"/>
        <v>0</v>
      </c>
      <c r="AB18" s="1151">
        <f t="shared" si="13"/>
        <v>0</v>
      </c>
      <c r="AC18" s="1145">
        <f t="shared" si="14"/>
        <v>0</v>
      </c>
      <c r="AD18" s="1145">
        <f t="shared" si="14"/>
        <v>0</v>
      </c>
      <c r="AE18" s="1152">
        <f t="shared" si="15"/>
        <v>0</v>
      </c>
      <c r="AG18" s="906"/>
      <c r="AH18" s="903"/>
      <c r="AI18" s="907">
        <f t="shared" si="16"/>
        <v>0</v>
      </c>
      <c r="AJ18" s="904"/>
    </row>
    <row r="19" spans="1:36" ht="66" outlineLevel="4" x14ac:dyDescent="0.2">
      <c r="A19" s="1295" t="s">
        <v>242</v>
      </c>
      <c r="B19" s="1141" t="s">
        <v>772</v>
      </c>
      <c r="C19" s="1142" t="s">
        <v>30</v>
      </c>
      <c r="D19" s="1143" t="s">
        <v>98</v>
      </c>
      <c r="E19" s="1142" t="s">
        <v>59</v>
      </c>
      <c r="F19" s="1144">
        <v>374689</v>
      </c>
      <c r="G19" s="1144"/>
      <c r="H19" s="1144">
        <f t="shared" si="17"/>
        <v>374689</v>
      </c>
      <c r="I19" s="1144">
        <v>374689</v>
      </c>
      <c r="J19" s="1144"/>
      <c r="K19" s="1144"/>
      <c r="L19" s="1144"/>
      <c r="M19" s="1151">
        <f t="shared" si="6"/>
        <v>374689</v>
      </c>
      <c r="N19" s="1155">
        <v>126464.49</v>
      </c>
      <c r="O19" s="1149"/>
      <c r="P19" s="1145"/>
      <c r="Q19" s="1145"/>
      <c r="R19" s="1151">
        <f t="shared" si="7"/>
        <v>126464.49</v>
      </c>
      <c r="S19" s="1150">
        <f t="shared" si="8"/>
        <v>0</v>
      </c>
      <c r="T19" s="1151"/>
      <c r="U19" s="1151"/>
      <c r="V19" s="1151">
        <f t="shared" si="9"/>
        <v>0</v>
      </c>
      <c r="W19" s="1150">
        <f t="shared" si="10"/>
        <v>0</v>
      </c>
      <c r="X19" s="1228">
        <v>1</v>
      </c>
      <c r="Y19" s="1228"/>
      <c r="Z19" s="1145">
        <f t="shared" si="11"/>
        <v>0</v>
      </c>
      <c r="AA19" s="1145">
        <f t="shared" si="12"/>
        <v>0</v>
      </c>
      <c r="AB19" s="1151">
        <f t="shared" si="13"/>
        <v>0</v>
      </c>
      <c r="AC19" s="1145">
        <f t="shared" si="14"/>
        <v>0</v>
      </c>
      <c r="AD19" s="1145">
        <f t="shared" si="14"/>
        <v>0</v>
      </c>
      <c r="AE19" s="1152">
        <f t="shared" si="15"/>
        <v>0</v>
      </c>
      <c r="AG19" s="906"/>
      <c r="AH19" s="903"/>
      <c r="AI19" s="907">
        <f t="shared" si="16"/>
        <v>0</v>
      </c>
      <c r="AJ19" s="904"/>
    </row>
    <row r="20" spans="1:36" ht="66" outlineLevel="4" x14ac:dyDescent="0.2">
      <c r="A20" s="1295" t="s">
        <v>247</v>
      </c>
      <c r="B20" s="1141" t="s">
        <v>773</v>
      </c>
      <c r="C20" s="1142" t="s">
        <v>29</v>
      </c>
      <c r="D20" s="1143" t="s">
        <v>110</v>
      </c>
      <c r="E20" s="1142" t="s">
        <v>56</v>
      </c>
      <c r="F20" s="1144">
        <v>103500</v>
      </c>
      <c r="G20" s="1144"/>
      <c r="H20" s="1144">
        <f t="shared" si="17"/>
        <v>103500</v>
      </c>
      <c r="I20" s="1154">
        <v>103500</v>
      </c>
      <c r="J20" s="1144"/>
      <c r="K20" s="1144"/>
      <c r="L20" s="1144"/>
      <c r="M20" s="1151">
        <f t="shared" si="6"/>
        <v>103500</v>
      </c>
      <c r="N20" s="1155">
        <v>27479.09</v>
      </c>
      <c r="O20" s="1149"/>
      <c r="P20" s="1145"/>
      <c r="Q20" s="1145"/>
      <c r="R20" s="1151">
        <f t="shared" si="7"/>
        <v>27479.09</v>
      </c>
      <c r="S20" s="1150">
        <f t="shared" si="8"/>
        <v>0</v>
      </c>
      <c r="T20" s="1151"/>
      <c r="U20" s="1151"/>
      <c r="V20" s="1151">
        <f t="shared" si="9"/>
        <v>0</v>
      </c>
      <c r="W20" s="1150">
        <f t="shared" si="10"/>
        <v>0</v>
      </c>
      <c r="X20" s="1228">
        <v>1</v>
      </c>
      <c r="Y20" s="1228"/>
      <c r="Z20" s="1145">
        <f t="shared" si="11"/>
        <v>0</v>
      </c>
      <c r="AA20" s="1145">
        <f t="shared" si="12"/>
        <v>0</v>
      </c>
      <c r="AB20" s="1151">
        <f t="shared" si="13"/>
        <v>0</v>
      </c>
      <c r="AC20" s="1145">
        <f t="shared" si="14"/>
        <v>0</v>
      </c>
      <c r="AD20" s="1145">
        <f t="shared" si="14"/>
        <v>0</v>
      </c>
      <c r="AE20" s="1152">
        <f t="shared" si="15"/>
        <v>0</v>
      </c>
      <c r="AG20" s="906"/>
      <c r="AH20" s="903"/>
      <c r="AI20" s="907">
        <f t="shared" si="16"/>
        <v>0</v>
      </c>
      <c r="AJ20" s="904"/>
    </row>
    <row r="21" spans="1:36" ht="66" outlineLevel="4" x14ac:dyDescent="0.2">
      <c r="A21" s="1295" t="s">
        <v>248</v>
      </c>
      <c r="B21" s="1141" t="s">
        <v>774</v>
      </c>
      <c r="C21" s="1142" t="s">
        <v>27</v>
      </c>
      <c r="D21" s="1143" t="s">
        <v>109</v>
      </c>
      <c r="E21" s="1142" t="s">
        <v>55</v>
      </c>
      <c r="F21" s="1144">
        <v>194063</v>
      </c>
      <c r="G21" s="1144"/>
      <c r="H21" s="1144">
        <f t="shared" si="17"/>
        <v>194063</v>
      </c>
      <c r="I21" s="1144">
        <v>194063</v>
      </c>
      <c r="J21" s="1144"/>
      <c r="K21" s="1144"/>
      <c r="L21" s="1144"/>
      <c r="M21" s="1151">
        <f t="shared" si="6"/>
        <v>194063</v>
      </c>
      <c r="N21" s="1155">
        <v>51523.42</v>
      </c>
      <c r="O21" s="1149"/>
      <c r="P21" s="1145"/>
      <c r="Q21" s="1145"/>
      <c r="R21" s="1151">
        <f t="shared" si="7"/>
        <v>51523.42</v>
      </c>
      <c r="S21" s="1150">
        <f t="shared" si="8"/>
        <v>0</v>
      </c>
      <c r="T21" s="1151"/>
      <c r="U21" s="1151"/>
      <c r="V21" s="1151">
        <f t="shared" si="9"/>
        <v>0</v>
      </c>
      <c r="W21" s="1150">
        <f t="shared" si="10"/>
        <v>0</v>
      </c>
      <c r="X21" s="1228">
        <v>1</v>
      </c>
      <c r="Y21" s="1228"/>
      <c r="Z21" s="1145">
        <f t="shared" si="11"/>
        <v>0</v>
      </c>
      <c r="AA21" s="1145">
        <f t="shared" si="12"/>
        <v>0</v>
      </c>
      <c r="AB21" s="1151">
        <f t="shared" si="13"/>
        <v>0</v>
      </c>
      <c r="AC21" s="1145">
        <f t="shared" si="14"/>
        <v>0</v>
      </c>
      <c r="AD21" s="1145">
        <f t="shared" si="14"/>
        <v>0</v>
      </c>
      <c r="AE21" s="1152">
        <f t="shared" si="15"/>
        <v>0</v>
      </c>
      <c r="AG21" s="906"/>
      <c r="AH21" s="903"/>
      <c r="AI21" s="907">
        <f t="shared" si="16"/>
        <v>0</v>
      </c>
      <c r="AJ21" s="904"/>
    </row>
    <row r="22" spans="1:36" ht="66" outlineLevel="4" x14ac:dyDescent="0.2">
      <c r="A22" s="1295" t="s">
        <v>249</v>
      </c>
      <c r="B22" s="1141" t="s">
        <v>775</v>
      </c>
      <c r="C22" s="1142" t="s">
        <v>25</v>
      </c>
      <c r="D22" s="1143" t="s">
        <v>107</v>
      </c>
      <c r="E22" s="1142" t="s">
        <v>159</v>
      </c>
      <c r="F22" s="1144">
        <v>77880</v>
      </c>
      <c r="G22" s="1144"/>
      <c r="H22" s="1144">
        <f t="shared" si="17"/>
        <v>77880</v>
      </c>
      <c r="I22" s="1144">
        <v>77880</v>
      </c>
      <c r="J22" s="1144"/>
      <c r="K22" s="1144"/>
      <c r="L22" s="1144"/>
      <c r="M22" s="1151">
        <f t="shared" si="6"/>
        <v>77880</v>
      </c>
      <c r="N22" s="1155">
        <v>20677.04</v>
      </c>
      <c r="O22" s="1149"/>
      <c r="P22" s="1145"/>
      <c r="Q22" s="1145"/>
      <c r="R22" s="1151">
        <f t="shared" si="7"/>
        <v>20677.04</v>
      </c>
      <c r="S22" s="1150">
        <f t="shared" si="8"/>
        <v>0</v>
      </c>
      <c r="T22" s="1151"/>
      <c r="U22" s="1151"/>
      <c r="V22" s="1151">
        <f t="shared" si="9"/>
        <v>0</v>
      </c>
      <c r="W22" s="1150">
        <f t="shared" si="10"/>
        <v>0</v>
      </c>
      <c r="X22" s="1228">
        <v>1</v>
      </c>
      <c r="Y22" s="1228"/>
      <c r="Z22" s="1145">
        <f t="shared" si="11"/>
        <v>0</v>
      </c>
      <c r="AA22" s="1145">
        <f t="shared" si="12"/>
        <v>0</v>
      </c>
      <c r="AB22" s="1151">
        <f t="shared" si="13"/>
        <v>0</v>
      </c>
      <c r="AC22" s="1145">
        <f t="shared" si="14"/>
        <v>0</v>
      </c>
      <c r="AD22" s="1145">
        <f t="shared" si="14"/>
        <v>0</v>
      </c>
      <c r="AE22" s="1152">
        <f t="shared" si="15"/>
        <v>0</v>
      </c>
      <c r="AG22" s="906"/>
      <c r="AH22" s="903"/>
      <c r="AI22" s="907">
        <f t="shared" si="16"/>
        <v>0</v>
      </c>
      <c r="AJ22" s="904"/>
    </row>
    <row r="23" spans="1:36" ht="49.5" outlineLevel="4" x14ac:dyDescent="0.2">
      <c r="A23" s="1295" t="s">
        <v>250</v>
      </c>
      <c r="B23" s="1141" t="s">
        <v>776</v>
      </c>
      <c r="C23" s="1142" t="s">
        <v>37</v>
      </c>
      <c r="D23" s="1143" t="s">
        <v>116</v>
      </c>
      <c r="E23" s="1142" t="s">
        <v>63</v>
      </c>
      <c r="F23" s="1144">
        <v>45307.5</v>
      </c>
      <c r="G23" s="1144"/>
      <c r="H23" s="1144">
        <f t="shared" si="17"/>
        <v>45307.5</v>
      </c>
      <c r="I23" s="1144">
        <v>45307.5</v>
      </c>
      <c r="J23" s="1144"/>
      <c r="K23" s="1144"/>
      <c r="L23" s="1144"/>
      <c r="M23" s="1151">
        <f t="shared" si="6"/>
        <v>45307.5</v>
      </c>
      <c r="N23" s="1155">
        <v>18280.95</v>
      </c>
      <c r="O23" s="1149"/>
      <c r="P23" s="1145"/>
      <c r="Q23" s="1145"/>
      <c r="R23" s="1151">
        <f t="shared" si="7"/>
        <v>18280.95</v>
      </c>
      <c r="S23" s="1150">
        <f t="shared" si="8"/>
        <v>0</v>
      </c>
      <c r="T23" s="1151"/>
      <c r="U23" s="1151"/>
      <c r="V23" s="1151">
        <f t="shared" si="9"/>
        <v>0</v>
      </c>
      <c r="W23" s="1150">
        <f t="shared" si="10"/>
        <v>0</v>
      </c>
      <c r="X23" s="1228">
        <v>1</v>
      </c>
      <c r="Y23" s="1228"/>
      <c r="Z23" s="1145">
        <f t="shared" si="11"/>
        <v>0</v>
      </c>
      <c r="AA23" s="1145">
        <f t="shared" si="12"/>
        <v>0</v>
      </c>
      <c r="AB23" s="1151">
        <f t="shared" si="13"/>
        <v>0</v>
      </c>
      <c r="AC23" s="1145">
        <f t="shared" si="14"/>
        <v>0</v>
      </c>
      <c r="AD23" s="1145">
        <f t="shared" si="14"/>
        <v>0</v>
      </c>
      <c r="AE23" s="1152">
        <f t="shared" si="15"/>
        <v>0</v>
      </c>
      <c r="AG23" s="906"/>
      <c r="AH23" s="903"/>
      <c r="AI23" s="907">
        <f t="shared" si="16"/>
        <v>0</v>
      </c>
      <c r="AJ23" s="904"/>
    </row>
    <row r="24" spans="1:36" ht="66" outlineLevel="4" x14ac:dyDescent="0.2">
      <c r="A24" s="1295" t="s">
        <v>426</v>
      </c>
      <c r="B24" s="1141" t="s">
        <v>777</v>
      </c>
      <c r="C24" s="1142" t="s">
        <v>155</v>
      </c>
      <c r="D24" s="1143" t="s">
        <v>156</v>
      </c>
      <c r="E24" s="1142" t="s">
        <v>160</v>
      </c>
      <c r="F24" s="1144">
        <v>29900</v>
      </c>
      <c r="G24" s="1144"/>
      <c r="H24" s="1144">
        <f t="shared" si="17"/>
        <v>29900</v>
      </c>
      <c r="I24" s="1144">
        <v>29900</v>
      </c>
      <c r="J24" s="1144"/>
      <c r="K24" s="1144"/>
      <c r="L24" s="1144"/>
      <c r="M24" s="1151">
        <f t="shared" si="6"/>
        <v>29900</v>
      </c>
      <c r="N24" s="1155">
        <v>8641.6200000000008</v>
      </c>
      <c r="O24" s="1149"/>
      <c r="P24" s="1145"/>
      <c r="Q24" s="1145"/>
      <c r="R24" s="1151">
        <f t="shared" si="7"/>
        <v>8641.6200000000008</v>
      </c>
      <c r="S24" s="1150">
        <f t="shared" si="8"/>
        <v>0</v>
      </c>
      <c r="T24" s="1151"/>
      <c r="U24" s="1151"/>
      <c r="V24" s="1151">
        <f t="shared" si="9"/>
        <v>0</v>
      </c>
      <c r="W24" s="1150">
        <f t="shared" si="10"/>
        <v>0</v>
      </c>
      <c r="X24" s="1228">
        <v>1</v>
      </c>
      <c r="Y24" s="1228"/>
      <c r="Z24" s="1145">
        <f t="shared" si="11"/>
        <v>0</v>
      </c>
      <c r="AA24" s="1145">
        <f t="shared" si="12"/>
        <v>0</v>
      </c>
      <c r="AB24" s="1151">
        <f t="shared" si="13"/>
        <v>0</v>
      </c>
      <c r="AC24" s="1145">
        <f t="shared" si="14"/>
        <v>0</v>
      </c>
      <c r="AD24" s="1145">
        <f t="shared" si="14"/>
        <v>0</v>
      </c>
      <c r="AE24" s="1152">
        <f t="shared" si="15"/>
        <v>0</v>
      </c>
      <c r="AG24" s="906"/>
      <c r="AH24" s="903"/>
      <c r="AI24" s="907">
        <f t="shared" si="16"/>
        <v>0</v>
      </c>
      <c r="AJ24" s="904"/>
    </row>
    <row r="25" spans="1:36" ht="66" outlineLevel="4" x14ac:dyDescent="0.2">
      <c r="A25" s="1295" t="s">
        <v>426</v>
      </c>
      <c r="B25" s="1141" t="s">
        <v>778</v>
      </c>
      <c r="C25" s="1142" t="s">
        <v>157</v>
      </c>
      <c r="D25" s="1143" t="s">
        <v>156</v>
      </c>
      <c r="E25" s="1142" t="s">
        <v>724</v>
      </c>
      <c r="F25" s="1144">
        <v>6600</v>
      </c>
      <c r="G25" s="1144"/>
      <c r="H25" s="1144">
        <f t="shared" si="17"/>
        <v>6600</v>
      </c>
      <c r="I25" s="1144">
        <v>6600</v>
      </c>
      <c r="J25" s="1144"/>
      <c r="K25" s="1144"/>
      <c r="L25" s="1144"/>
      <c r="M25" s="1151">
        <f t="shared" si="6"/>
        <v>6600</v>
      </c>
      <c r="N25" s="1155">
        <v>1907.52</v>
      </c>
      <c r="O25" s="1149"/>
      <c r="P25" s="1145"/>
      <c r="Q25" s="1145"/>
      <c r="R25" s="1151">
        <f t="shared" si="7"/>
        <v>1907.52</v>
      </c>
      <c r="S25" s="1150">
        <f t="shared" si="8"/>
        <v>0</v>
      </c>
      <c r="T25" s="1151"/>
      <c r="U25" s="1151"/>
      <c r="V25" s="1151">
        <f t="shared" si="9"/>
        <v>0</v>
      </c>
      <c r="W25" s="1150">
        <f t="shared" si="10"/>
        <v>0</v>
      </c>
      <c r="X25" s="1228">
        <v>1</v>
      </c>
      <c r="Y25" s="1228"/>
      <c r="Z25" s="1145">
        <f t="shared" si="11"/>
        <v>0</v>
      </c>
      <c r="AA25" s="1145">
        <f t="shared" si="12"/>
        <v>0</v>
      </c>
      <c r="AB25" s="1151">
        <f t="shared" si="13"/>
        <v>0</v>
      </c>
      <c r="AC25" s="1145">
        <f t="shared" si="14"/>
        <v>0</v>
      </c>
      <c r="AD25" s="1145">
        <f t="shared" si="14"/>
        <v>0</v>
      </c>
      <c r="AE25" s="1152">
        <f t="shared" si="15"/>
        <v>0</v>
      </c>
      <c r="AG25" s="906"/>
      <c r="AH25" s="903"/>
      <c r="AI25" s="907">
        <f t="shared" si="16"/>
        <v>0</v>
      </c>
      <c r="AJ25" s="904"/>
    </row>
    <row r="26" spans="1:36" ht="66" outlineLevel="4" x14ac:dyDescent="0.2">
      <c r="A26" s="1295" t="s">
        <v>252</v>
      </c>
      <c r="B26" s="1141" t="s">
        <v>779</v>
      </c>
      <c r="C26" s="1142" t="s">
        <v>35</v>
      </c>
      <c r="D26" s="1143" t="s">
        <v>111</v>
      </c>
      <c r="E26" s="1142" t="s">
        <v>60</v>
      </c>
      <c r="F26" s="1144">
        <v>19794</v>
      </c>
      <c r="G26" s="1144"/>
      <c r="H26" s="1144">
        <f t="shared" si="17"/>
        <v>19794</v>
      </c>
      <c r="I26" s="1144">
        <v>19794</v>
      </c>
      <c r="J26" s="1144"/>
      <c r="K26" s="1144"/>
      <c r="L26" s="1144"/>
      <c r="M26" s="1151">
        <f t="shared" si="6"/>
        <v>19794</v>
      </c>
      <c r="N26" s="1155">
        <v>6680.84</v>
      </c>
      <c r="O26" s="1149"/>
      <c r="P26" s="1145"/>
      <c r="Q26" s="1145"/>
      <c r="R26" s="1151">
        <f t="shared" si="7"/>
        <v>6680.84</v>
      </c>
      <c r="S26" s="1150">
        <f t="shared" si="8"/>
        <v>0</v>
      </c>
      <c r="T26" s="1151"/>
      <c r="U26" s="1151"/>
      <c r="V26" s="1151">
        <f t="shared" si="9"/>
        <v>0</v>
      </c>
      <c r="W26" s="1150">
        <f t="shared" si="10"/>
        <v>0</v>
      </c>
      <c r="X26" s="1228">
        <v>1</v>
      </c>
      <c r="Y26" s="1228"/>
      <c r="Z26" s="1145">
        <f t="shared" si="11"/>
        <v>0</v>
      </c>
      <c r="AA26" s="1145">
        <f t="shared" si="12"/>
        <v>0</v>
      </c>
      <c r="AB26" s="1151">
        <f t="shared" si="13"/>
        <v>0</v>
      </c>
      <c r="AC26" s="1145">
        <f t="shared" si="14"/>
        <v>0</v>
      </c>
      <c r="AD26" s="1145">
        <f t="shared" si="14"/>
        <v>0</v>
      </c>
      <c r="AE26" s="1152">
        <f t="shared" si="15"/>
        <v>0</v>
      </c>
      <c r="AG26" s="906"/>
      <c r="AH26" s="903"/>
      <c r="AI26" s="907">
        <f t="shared" si="16"/>
        <v>0</v>
      </c>
      <c r="AJ26" s="904"/>
    </row>
    <row r="27" spans="1:36" ht="115.5" outlineLevel="4" x14ac:dyDescent="0.2">
      <c r="A27" s="1295" t="s">
        <v>253</v>
      </c>
      <c r="B27" s="1141" t="s">
        <v>780</v>
      </c>
      <c r="C27" s="1142" t="s">
        <v>42</v>
      </c>
      <c r="D27" s="1143" t="s">
        <v>113</v>
      </c>
      <c r="E27" s="1142" t="s">
        <v>68</v>
      </c>
      <c r="F27" s="1144">
        <v>72420</v>
      </c>
      <c r="G27" s="1144"/>
      <c r="H27" s="1144">
        <f t="shared" si="17"/>
        <v>72420</v>
      </c>
      <c r="I27" s="1144"/>
      <c r="J27" s="1144"/>
      <c r="K27" s="1144">
        <v>72420</v>
      </c>
      <c r="L27" s="1144"/>
      <c r="M27" s="1151">
        <f t="shared" si="6"/>
        <v>72420</v>
      </c>
      <c r="N27" s="1145"/>
      <c r="O27" s="1145"/>
      <c r="P27" s="1149">
        <v>30907.78</v>
      </c>
      <c r="Q27" s="1149"/>
      <c r="R27" s="1151">
        <f t="shared" si="7"/>
        <v>30907.78</v>
      </c>
      <c r="S27" s="1150">
        <f t="shared" si="8"/>
        <v>0</v>
      </c>
      <c r="T27" s="1151"/>
      <c r="U27" s="1151"/>
      <c r="V27" s="1151">
        <f t="shared" si="9"/>
        <v>0</v>
      </c>
      <c r="W27" s="1150">
        <f t="shared" si="10"/>
        <v>0</v>
      </c>
      <c r="X27" s="1228"/>
      <c r="Y27" s="1228">
        <v>1</v>
      </c>
      <c r="Z27" s="1145">
        <f t="shared" si="11"/>
        <v>0</v>
      </c>
      <c r="AA27" s="1145">
        <f t="shared" si="12"/>
        <v>0</v>
      </c>
      <c r="AB27" s="1151">
        <f t="shared" si="13"/>
        <v>0</v>
      </c>
      <c r="AC27" s="1145">
        <f t="shared" si="14"/>
        <v>0</v>
      </c>
      <c r="AD27" s="1145">
        <f t="shared" si="14"/>
        <v>0</v>
      </c>
      <c r="AE27" s="1152">
        <f t="shared" si="15"/>
        <v>0</v>
      </c>
      <c r="AG27" s="906"/>
      <c r="AH27" s="903"/>
      <c r="AI27" s="907">
        <f t="shared" si="16"/>
        <v>0</v>
      </c>
      <c r="AJ27" s="904"/>
    </row>
    <row r="28" spans="1:36" ht="66" outlineLevel="4" x14ac:dyDescent="0.2">
      <c r="A28" s="1295" t="s">
        <v>245</v>
      </c>
      <c r="B28" s="1141" t="s">
        <v>781</v>
      </c>
      <c r="C28" s="1142" t="s">
        <v>140</v>
      </c>
      <c r="D28" s="1143" t="s">
        <v>141</v>
      </c>
      <c r="E28" s="1142" t="s">
        <v>142</v>
      </c>
      <c r="F28" s="1144">
        <v>389975</v>
      </c>
      <c r="G28" s="1157"/>
      <c r="H28" s="1144">
        <f>F28+G28</f>
        <v>389975</v>
      </c>
      <c r="I28" s="1144">
        <v>389975</v>
      </c>
      <c r="J28" s="1157"/>
      <c r="K28" s="1157"/>
      <c r="L28" s="1157"/>
      <c r="M28" s="1151">
        <f>I28+J28+K28+L28</f>
        <v>389975</v>
      </c>
      <c r="N28" s="1155">
        <v>112709.53</v>
      </c>
      <c r="O28" s="1149"/>
      <c r="P28" s="1145"/>
      <c r="Q28" s="1145"/>
      <c r="R28" s="1151">
        <f>N28+O28+P28+Q28</f>
        <v>112709.53</v>
      </c>
      <c r="S28" s="1150">
        <f>H28-M28</f>
        <v>0</v>
      </c>
      <c r="T28" s="1151"/>
      <c r="U28" s="1151"/>
      <c r="V28" s="1151">
        <f>T28+U28</f>
        <v>0</v>
      </c>
      <c r="W28" s="1150">
        <f t="shared" si="10"/>
        <v>0</v>
      </c>
      <c r="X28" s="1228">
        <v>1</v>
      </c>
      <c r="Y28" s="1229"/>
      <c r="Z28" s="1145">
        <f>W28*X28</f>
        <v>0</v>
      </c>
      <c r="AA28" s="1145">
        <f>W28*Y28</f>
        <v>0</v>
      </c>
      <c r="AB28" s="1151">
        <f>Z28+AA28</f>
        <v>0</v>
      </c>
      <c r="AC28" s="1145">
        <f>ROUND(Z28/$AF$2,2)</f>
        <v>0</v>
      </c>
      <c r="AD28" s="1145">
        <f>ROUND(AA28/$AF$2,2)</f>
        <v>0</v>
      </c>
      <c r="AE28" s="1152">
        <f>AC28+AD28</f>
        <v>0</v>
      </c>
      <c r="AG28" s="906"/>
      <c r="AH28" s="903"/>
      <c r="AI28" s="907">
        <f t="shared" si="16"/>
        <v>0</v>
      </c>
      <c r="AJ28" s="904"/>
    </row>
    <row r="29" spans="1:36" ht="66" outlineLevel="4" x14ac:dyDescent="0.25">
      <c r="A29" s="1295" t="s">
        <v>254</v>
      </c>
      <c r="B29" s="1141" t="s">
        <v>782</v>
      </c>
      <c r="C29" s="1158" t="s">
        <v>701</v>
      </c>
      <c r="D29" s="1159" t="s">
        <v>702</v>
      </c>
      <c r="E29" s="1160" t="s">
        <v>703</v>
      </c>
      <c r="F29" s="1161">
        <v>231000</v>
      </c>
      <c r="G29" s="1162"/>
      <c r="H29" s="1144">
        <f>F29+G29</f>
        <v>231000</v>
      </c>
      <c r="I29" s="1144">
        <v>231000</v>
      </c>
      <c r="J29" s="1162"/>
      <c r="K29" s="1162"/>
      <c r="L29" s="1162"/>
      <c r="M29" s="1151">
        <f>I29+J29+K29+L29</f>
        <v>231000</v>
      </c>
      <c r="N29" s="1145">
        <v>66763.009999999995</v>
      </c>
      <c r="O29" s="1163"/>
      <c r="P29" s="1164"/>
      <c r="Q29" s="1164"/>
      <c r="R29" s="1165">
        <f>N29+O29+P29+Q29</f>
        <v>66763.009999999995</v>
      </c>
      <c r="S29" s="1150">
        <f>H29-M29</f>
        <v>0</v>
      </c>
      <c r="T29" s="1166"/>
      <c r="U29" s="1166"/>
      <c r="V29" s="1165">
        <f>T29+U29</f>
        <v>0</v>
      </c>
      <c r="W29" s="1283">
        <f t="shared" si="10"/>
        <v>0</v>
      </c>
      <c r="X29" s="1228">
        <v>1</v>
      </c>
      <c r="Y29" s="1228"/>
      <c r="Z29" s="1163">
        <f>W29*X29</f>
        <v>0</v>
      </c>
      <c r="AA29" s="1163">
        <f>W29*Y29</f>
        <v>0</v>
      </c>
      <c r="AB29" s="1165">
        <f>Z29+AA29</f>
        <v>0</v>
      </c>
      <c r="AC29" s="1163">
        <f>ROUND(Z29/$AF$2,2)</f>
        <v>0</v>
      </c>
      <c r="AD29" s="1163">
        <f>ROUND(AA29/$AF$2,2)</f>
        <v>0</v>
      </c>
      <c r="AE29" s="1167">
        <f>AC29+AD29</f>
        <v>0</v>
      </c>
      <c r="AG29" s="959"/>
      <c r="AH29" s="1053"/>
      <c r="AI29" s="909">
        <f t="shared" si="16"/>
        <v>0</v>
      </c>
      <c r="AJ29" s="904"/>
    </row>
    <row r="30" spans="1:36" ht="115.5" outlineLevel="4" x14ac:dyDescent="0.2">
      <c r="A30" s="1295" t="s">
        <v>253</v>
      </c>
      <c r="B30" s="1141" t="s">
        <v>783</v>
      </c>
      <c r="C30" s="1142" t="s">
        <v>41</v>
      </c>
      <c r="D30" s="1143" t="s">
        <v>112</v>
      </c>
      <c r="E30" s="1142" t="s">
        <v>68</v>
      </c>
      <c r="F30" s="1144">
        <v>51300</v>
      </c>
      <c r="G30" s="1144"/>
      <c r="H30" s="1144">
        <f t="shared" si="17"/>
        <v>51300</v>
      </c>
      <c r="I30" s="1144"/>
      <c r="J30" s="1144"/>
      <c r="K30" s="1144">
        <v>51300</v>
      </c>
      <c r="L30" s="1144"/>
      <c r="M30" s="1151">
        <f t="shared" si="6"/>
        <v>51300</v>
      </c>
      <c r="N30" s="1145"/>
      <c r="O30" s="1145"/>
      <c r="P30" s="1149">
        <v>21894.07</v>
      </c>
      <c r="Q30" s="1149"/>
      <c r="R30" s="1151">
        <f t="shared" si="7"/>
        <v>21894.07</v>
      </c>
      <c r="S30" s="1150">
        <f t="shared" si="8"/>
        <v>0</v>
      </c>
      <c r="T30" s="1151"/>
      <c r="U30" s="1151"/>
      <c r="V30" s="1151">
        <f t="shared" si="9"/>
        <v>0</v>
      </c>
      <c r="W30" s="1150">
        <f t="shared" si="10"/>
        <v>0</v>
      </c>
      <c r="X30" s="1228"/>
      <c r="Y30" s="1228">
        <v>1</v>
      </c>
      <c r="Z30" s="1145">
        <f t="shared" si="11"/>
        <v>0</v>
      </c>
      <c r="AA30" s="1145">
        <f t="shared" si="12"/>
        <v>0</v>
      </c>
      <c r="AB30" s="1151">
        <f t="shared" si="13"/>
        <v>0</v>
      </c>
      <c r="AC30" s="1145">
        <f t="shared" si="14"/>
        <v>0</v>
      </c>
      <c r="AD30" s="1145">
        <f t="shared" si="14"/>
        <v>0</v>
      </c>
      <c r="AE30" s="1152">
        <f t="shared" si="15"/>
        <v>0</v>
      </c>
      <c r="AG30" s="908"/>
      <c r="AH30" s="903"/>
      <c r="AI30" s="907">
        <f t="shared" si="16"/>
        <v>0</v>
      </c>
      <c r="AJ30" s="904"/>
    </row>
    <row r="31" spans="1:36" ht="24.75" customHeight="1" outlineLevel="3" thickBot="1" x14ac:dyDescent="0.25">
      <c r="A31" s="1296"/>
      <c r="B31" s="1168" t="s">
        <v>676</v>
      </c>
      <c r="C31" s="1169"/>
      <c r="D31" s="1170"/>
      <c r="E31" s="1168"/>
      <c r="F31" s="1171">
        <f t="shared" ref="F31:W31" si="18">SUBTOTAL(9,F32:F42)</f>
        <v>10419923.649999999</v>
      </c>
      <c r="G31" s="1171">
        <f t="shared" si="18"/>
        <v>0</v>
      </c>
      <c r="H31" s="1171">
        <f t="shared" si="18"/>
        <v>10419923.649999999</v>
      </c>
      <c r="I31" s="1171">
        <f t="shared" si="18"/>
        <v>192281.04</v>
      </c>
      <c r="J31" s="1171">
        <f t="shared" si="18"/>
        <v>0</v>
      </c>
      <c r="K31" s="1171">
        <f t="shared" si="18"/>
        <v>8813718.9900000021</v>
      </c>
      <c r="L31" s="1171">
        <f t="shared" si="18"/>
        <v>0</v>
      </c>
      <c r="M31" s="1171">
        <f t="shared" si="18"/>
        <v>9006000.0300000031</v>
      </c>
      <c r="N31" s="1171">
        <f t="shared" si="18"/>
        <v>57222.179999999993</v>
      </c>
      <c r="O31" s="1171">
        <f t="shared" si="18"/>
        <v>0</v>
      </c>
      <c r="P31" s="1171">
        <f t="shared" si="18"/>
        <v>3233292.6199999996</v>
      </c>
      <c r="Q31" s="1171">
        <f t="shared" si="18"/>
        <v>0</v>
      </c>
      <c r="R31" s="1171">
        <f t="shared" si="18"/>
        <v>3290514.7999999993</v>
      </c>
      <c r="S31" s="1171">
        <f t="shared" si="18"/>
        <v>1413923.6199999989</v>
      </c>
      <c r="T31" s="1171">
        <f t="shared" si="18"/>
        <v>4928516.1399999997</v>
      </c>
      <c r="U31" s="1171">
        <f t="shared" si="18"/>
        <v>18207.21</v>
      </c>
      <c r="V31" s="1171">
        <f t="shared" si="18"/>
        <v>4946723.3499999996</v>
      </c>
      <c r="W31" s="1171">
        <f t="shared" si="18"/>
        <v>6360646.9699999988</v>
      </c>
      <c r="X31" s="1230"/>
      <c r="Y31" s="1230"/>
      <c r="Z31" s="1171">
        <f t="shared" ref="Z31:AE31" si="19">SUBTOTAL(9,Z32:Z42)</f>
        <v>1871136.5</v>
      </c>
      <c r="AA31" s="1171">
        <f t="shared" si="19"/>
        <v>4489510.4699999988</v>
      </c>
      <c r="AB31" s="1171">
        <f t="shared" si="19"/>
        <v>6360646.9699999988</v>
      </c>
      <c r="AC31" s="1171">
        <f t="shared" si="19"/>
        <v>561902.86</v>
      </c>
      <c r="AD31" s="1171">
        <f t="shared" si="19"/>
        <v>1348201.3499999999</v>
      </c>
      <c r="AE31" s="1172">
        <f t="shared" si="19"/>
        <v>1910104.21</v>
      </c>
      <c r="AF31" s="893"/>
      <c r="AG31" s="910">
        <f>SUBTOTAL(9,AG32:AG42)</f>
        <v>0</v>
      </c>
      <c r="AH31" s="1051">
        <f>SUBTOTAL(9,AH32:AH42)</f>
        <v>0</v>
      </c>
      <c r="AI31" s="911">
        <f>SUBTOTAL(9,AI32:AI42)</f>
        <v>0</v>
      </c>
      <c r="AJ31" s="904"/>
    </row>
    <row r="32" spans="1:36" ht="108" customHeight="1" outlineLevel="4" x14ac:dyDescent="0.2">
      <c r="A32" s="1295" t="s">
        <v>231</v>
      </c>
      <c r="B32" s="1141" t="s">
        <v>784</v>
      </c>
      <c r="C32" s="1142" t="s">
        <v>18</v>
      </c>
      <c r="D32" s="1143"/>
      <c r="E32" s="1142" t="s">
        <v>70</v>
      </c>
      <c r="F32" s="1144">
        <v>50400</v>
      </c>
      <c r="G32" s="1144"/>
      <c r="H32" s="1144">
        <f t="shared" ref="H32:H42" si="20">F32+G32</f>
        <v>50400</v>
      </c>
      <c r="I32" s="1144"/>
      <c r="J32" s="1144"/>
      <c r="K32" s="1144">
        <v>34660.83</v>
      </c>
      <c r="L32" s="1144"/>
      <c r="M32" s="1145">
        <f t="shared" ref="M32:M42" si="21">I32+J32+K32+L32</f>
        <v>34660.83</v>
      </c>
      <c r="N32" s="1145">
        <v>0</v>
      </c>
      <c r="O32" s="1145"/>
      <c r="P32" s="1156">
        <v>14792.73</v>
      </c>
      <c r="Q32" s="1145"/>
      <c r="R32" s="1145">
        <f t="shared" ref="R32:R47" si="22">N32+O32+P32+Q32</f>
        <v>14792.73</v>
      </c>
      <c r="S32" s="1150">
        <f t="shared" ref="S32:S42" si="23">H32-M32</f>
        <v>15739.169999999998</v>
      </c>
      <c r="T32" s="1145"/>
      <c r="U32" s="1145"/>
      <c r="V32" s="1151">
        <f t="shared" ref="V32:V72" si="24">T32+U32</f>
        <v>0</v>
      </c>
      <c r="W32" s="1150">
        <f t="shared" ref="W32:W42" si="25">+S32+V32</f>
        <v>15739.169999999998</v>
      </c>
      <c r="X32" s="1228"/>
      <c r="Y32" s="1228">
        <v>1</v>
      </c>
      <c r="Z32" s="1145">
        <f t="shared" ref="Z32:Z42" si="26">W32*X32</f>
        <v>0</v>
      </c>
      <c r="AA32" s="1145">
        <f t="shared" ref="AA32:AA42" si="27">W32*Y32</f>
        <v>15739.169999999998</v>
      </c>
      <c r="AB32" s="1151">
        <f t="shared" ref="AB32:AB38" si="28">Z32+AA32</f>
        <v>15739.169999999998</v>
      </c>
      <c r="AC32" s="1145">
        <f t="shared" ref="AC32:AD42" si="29">ROUND(Z32/$AF$2,2)</f>
        <v>0</v>
      </c>
      <c r="AD32" s="1145">
        <f t="shared" si="29"/>
        <v>4726.4799999999996</v>
      </c>
      <c r="AE32" s="1152">
        <f t="shared" ref="AE32:AE38" si="30">AC32+AD32</f>
        <v>4726.4799999999996</v>
      </c>
      <c r="AG32" s="912"/>
      <c r="AH32" s="1052"/>
      <c r="AI32" s="907">
        <f t="shared" ref="AI32:AI42" si="31">AG32+AH32</f>
        <v>0</v>
      </c>
      <c r="AJ32" s="904"/>
    </row>
    <row r="33" spans="1:38" ht="77.25" customHeight="1" outlineLevel="4" x14ac:dyDescent="0.2">
      <c r="A33" s="1295" t="s">
        <v>235</v>
      </c>
      <c r="B33" s="1141" t="s">
        <v>785</v>
      </c>
      <c r="C33" s="1142" t="s">
        <v>75</v>
      </c>
      <c r="D33" s="1143"/>
      <c r="E33" s="1142" t="s">
        <v>70</v>
      </c>
      <c r="F33" s="1144">
        <v>8000000</v>
      </c>
      <c r="G33" s="1144"/>
      <c r="H33" s="1144">
        <f t="shared" si="20"/>
        <v>8000000</v>
      </c>
      <c r="I33" s="1144"/>
      <c r="J33" s="1144"/>
      <c r="K33" s="1173">
        <v>7995897.9600000009</v>
      </c>
      <c r="L33" s="1144"/>
      <c r="M33" s="1145">
        <f t="shared" si="21"/>
        <v>7995897.9600000009</v>
      </c>
      <c r="N33" s="1146">
        <v>0</v>
      </c>
      <c r="O33" s="1147"/>
      <c r="P33" s="1174">
        <v>2920656.2699999996</v>
      </c>
      <c r="Q33" s="1149"/>
      <c r="R33" s="1145">
        <f t="shared" si="22"/>
        <v>2920656.2699999996</v>
      </c>
      <c r="S33" s="1150">
        <f t="shared" si="23"/>
        <v>4102.0399999991059</v>
      </c>
      <c r="T33" s="1150">
        <v>4000000</v>
      </c>
      <c r="U33" s="1150"/>
      <c r="V33" s="1150">
        <f t="shared" si="24"/>
        <v>4000000</v>
      </c>
      <c r="W33" s="1150">
        <f t="shared" si="25"/>
        <v>4004102.0399999991</v>
      </c>
      <c r="X33" s="1228"/>
      <c r="Y33" s="1228">
        <v>1</v>
      </c>
      <c r="Z33" s="1145">
        <f t="shared" si="26"/>
        <v>0</v>
      </c>
      <c r="AA33" s="1145">
        <f t="shared" si="27"/>
        <v>4004102.0399999991</v>
      </c>
      <c r="AB33" s="1151">
        <f t="shared" si="28"/>
        <v>4004102.0399999991</v>
      </c>
      <c r="AC33" s="1145">
        <f t="shared" si="29"/>
        <v>0</v>
      </c>
      <c r="AD33" s="1145">
        <f t="shared" si="29"/>
        <v>1202433.05</v>
      </c>
      <c r="AE33" s="1152">
        <f t="shared" si="30"/>
        <v>1202433.05</v>
      </c>
      <c r="AG33" s="906"/>
      <c r="AH33" s="903"/>
      <c r="AI33" s="907">
        <f t="shared" si="31"/>
        <v>0</v>
      </c>
      <c r="AJ33" s="904"/>
    </row>
    <row r="34" spans="1:38" ht="66" outlineLevel="4" x14ac:dyDescent="0.2">
      <c r="A34" s="1295" t="s">
        <v>236</v>
      </c>
      <c r="B34" s="1141" t="s">
        <v>786</v>
      </c>
      <c r="C34" s="1142" t="s">
        <v>23</v>
      </c>
      <c r="D34" s="1143" t="s">
        <v>581</v>
      </c>
      <c r="E34" s="1142" t="s">
        <v>70</v>
      </c>
      <c r="F34" s="1144">
        <f>938029.5+181939.95</f>
        <v>1119969.45</v>
      </c>
      <c r="G34" s="1144"/>
      <c r="H34" s="1144">
        <f t="shared" si="20"/>
        <v>1119969.45</v>
      </c>
      <c r="I34" s="1144"/>
      <c r="J34" s="1144"/>
      <c r="K34" s="1144">
        <v>783160.20000000019</v>
      </c>
      <c r="L34" s="1144"/>
      <c r="M34" s="1151">
        <f t="shared" si="21"/>
        <v>783160.20000000019</v>
      </c>
      <c r="N34" s="1145"/>
      <c r="O34" s="1145"/>
      <c r="P34" s="1156">
        <v>297843.62</v>
      </c>
      <c r="Q34" s="1145"/>
      <c r="R34" s="1151">
        <f t="shared" si="22"/>
        <v>297843.62</v>
      </c>
      <c r="S34" s="1150">
        <f t="shared" si="23"/>
        <v>336809.24999999977</v>
      </c>
      <c r="T34" s="1151"/>
      <c r="U34" s="1151"/>
      <c r="V34" s="1151">
        <f t="shared" si="24"/>
        <v>0</v>
      </c>
      <c r="W34" s="1150">
        <f t="shared" si="25"/>
        <v>336809.24999999977</v>
      </c>
      <c r="X34" s="1228"/>
      <c r="Y34" s="1228">
        <v>1</v>
      </c>
      <c r="Z34" s="1145">
        <f t="shared" si="26"/>
        <v>0</v>
      </c>
      <c r="AA34" s="1145">
        <f t="shared" si="27"/>
        <v>336809.24999999977</v>
      </c>
      <c r="AB34" s="1151">
        <f t="shared" si="28"/>
        <v>336809.24999999977</v>
      </c>
      <c r="AC34" s="1145">
        <f t="shared" si="29"/>
        <v>0</v>
      </c>
      <c r="AD34" s="1145">
        <f t="shared" si="29"/>
        <v>101143.92</v>
      </c>
      <c r="AE34" s="1152">
        <f t="shared" si="30"/>
        <v>101143.92</v>
      </c>
      <c r="AG34" s="906"/>
      <c r="AH34" s="903"/>
      <c r="AI34" s="907">
        <f t="shared" si="31"/>
        <v>0</v>
      </c>
      <c r="AJ34" s="904"/>
    </row>
    <row r="35" spans="1:38" ht="49.5" outlineLevel="4" x14ac:dyDescent="0.2">
      <c r="A35" s="1295" t="s">
        <v>240</v>
      </c>
      <c r="B35" s="1141" t="s">
        <v>787</v>
      </c>
      <c r="C35" s="1142" t="s">
        <v>22</v>
      </c>
      <c r="D35" s="1143" t="s">
        <v>104</v>
      </c>
      <c r="E35" s="1142" t="s">
        <v>6</v>
      </c>
      <c r="F35" s="1144">
        <f>56844+56844+56844</f>
        <v>170532</v>
      </c>
      <c r="G35" s="1144"/>
      <c r="H35" s="1144">
        <f t="shared" si="20"/>
        <v>170532</v>
      </c>
      <c r="I35" s="1144">
        <v>113056.14</v>
      </c>
      <c r="J35" s="1144"/>
      <c r="K35" s="1144"/>
      <c r="L35" s="1144"/>
      <c r="M35" s="1151">
        <f t="shared" si="21"/>
        <v>113056.14</v>
      </c>
      <c r="N35" s="1155">
        <v>34324.839999999997</v>
      </c>
      <c r="O35" s="1149"/>
      <c r="P35" s="1145"/>
      <c r="Q35" s="1145"/>
      <c r="R35" s="1151">
        <f t="shared" si="22"/>
        <v>34324.839999999997</v>
      </c>
      <c r="S35" s="1150">
        <f t="shared" si="23"/>
        <v>57475.86</v>
      </c>
      <c r="T35" s="1151">
        <f>56844</f>
        <v>56844</v>
      </c>
      <c r="U35" s="1151"/>
      <c r="V35" s="1151">
        <f t="shared" si="24"/>
        <v>56844</v>
      </c>
      <c r="W35" s="1150">
        <f t="shared" si="25"/>
        <v>114319.86</v>
      </c>
      <c r="X35" s="1228">
        <v>1</v>
      </c>
      <c r="Y35" s="1228"/>
      <c r="Z35" s="1145">
        <f t="shared" si="26"/>
        <v>114319.86</v>
      </c>
      <c r="AA35" s="1145">
        <f t="shared" si="27"/>
        <v>0</v>
      </c>
      <c r="AB35" s="1151">
        <f t="shared" si="28"/>
        <v>114319.86</v>
      </c>
      <c r="AC35" s="1145">
        <f t="shared" si="29"/>
        <v>34330.29</v>
      </c>
      <c r="AD35" s="1145">
        <f t="shared" si="29"/>
        <v>0</v>
      </c>
      <c r="AE35" s="1152">
        <f t="shared" si="30"/>
        <v>34330.29</v>
      </c>
      <c r="AG35" s="906"/>
      <c r="AH35" s="903"/>
      <c r="AI35" s="907">
        <f t="shared" si="31"/>
        <v>0</v>
      </c>
      <c r="AJ35" s="904"/>
    </row>
    <row r="36" spans="1:38" ht="66" outlineLevel="4" x14ac:dyDescent="0.2">
      <c r="A36" s="1295" t="s">
        <v>244</v>
      </c>
      <c r="B36" s="1141" t="s">
        <v>788</v>
      </c>
      <c r="C36" s="1142" t="s">
        <v>132</v>
      </c>
      <c r="D36" s="1143" t="s">
        <v>133</v>
      </c>
      <c r="E36" s="1142" t="s">
        <v>134</v>
      </c>
      <c r="F36" s="1144">
        <v>144000</v>
      </c>
      <c r="G36" s="1144"/>
      <c r="H36" s="1144">
        <f t="shared" si="20"/>
        <v>144000</v>
      </c>
      <c r="I36" s="1144">
        <v>30000</v>
      </c>
      <c r="J36" s="1144"/>
      <c r="K36" s="1144"/>
      <c r="L36" s="1144"/>
      <c r="M36" s="1151">
        <f t="shared" si="21"/>
        <v>30000</v>
      </c>
      <c r="N36" s="1155">
        <v>8670.5000000000018</v>
      </c>
      <c r="O36" s="1149"/>
      <c r="P36" s="1145"/>
      <c r="Q36" s="1145"/>
      <c r="R36" s="1151">
        <f t="shared" si="22"/>
        <v>8670.5000000000018</v>
      </c>
      <c r="S36" s="1150">
        <f t="shared" si="23"/>
        <v>114000</v>
      </c>
      <c r="T36" s="1151">
        <v>60000</v>
      </c>
      <c r="U36" s="1151">
        <v>6000</v>
      </c>
      <c r="V36" s="1151">
        <f>T36+U36</f>
        <v>66000</v>
      </c>
      <c r="W36" s="1150">
        <f t="shared" si="25"/>
        <v>180000</v>
      </c>
      <c r="X36" s="1228">
        <v>1</v>
      </c>
      <c r="Y36" s="1228"/>
      <c r="Z36" s="1145">
        <f t="shared" si="26"/>
        <v>180000</v>
      </c>
      <c r="AA36" s="1145">
        <f t="shared" si="27"/>
        <v>0</v>
      </c>
      <c r="AB36" s="1151">
        <f t="shared" si="28"/>
        <v>180000</v>
      </c>
      <c r="AC36" s="1145">
        <f t="shared" si="29"/>
        <v>54054.05</v>
      </c>
      <c r="AD36" s="1145">
        <f t="shared" si="29"/>
        <v>0</v>
      </c>
      <c r="AE36" s="1152">
        <f t="shared" si="30"/>
        <v>54054.05</v>
      </c>
      <c r="AG36" s="906"/>
      <c r="AH36" s="903"/>
      <c r="AI36" s="907">
        <f t="shared" si="31"/>
        <v>0</v>
      </c>
      <c r="AJ36" s="904"/>
    </row>
    <row r="37" spans="1:38" ht="66" outlineLevel="4" x14ac:dyDescent="0.2">
      <c r="A37" s="1295" t="s">
        <v>246</v>
      </c>
      <c r="B37" s="1141" t="s">
        <v>789</v>
      </c>
      <c r="C37" s="1142" t="s">
        <v>243</v>
      </c>
      <c r="D37" s="1143" t="s">
        <v>417</v>
      </c>
      <c r="E37" s="1142" t="s">
        <v>718</v>
      </c>
      <c r="F37" s="1144">
        <v>100530</v>
      </c>
      <c r="G37" s="1144"/>
      <c r="H37" s="1144">
        <f t="shared" si="20"/>
        <v>100530</v>
      </c>
      <c r="I37" s="1144">
        <v>13376</v>
      </c>
      <c r="J37" s="1144"/>
      <c r="K37" s="1144"/>
      <c r="L37" s="1144"/>
      <c r="M37" s="1151">
        <f t="shared" si="21"/>
        <v>13376</v>
      </c>
      <c r="N37" s="1155">
        <v>3865.9</v>
      </c>
      <c r="O37" s="1149"/>
      <c r="P37" s="1145"/>
      <c r="Q37" s="1145"/>
      <c r="R37" s="1151">
        <f t="shared" si="22"/>
        <v>3865.9</v>
      </c>
      <c r="S37" s="1150">
        <f t="shared" si="23"/>
        <v>87154</v>
      </c>
      <c r="T37" s="1151">
        <v>122072.14</v>
      </c>
      <c r="U37" s="1151">
        <v>12207.21</v>
      </c>
      <c r="V37" s="1151">
        <f t="shared" si="24"/>
        <v>134279.35</v>
      </c>
      <c r="W37" s="1150">
        <f t="shared" si="25"/>
        <v>221433.35</v>
      </c>
      <c r="X37" s="1231">
        <v>0.4</v>
      </c>
      <c r="Y37" s="1231">
        <v>0.6</v>
      </c>
      <c r="Z37" s="1145">
        <f t="shared" si="26"/>
        <v>88573.340000000011</v>
      </c>
      <c r="AA37" s="1145">
        <f t="shared" si="27"/>
        <v>132860.01</v>
      </c>
      <c r="AB37" s="1151">
        <f t="shared" si="28"/>
        <v>221433.35000000003</v>
      </c>
      <c r="AC37" s="1145">
        <f t="shared" si="29"/>
        <v>26598.6</v>
      </c>
      <c r="AD37" s="1145">
        <f t="shared" si="29"/>
        <v>39897.9</v>
      </c>
      <c r="AE37" s="1152">
        <f t="shared" si="30"/>
        <v>66496.5</v>
      </c>
      <c r="AG37" s="908"/>
      <c r="AH37" s="903"/>
      <c r="AI37" s="909">
        <f t="shared" si="31"/>
        <v>0</v>
      </c>
      <c r="AJ37" s="904"/>
      <c r="AK37" s="763"/>
    </row>
    <row r="38" spans="1:38" ht="66" customHeight="1" outlineLevel="4" x14ac:dyDescent="0.2">
      <c r="A38" s="1295" t="s">
        <v>256</v>
      </c>
      <c r="B38" s="1141" t="s">
        <v>790</v>
      </c>
      <c r="C38" s="1142" t="s">
        <v>447</v>
      </c>
      <c r="D38" s="1143" t="s">
        <v>737</v>
      </c>
      <c r="E38" s="1175" t="s">
        <v>736</v>
      </c>
      <c r="F38" s="1144">
        <v>363495</v>
      </c>
      <c r="G38" s="1144"/>
      <c r="H38" s="1144">
        <f t="shared" si="20"/>
        <v>363495</v>
      </c>
      <c r="I38" s="1144"/>
      <c r="J38" s="1144"/>
      <c r="K38" s="1144"/>
      <c r="L38" s="1144"/>
      <c r="M38" s="1151">
        <f t="shared" si="21"/>
        <v>0</v>
      </c>
      <c r="N38" s="1145"/>
      <c r="O38" s="1145"/>
      <c r="P38" s="1149"/>
      <c r="Q38" s="1149"/>
      <c r="R38" s="1151">
        <f t="shared" si="22"/>
        <v>0</v>
      </c>
      <c r="S38" s="1150">
        <f t="shared" si="23"/>
        <v>363495</v>
      </c>
      <c r="T38" s="1151"/>
      <c r="U38" s="1151"/>
      <c r="V38" s="1151">
        <f t="shared" si="24"/>
        <v>0</v>
      </c>
      <c r="W38" s="1150">
        <f t="shared" si="25"/>
        <v>363495</v>
      </c>
      <c r="X38" s="1228">
        <v>1</v>
      </c>
      <c r="Y38" s="1228"/>
      <c r="Z38" s="1145">
        <f t="shared" si="26"/>
        <v>363495</v>
      </c>
      <c r="AA38" s="1145">
        <f t="shared" si="27"/>
        <v>0</v>
      </c>
      <c r="AB38" s="1151">
        <f t="shared" si="28"/>
        <v>363495</v>
      </c>
      <c r="AC38" s="1145">
        <f t="shared" si="29"/>
        <v>109157.66</v>
      </c>
      <c r="AD38" s="1145">
        <f t="shared" si="29"/>
        <v>0</v>
      </c>
      <c r="AE38" s="1152">
        <f t="shared" si="30"/>
        <v>109157.66</v>
      </c>
      <c r="AG38" s="908"/>
      <c r="AH38" s="903"/>
      <c r="AI38" s="909">
        <f t="shared" si="31"/>
        <v>0</v>
      </c>
      <c r="AJ38" s="904"/>
    </row>
    <row r="39" spans="1:38" s="888" customFormat="1" ht="55.5" customHeight="1" outlineLevel="4" x14ac:dyDescent="0.25">
      <c r="A39" s="1295" t="s">
        <v>260</v>
      </c>
      <c r="B39" s="1141" t="s">
        <v>791</v>
      </c>
      <c r="C39" s="1142" t="s">
        <v>734</v>
      </c>
      <c r="D39" s="1143" t="s">
        <v>715</v>
      </c>
      <c r="E39" s="1142" t="s">
        <v>735</v>
      </c>
      <c r="F39" s="1144">
        <v>61560</v>
      </c>
      <c r="G39" s="1144"/>
      <c r="H39" s="1144">
        <f>F39+G39</f>
        <v>61560</v>
      </c>
      <c r="I39" s="1144"/>
      <c r="J39" s="1144"/>
      <c r="K39" s="1144"/>
      <c r="L39" s="1144"/>
      <c r="M39" s="1151">
        <f t="shared" si="21"/>
        <v>0</v>
      </c>
      <c r="N39" s="1145"/>
      <c r="O39" s="1145"/>
      <c r="P39" s="1155"/>
      <c r="Q39" s="1155"/>
      <c r="R39" s="1151">
        <f>N39+O39+P39+Q39</f>
        <v>0</v>
      </c>
      <c r="S39" s="1150">
        <f t="shared" si="23"/>
        <v>61560</v>
      </c>
      <c r="T39" s="1176"/>
      <c r="U39" s="1176"/>
      <c r="V39" s="1151">
        <f>T39+U39</f>
        <v>0</v>
      </c>
      <c r="W39" s="1150">
        <f t="shared" si="25"/>
        <v>61560</v>
      </c>
      <c r="X39" s="1228">
        <v>1</v>
      </c>
      <c r="Y39" s="1228"/>
      <c r="Z39" s="1145">
        <f>W39*X39</f>
        <v>61560</v>
      </c>
      <c r="AA39" s="1145">
        <f>W39*Y39</f>
        <v>0</v>
      </c>
      <c r="AB39" s="1151">
        <f>Z39+AA39</f>
        <v>61560</v>
      </c>
      <c r="AC39" s="1145">
        <f t="shared" si="29"/>
        <v>18486.490000000002</v>
      </c>
      <c r="AD39" s="1145">
        <f t="shared" si="29"/>
        <v>0</v>
      </c>
      <c r="AE39" s="1152">
        <f>AC39+AD39</f>
        <v>18486.490000000002</v>
      </c>
      <c r="AF39" s="1064"/>
      <c r="AG39" s="1078"/>
      <c r="AH39" s="1055"/>
      <c r="AI39" s="909">
        <f t="shared" si="31"/>
        <v>0</v>
      </c>
      <c r="AJ39" s="1065"/>
    </row>
    <row r="40" spans="1:38" ht="129.75" customHeight="1" outlineLevel="4" x14ac:dyDescent="0.25">
      <c r="A40" s="1295" t="s">
        <v>426</v>
      </c>
      <c r="B40" s="1316" t="s">
        <v>849</v>
      </c>
      <c r="C40" s="1142" t="s">
        <v>741</v>
      </c>
      <c r="D40" s="1142" t="s">
        <v>740</v>
      </c>
      <c r="E40" s="1158"/>
      <c r="F40" s="1144">
        <v>61000</v>
      </c>
      <c r="G40" s="1144"/>
      <c r="H40" s="1144">
        <f>F40+G40</f>
        <v>61000</v>
      </c>
      <c r="I40" s="1162"/>
      <c r="J40" s="1162"/>
      <c r="K40" s="1162"/>
      <c r="L40" s="1162"/>
      <c r="M40" s="1165">
        <f t="shared" si="21"/>
        <v>0</v>
      </c>
      <c r="N40" s="1163"/>
      <c r="O40" s="1163"/>
      <c r="P40" s="1164"/>
      <c r="Q40" s="1164"/>
      <c r="R40" s="1165">
        <f>N40+O40+P40+Q40</f>
        <v>0</v>
      </c>
      <c r="S40" s="1150">
        <f t="shared" si="23"/>
        <v>61000</v>
      </c>
      <c r="T40" s="1166"/>
      <c r="U40" s="1166"/>
      <c r="V40" s="1165">
        <f>T40+U40</f>
        <v>0</v>
      </c>
      <c r="W40" s="1150">
        <f t="shared" si="25"/>
        <v>61000</v>
      </c>
      <c r="X40" s="1228">
        <v>1</v>
      </c>
      <c r="Y40" s="1228"/>
      <c r="Z40" s="1145">
        <f>W40*X40</f>
        <v>61000</v>
      </c>
      <c r="AA40" s="1145">
        <f>W40*Y40</f>
        <v>0</v>
      </c>
      <c r="AB40" s="1151">
        <f>Z40+AA40</f>
        <v>61000</v>
      </c>
      <c r="AC40" s="1145">
        <f t="shared" si="29"/>
        <v>18318.32</v>
      </c>
      <c r="AD40" s="1145">
        <f t="shared" si="29"/>
        <v>0</v>
      </c>
      <c r="AE40" s="1152">
        <f>AC40+AD40</f>
        <v>18318.32</v>
      </c>
      <c r="AG40" s="966"/>
      <c r="AH40" s="1053"/>
      <c r="AI40" s="909">
        <f t="shared" si="31"/>
        <v>0</v>
      </c>
      <c r="AJ40" s="904"/>
    </row>
    <row r="41" spans="1:38" ht="82.5" customHeight="1" outlineLevel="4" x14ac:dyDescent="0.2">
      <c r="A41" s="1295" t="s">
        <v>255</v>
      </c>
      <c r="B41" s="1141" t="s">
        <v>792</v>
      </c>
      <c r="C41" s="1142" t="s">
        <v>743</v>
      </c>
      <c r="D41" s="1142"/>
      <c r="E41" s="1142"/>
      <c r="F41" s="1177">
        <v>3634</v>
      </c>
      <c r="G41" s="1144"/>
      <c r="H41" s="1144">
        <f>F41+G41</f>
        <v>3634</v>
      </c>
      <c r="I41" s="1144"/>
      <c r="J41" s="1144"/>
      <c r="K41" s="1144"/>
      <c r="L41" s="1144"/>
      <c r="M41" s="1151">
        <f t="shared" si="21"/>
        <v>0</v>
      </c>
      <c r="N41" s="1145"/>
      <c r="O41" s="1145"/>
      <c r="P41" s="1155"/>
      <c r="Q41" s="1155"/>
      <c r="R41" s="1151">
        <f>N41+O41+P41+Q41</f>
        <v>0</v>
      </c>
      <c r="S41" s="1150">
        <f t="shared" si="23"/>
        <v>3634</v>
      </c>
      <c r="T41" s="1176"/>
      <c r="U41" s="1176"/>
      <c r="V41" s="1151">
        <f>T41+U41</f>
        <v>0</v>
      </c>
      <c r="W41" s="1150">
        <f t="shared" si="25"/>
        <v>3634</v>
      </c>
      <c r="X41" s="1228">
        <v>1</v>
      </c>
      <c r="Y41" s="1228"/>
      <c r="Z41" s="1145">
        <f>W41*X41</f>
        <v>3634</v>
      </c>
      <c r="AA41" s="1145">
        <f>W41*Y41</f>
        <v>0</v>
      </c>
      <c r="AB41" s="1151">
        <f>Z41+AA41</f>
        <v>3634</v>
      </c>
      <c r="AC41" s="1145">
        <f t="shared" si="29"/>
        <v>1091.29</v>
      </c>
      <c r="AD41" s="1145">
        <f t="shared" si="29"/>
        <v>0</v>
      </c>
      <c r="AE41" s="1152">
        <f>AC41+AD41</f>
        <v>1091.29</v>
      </c>
      <c r="AG41" s="966"/>
      <c r="AH41" s="1053"/>
      <c r="AI41" s="909">
        <f t="shared" si="31"/>
        <v>0</v>
      </c>
      <c r="AJ41" s="904"/>
    </row>
    <row r="42" spans="1:38" ht="51.75" customHeight="1" outlineLevel="4" x14ac:dyDescent="0.2">
      <c r="A42" s="1295" t="s">
        <v>259</v>
      </c>
      <c r="B42" s="1141" t="s">
        <v>793</v>
      </c>
      <c r="C42" s="1142" t="s">
        <v>438</v>
      </c>
      <c r="D42" s="1143" t="s">
        <v>439</v>
      </c>
      <c r="E42" s="1142" t="s">
        <v>717</v>
      </c>
      <c r="F42" s="1144">
        <v>344803.2</v>
      </c>
      <c r="G42" s="1144"/>
      <c r="H42" s="1144">
        <f t="shared" si="20"/>
        <v>344803.2</v>
      </c>
      <c r="I42" s="1144">
        <v>35848.9</v>
      </c>
      <c r="J42" s="1144"/>
      <c r="K42" s="1144"/>
      <c r="L42" s="1144"/>
      <c r="M42" s="1151">
        <f t="shared" si="21"/>
        <v>35848.9</v>
      </c>
      <c r="N42" s="1145">
        <v>10360.939999999999</v>
      </c>
      <c r="O42" s="1145"/>
      <c r="P42" s="1149"/>
      <c r="Q42" s="1149"/>
      <c r="R42" s="1151">
        <f t="shared" si="22"/>
        <v>10360.939999999999</v>
      </c>
      <c r="S42" s="1150">
        <f t="shared" si="23"/>
        <v>308954.3</v>
      </c>
      <c r="T42" s="1151">
        <f>344800+344800</f>
        <v>689600</v>
      </c>
      <c r="U42" s="1151"/>
      <c r="V42" s="1151">
        <f t="shared" si="24"/>
        <v>689600</v>
      </c>
      <c r="W42" s="1150">
        <f t="shared" si="25"/>
        <v>998554.3</v>
      </c>
      <c r="X42" s="1228">
        <v>1</v>
      </c>
      <c r="Y42" s="1228"/>
      <c r="Z42" s="1145">
        <f t="shared" si="26"/>
        <v>998554.3</v>
      </c>
      <c r="AA42" s="1145">
        <f t="shared" si="27"/>
        <v>0</v>
      </c>
      <c r="AB42" s="1151">
        <f>Z42+AA42</f>
        <v>998554.3</v>
      </c>
      <c r="AC42" s="1145">
        <f t="shared" si="29"/>
        <v>299866.15999999997</v>
      </c>
      <c r="AD42" s="1145">
        <f t="shared" si="29"/>
        <v>0</v>
      </c>
      <c r="AE42" s="1152">
        <f>AC42+AD42</f>
        <v>299866.15999999997</v>
      </c>
      <c r="AG42" s="908"/>
      <c r="AH42" s="903"/>
      <c r="AI42" s="909">
        <f t="shared" si="31"/>
        <v>0</v>
      </c>
      <c r="AJ42" s="904"/>
    </row>
    <row r="43" spans="1:38" ht="16.5" outlineLevel="3" x14ac:dyDescent="0.2">
      <c r="A43" s="1297"/>
      <c r="B43" s="1178" t="s">
        <v>708</v>
      </c>
      <c r="C43" s="1179"/>
      <c r="D43" s="1180"/>
      <c r="E43" s="1179"/>
      <c r="F43" s="1181">
        <f t="shared" ref="F43:W43" si="32">SUBTOTAL(9,F44:F47)</f>
        <v>0</v>
      </c>
      <c r="G43" s="1181">
        <f t="shared" si="32"/>
        <v>0</v>
      </c>
      <c r="H43" s="1181">
        <f t="shared" si="32"/>
        <v>0</v>
      </c>
      <c r="I43" s="1181">
        <f t="shared" si="32"/>
        <v>0</v>
      </c>
      <c r="J43" s="1181">
        <f t="shared" si="32"/>
        <v>0</v>
      </c>
      <c r="K43" s="1181">
        <f t="shared" si="32"/>
        <v>0</v>
      </c>
      <c r="L43" s="1181">
        <f t="shared" si="32"/>
        <v>0</v>
      </c>
      <c r="M43" s="1181">
        <f t="shared" si="32"/>
        <v>0</v>
      </c>
      <c r="N43" s="1181">
        <f t="shared" si="32"/>
        <v>0</v>
      </c>
      <c r="O43" s="1181">
        <f t="shared" si="32"/>
        <v>0</v>
      </c>
      <c r="P43" s="1181">
        <f t="shared" si="32"/>
        <v>0</v>
      </c>
      <c r="Q43" s="1181">
        <f t="shared" si="32"/>
        <v>0</v>
      </c>
      <c r="R43" s="1181">
        <f t="shared" si="32"/>
        <v>0</v>
      </c>
      <c r="S43" s="1182">
        <f t="shared" si="32"/>
        <v>1816613.81</v>
      </c>
      <c r="T43" s="1182">
        <f t="shared" si="32"/>
        <v>0</v>
      </c>
      <c r="U43" s="1182">
        <f t="shared" si="32"/>
        <v>0</v>
      </c>
      <c r="V43" s="1182">
        <f t="shared" si="32"/>
        <v>0</v>
      </c>
      <c r="W43" s="1182">
        <f t="shared" si="32"/>
        <v>1816613.81</v>
      </c>
      <c r="X43" s="1232"/>
      <c r="Y43" s="1232"/>
      <c r="Z43" s="1182">
        <f t="shared" ref="Z43:AE43" si="33">SUBTOTAL(9,Z44:Z47)</f>
        <v>1816613.81</v>
      </c>
      <c r="AA43" s="1182">
        <f t="shared" si="33"/>
        <v>0</v>
      </c>
      <c r="AB43" s="1182">
        <f t="shared" si="33"/>
        <v>1816613.81</v>
      </c>
      <c r="AC43" s="1182">
        <f t="shared" si="33"/>
        <v>545529.66999999993</v>
      </c>
      <c r="AD43" s="1182">
        <f t="shared" si="33"/>
        <v>0</v>
      </c>
      <c r="AE43" s="1183">
        <f t="shared" si="33"/>
        <v>545529.66999999993</v>
      </c>
      <c r="AG43" s="916">
        <f>SUBTOTAL(9,AG44:AG47)</f>
        <v>545529.67267267266</v>
      </c>
      <c r="AH43" s="1054">
        <f>SUBTOTAL(9,AH44:AH47)</f>
        <v>0</v>
      </c>
      <c r="AI43" s="917">
        <f>SUBTOTAL(9,AI44:AI47)</f>
        <v>545529.67267267266</v>
      </c>
      <c r="AJ43" s="904"/>
    </row>
    <row r="44" spans="1:38" ht="53.25" customHeight="1" outlineLevel="4" x14ac:dyDescent="0.2">
      <c r="A44" s="1295" t="s">
        <v>426</v>
      </c>
      <c r="B44" s="1153" t="s">
        <v>461</v>
      </c>
      <c r="C44" s="1184"/>
      <c r="D44" s="1143"/>
      <c r="E44" s="1142"/>
      <c r="F44" s="1144"/>
      <c r="G44" s="1144"/>
      <c r="H44" s="1144">
        <f>F44+G44</f>
        <v>0</v>
      </c>
      <c r="I44" s="1144"/>
      <c r="J44" s="1144"/>
      <c r="K44" s="1144"/>
      <c r="L44" s="1144"/>
      <c r="M44" s="1151">
        <f>I44+J44+K44+L44</f>
        <v>0</v>
      </c>
      <c r="N44" s="1145"/>
      <c r="O44" s="1145"/>
      <c r="P44" s="1185"/>
      <c r="Q44" s="1185"/>
      <c r="R44" s="1151">
        <f t="shared" si="22"/>
        <v>0</v>
      </c>
      <c r="S44" s="1150">
        <f>AI44*$AF$2</f>
        <v>439516</v>
      </c>
      <c r="T44" s="1151"/>
      <c r="U44" s="1151"/>
      <c r="V44" s="1151">
        <f>T44+U44</f>
        <v>0</v>
      </c>
      <c r="W44" s="1150">
        <f>+S44+V44</f>
        <v>439516</v>
      </c>
      <c r="X44" s="1228">
        <v>1</v>
      </c>
      <c r="Y44" s="1228"/>
      <c r="Z44" s="1145">
        <f>W44*X44</f>
        <v>439516</v>
      </c>
      <c r="AA44" s="1145">
        <f>W44*Y44</f>
        <v>0</v>
      </c>
      <c r="AB44" s="1151">
        <f>Z44+AA44</f>
        <v>439516</v>
      </c>
      <c r="AC44" s="1145">
        <f t="shared" ref="AC44:AD47" si="34">ROUND(Z44/$AF$2,2)</f>
        <v>131986.79</v>
      </c>
      <c r="AD44" s="1145">
        <f t="shared" si="34"/>
        <v>0</v>
      </c>
      <c r="AE44" s="1152">
        <f>AC44+AD44</f>
        <v>131986.79</v>
      </c>
      <c r="AG44" s="918">
        <f>AI44*X44</f>
        <v>131986.78678678678</v>
      </c>
      <c r="AH44" s="1055">
        <f>AI44*Y44</f>
        <v>0</v>
      </c>
      <c r="AI44" s="919">
        <f>439516/$AF$2</f>
        <v>131986.78678678678</v>
      </c>
      <c r="AJ44" s="904" t="s">
        <v>462</v>
      </c>
    </row>
    <row r="45" spans="1:38" ht="27" customHeight="1" outlineLevel="4" x14ac:dyDescent="0.2">
      <c r="A45" s="1295" t="s">
        <v>255</v>
      </c>
      <c r="B45" s="1153" t="s">
        <v>265</v>
      </c>
      <c r="C45" s="1142"/>
      <c r="D45" s="1143"/>
      <c r="E45" s="1142"/>
      <c r="F45" s="1144"/>
      <c r="G45" s="1144"/>
      <c r="H45" s="1144">
        <f>F45+G45</f>
        <v>0</v>
      </c>
      <c r="I45" s="1144"/>
      <c r="J45" s="1144"/>
      <c r="K45" s="1144"/>
      <c r="L45" s="1144"/>
      <c r="M45" s="1151">
        <f>I45+J45+K45+L45</f>
        <v>0</v>
      </c>
      <c r="N45" s="1145"/>
      <c r="O45" s="1145"/>
      <c r="P45" s="1185"/>
      <c r="Q45" s="1185"/>
      <c r="R45" s="1151">
        <f t="shared" si="22"/>
        <v>0</v>
      </c>
      <c r="S45" s="1150">
        <f>AI45*$AF$2</f>
        <v>376728</v>
      </c>
      <c r="T45" s="1151"/>
      <c r="U45" s="1151"/>
      <c r="V45" s="1151">
        <f>T45+U45</f>
        <v>0</v>
      </c>
      <c r="W45" s="1150">
        <f>+S45+V45</f>
        <v>376728</v>
      </c>
      <c r="X45" s="1228">
        <v>1</v>
      </c>
      <c r="Y45" s="1228"/>
      <c r="Z45" s="1145">
        <f>W45*X45</f>
        <v>376728</v>
      </c>
      <c r="AA45" s="1145">
        <f>W45*Y45</f>
        <v>0</v>
      </c>
      <c r="AB45" s="1151">
        <f>Z45+AA45</f>
        <v>376728</v>
      </c>
      <c r="AC45" s="1145">
        <f t="shared" si="34"/>
        <v>113131.53</v>
      </c>
      <c r="AD45" s="1145">
        <f t="shared" si="34"/>
        <v>0</v>
      </c>
      <c r="AE45" s="1152">
        <f>AC45+AD45</f>
        <v>113131.53</v>
      </c>
      <c r="AG45" s="918">
        <f>AI45*X45</f>
        <v>113131.53153153152</v>
      </c>
      <c r="AH45" s="1055">
        <f>AI45*Y45</f>
        <v>0</v>
      </c>
      <c r="AI45" s="919">
        <f>376728/AF2</f>
        <v>113131.53153153152</v>
      </c>
      <c r="AJ45" s="904"/>
    </row>
    <row r="46" spans="1:38" ht="38.25" customHeight="1" outlineLevel="4" x14ac:dyDescent="0.2">
      <c r="A46" s="1295" t="s">
        <v>258</v>
      </c>
      <c r="B46" s="1153" t="s">
        <v>268</v>
      </c>
      <c r="C46" s="1142"/>
      <c r="D46" s="1143"/>
      <c r="E46" s="1142"/>
      <c r="F46" s="1144"/>
      <c r="G46" s="1144"/>
      <c r="H46" s="1144">
        <f>F46+G46</f>
        <v>0</v>
      </c>
      <c r="I46" s="1144"/>
      <c r="J46" s="1144"/>
      <c r="K46" s="1144"/>
      <c r="L46" s="1144"/>
      <c r="M46" s="1151">
        <f>I46+J46+K46+L46</f>
        <v>0</v>
      </c>
      <c r="N46" s="1145"/>
      <c r="O46" s="1145"/>
      <c r="P46" s="1185"/>
      <c r="Q46" s="1185"/>
      <c r="R46" s="1151">
        <f t="shared" si="22"/>
        <v>0</v>
      </c>
      <c r="S46" s="1150">
        <f>AI46*$AF$2</f>
        <v>533698</v>
      </c>
      <c r="T46" s="1151"/>
      <c r="U46" s="1151"/>
      <c r="V46" s="1151">
        <f>T46+U46</f>
        <v>0</v>
      </c>
      <c r="W46" s="1150">
        <f>+S46+V46</f>
        <v>533698</v>
      </c>
      <c r="X46" s="1228">
        <v>1</v>
      </c>
      <c r="Y46" s="1228"/>
      <c r="Z46" s="1145">
        <f>W46*X46</f>
        <v>533698</v>
      </c>
      <c r="AA46" s="1145">
        <f>W46*Y46</f>
        <v>0</v>
      </c>
      <c r="AB46" s="1151">
        <f>Z46+AA46</f>
        <v>533698</v>
      </c>
      <c r="AC46" s="1145">
        <f t="shared" si="34"/>
        <v>160269.67000000001</v>
      </c>
      <c r="AD46" s="1145">
        <f t="shared" si="34"/>
        <v>0</v>
      </c>
      <c r="AE46" s="1152">
        <f>AC46+AD46</f>
        <v>160269.67000000001</v>
      </c>
      <c r="AG46" s="918">
        <f>AI46*X46</f>
        <v>160269.66966966967</v>
      </c>
      <c r="AH46" s="1055">
        <f>AI46*Y46</f>
        <v>0</v>
      </c>
      <c r="AI46" s="919">
        <f>533698/AF2</f>
        <v>160269.66966966967</v>
      </c>
      <c r="AJ46" s="904"/>
    </row>
    <row r="47" spans="1:38" ht="26.25" customHeight="1" outlineLevel="4" x14ac:dyDescent="0.25">
      <c r="A47" s="1295" t="s">
        <v>257</v>
      </c>
      <c r="B47" s="1153" t="s">
        <v>267</v>
      </c>
      <c r="C47" s="1158"/>
      <c r="D47" s="1186"/>
      <c r="E47" s="1158"/>
      <c r="F47" s="1162"/>
      <c r="G47" s="1162"/>
      <c r="H47" s="1162">
        <f>F47+G47</f>
        <v>0</v>
      </c>
      <c r="I47" s="1162"/>
      <c r="J47" s="1162"/>
      <c r="K47" s="1162"/>
      <c r="L47" s="1162"/>
      <c r="M47" s="1165">
        <f>I47+J47+K47+L47</f>
        <v>0</v>
      </c>
      <c r="N47" s="1163"/>
      <c r="O47" s="1163"/>
      <c r="P47" s="1187"/>
      <c r="Q47" s="1187"/>
      <c r="R47" s="1165">
        <f t="shared" si="22"/>
        <v>0</v>
      </c>
      <c r="S47" s="1150">
        <f>AI47*$AF$2</f>
        <v>466671.81</v>
      </c>
      <c r="T47" s="1165"/>
      <c r="U47" s="1165"/>
      <c r="V47" s="1165">
        <f>T47+U47</f>
        <v>0</v>
      </c>
      <c r="W47" s="1283">
        <f>+S47+V47</f>
        <v>466671.81</v>
      </c>
      <c r="X47" s="1233">
        <v>1</v>
      </c>
      <c r="Y47" s="1233"/>
      <c r="Z47" s="1163">
        <f>W47*X47</f>
        <v>466671.81</v>
      </c>
      <c r="AA47" s="1163">
        <f>W47*Y47</f>
        <v>0</v>
      </c>
      <c r="AB47" s="1165">
        <f>Z47+AA47</f>
        <v>466671.81</v>
      </c>
      <c r="AC47" s="1163">
        <f t="shared" si="34"/>
        <v>140141.68</v>
      </c>
      <c r="AD47" s="1163">
        <f t="shared" si="34"/>
        <v>0</v>
      </c>
      <c r="AE47" s="1167">
        <f>AC47+AD47</f>
        <v>140141.68</v>
      </c>
      <c r="AG47" s="918">
        <f>AI47*X47</f>
        <v>140141.68468468467</v>
      </c>
      <c r="AH47" s="1055">
        <f>AI47*Y47</f>
        <v>0</v>
      </c>
      <c r="AI47" s="919">
        <f>466671.81/$AF$2</f>
        <v>140141.68468468467</v>
      </c>
      <c r="AJ47" s="904"/>
    </row>
    <row r="48" spans="1:38" ht="36.75" customHeight="1" outlineLevel="1" x14ac:dyDescent="0.2">
      <c r="A48" s="1293"/>
      <c r="B48" s="1128" t="s">
        <v>193</v>
      </c>
      <c r="C48" s="1248"/>
      <c r="D48" s="1132"/>
      <c r="E48" s="1128"/>
      <c r="F48" s="1134">
        <f>+F49+F53</f>
        <v>82287733.059999987</v>
      </c>
      <c r="G48" s="1134">
        <f t="shared" ref="G48:W48" si="35">+G49+G53</f>
        <v>11565716.579999998</v>
      </c>
      <c r="H48" s="1134">
        <f t="shared" si="35"/>
        <v>93853449.639999986</v>
      </c>
      <c r="I48" s="1134">
        <f t="shared" si="35"/>
        <v>14320668.879999992</v>
      </c>
      <c r="J48" s="1134">
        <f t="shared" si="35"/>
        <v>1695666.15</v>
      </c>
      <c r="K48" s="1134">
        <f t="shared" si="35"/>
        <v>51673968.109999999</v>
      </c>
      <c r="L48" s="1134">
        <f t="shared" si="35"/>
        <v>9358103.3699999955</v>
      </c>
      <c r="M48" s="1134">
        <f t="shared" si="35"/>
        <v>77048406.50999999</v>
      </c>
      <c r="N48" s="1134">
        <f t="shared" si="35"/>
        <v>6946981.0599999996</v>
      </c>
      <c r="O48" s="1134">
        <f t="shared" si="35"/>
        <v>825960.18999999983</v>
      </c>
      <c r="P48" s="1134">
        <f t="shared" si="35"/>
        <v>18021346.219999999</v>
      </c>
      <c r="Q48" s="1134">
        <f t="shared" si="35"/>
        <v>3069654.1699999995</v>
      </c>
      <c r="R48" s="1134">
        <f t="shared" si="35"/>
        <v>28863941.639999997</v>
      </c>
      <c r="S48" s="1134">
        <f t="shared" si="35"/>
        <v>29969590.371700004</v>
      </c>
      <c r="T48" s="1134">
        <f t="shared" si="35"/>
        <v>0</v>
      </c>
      <c r="U48" s="1134">
        <f t="shared" si="35"/>
        <v>453483.97799999994</v>
      </c>
      <c r="V48" s="1134">
        <f t="shared" si="35"/>
        <v>453483.97799999994</v>
      </c>
      <c r="W48" s="1134">
        <f t="shared" si="35"/>
        <v>30423074.349700004</v>
      </c>
      <c r="X48" s="1226"/>
      <c r="Y48" s="1226"/>
      <c r="Z48" s="1134">
        <f t="shared" ref="Z48:AE48" si="36">+Z49+Z53</f>
        <v>18230483.048</v>
      </c>
      <c r="AA48" s="1134">
        <f t="shared" si="36"/>
        <v>12192591.301700002</v>
      </c>
      <c r="AB48" s="1134">
        <f t="shared" si="36"/>
        <v>30423074.349700004</v>
      </c>
      <c r="AC48" s="1134">
        <f t="shared" si="36"/>
        <v>5474619.5300000003</v>
      </c>
      <c r="AD48" s="1134">
        <f t="shared" si="36"/>
        <v>3661438.83</v>
      </c>
      <c r="AE48" s="1135">
        <f t="shared" si="36"/>
        <v>9136058.3599999994</v>
      </c>
      <c r="AF48" s="893"/>
      <c r="AG48" s="894">
        <f>+AG49+AG53</f>
        <v>799059</v>
      </c>
      <c r="AH48" s="942">
        <f>+AH49+AH53</f>
        <v>3154258.4900000021</v>
      </c>
      <c r="AI48" s="895">
        <f>+AI49+AI53</f>
        <v>3953317.4900000021</v>
      </c>
      <c r="AJ48" s="896"/>
      <c r="AK48" s="896"/>
      <c r="AL48" s="896"/>
    </row>
    <row r="49" spans="1:40" ht="30.75" customHeight="1" outlineLevel="1" thickBot="1" x14ac:dyDescent="0.25">
      <c r="A49" s="1296"/>
      <c r="B49" s="1168" t="s">
        <v>676</v>
      </c>
      <c r="C49" s="1169"/>
      <c r="D49" s="1170"/>
      <c r="E49" s="1168"/>
      <c r="F49" s="1171">
        <f>SUBTOTAL(9,F50:F52)</f>
        <v>82287733.059999987</v>
      </c>
      <c r="G49" s="1171">
        <f t="shared" ref="G49:W49" si="37">SUBTOTAL(9,G50:G52)</f>
        <v>11565716.579999998</v>
      </c>
      <c r="H49" s="1171">
        <f t="shared" si="37"/>
        <v>93853449.639999986</v>
      </c>
      <c r="I49" s="1171">
        <f t="shared" si="37"/>
        <v>14320668.879999992</v>
      </c>
      <c r="J49" s="1171">
        <f t="shared" si="37"/>
        <v>1695666.15</v>
      </c>
      <c r="K49" s="1171">
        <f t="shared" si="37"/>
        <v>51673968.109999999</v>
      </c>
      <c r="L49" s="1171">
        <f t="shared" si="37"/>
        <v>9358103.3699999955</v>
      </c>
      <c r="M49" s="1171">
        <f t="shared" si="37"/>
        <v>77048406.50999999</v>
      </c>
      <c r="N49" s="1171">
        <f t="shared" si="37"/>
        <v>6946981.0599999996</v>
      </c>
      <c r="O49" s="1171">
        <f t="shared" si="37"/>
        <v>825960.18999999983</v>
      </c>
      <c r="P49" s="1171">
        <f t="shared" si="37"/>
        <v>18021346.219999999</v>
      </c>
      <c r="Q49" s="1171">
        <f t="shared" si="37"/>
        <v>3069654.1699999995</v>
      </c>
      <c r="R49" s="1171">
        <f t="shared" si="37"/>
        <v>28863941.639999997</v>
      </c>
      <c r="S49" s="1171">
        <f t="shared" si="37"/>
        <v>16805043.129999995</v>
      </c>
      <c r="T49" s="1171">
        <f t="shared" si="37"/>
        <v>0</v>
      </c>
      <c r="U49" s="1171">
        <f t="shared" si="37"/>
        <v>453483.97799999994</v>
      </c>
      <c r="V49" s="1171">
        <f t="shared" si="37"/>
        <v>453483.97799999994</v>
      </c>
      <c r="W49" s="1171">
        <f t="shared" si="37"/>
        <v>17258527.107999995</v>
      </c>
      <c r="X49" s="1234"/>
      <c r="Y49" s="1234"/>
      <c r="Z49" s="1171">
        <f t="shared" ref="Z49:AI49" si="38">SUBTOTAL(9,Z50:Z52)</f>
        <v>15569616.578</v>
      </c>
      <c r="AA49" s="1171">
        <f t="shared" si="38"/>
        <v>1688910.5299999937</v>
      </c>
      <c r="AB49" s="1171">
        <f t="shared" si="38"/>
        <v>17258527.107999995</v>
      </c>
      <c r="AC49" s="1171">
        <f t="shared" si="38"/>
        <v>4675560.53</v>
      </c>
      <c r="AD49" s="1171">
        <f t="shared" si="38"/>
        <v>507180.33999999997</v>
      </c>
      <c r="AE49" s="1172">
        <f t="shared" si="38"/>
        <v>5182740.87</v>
      </c>
      <c r="AF49" s="893"/>
      <c r="AG49" s="1016">
        <f t="shared" si="38"/>
        <v>0</v>
      </c>
      <c r="AH49" s="1016">
        <f t="shared" si="38"/>
        <v>0</v>
      </c>
      <c r="AI49" s="1016">
        <f t="shared" si="38"/>
        <v>0</v>
      </c>
      <c r="AJ49" s="904"/>
    </row>
    <row r="50" spans="1:40" ht="82.5" outlineLevel="2" x14ac:dyDescent="0.2">
      <c r="A50" s="1298" t="s">
        <v>273</v>
      </c>
      <c r="B50" s="1188" t="s">
        <v>794</v>
      </c>
      <c r="C50" s="1189" t="s">
        <v>853</v>
      </c>
      <c r="D50" s="1190" t="s">
        <v>72</v>
      </c>
      <c r="E50" s="1189" t="s">
        <v>70</v>
      </c>
      <c r="F50" s="1173">
        <v>42528080.609999992</v>
      </c>
      <c r="G50" s="1173">
        <v>6434860.5299999965</v>
      </c>
      <c r="H50" s="1173">
        <f>F50+G50</f>
        <v>48962941.139999986</v>
      </c>
      <c r="I50" s="1173">
        <v>11203288.549999991</v>
      </c>
      <c r="J50" s="1173">
        <v>1234993.97</v>
      </c>
      <c r="K50" s="1173">
        <v>31288899.869999994</v>
      </c>
      <c r="L50" s="1173">
        <v>5034805.1499999976</v>
      </c>
      <c r="M50" s="1150">
        <f>I50+J50+K50+L50</f>
        <v>48761987.539999984</v>
      </c>
      <c r="N50" s="1191">
        <f>6026186.47-O50</f>
        <v>5425119.9199999999</v>
      </c>
      <c r="O50" s="1173">
        <v>601066.54999999981</v>
      </c>
      <c r="P50" s="1191">
        <v>11062724</v>
      </c>
      <c r="Q50" s="1173">
        <v>1653759.2</v>
      </c>
      <c r="R50" s="1150">
        <f>N50+O50+P50+Q50</f>
        <v>18742669.669999998</v>
      </c>
      <c r="S50" s="1150">
        <f>H50-M50</f>
        <v>200953.60000000149</v>
      </c>
      <c r="T50" s="1150"/>
      <c r="U50" s="1150"/>
      <c r="V50" s="1150">
        <f t="shared" si="24"/>
        <v>0</v>
      </c>
      <c r="W50" s="1150">
        <f>+S50+V50</f>
        <v>200953.60000000149</v>
      </c>
      <c r="X50" s="1235"/>
      <c r="Y50" s="1235">
        <v>1</v>
      </c>
      <c r="Z50" s="1192">
        <f t="shared" ref="Z50:Z55" si="39">W50*X50</f>
        <v>0</v>
      </c>
      <c r="AA50" s="1192">
        <f t="shared" ref="AA50:AA55" si="40">W50*Y50</f>
        <v>200953.60000000149</v>
      </c>
      <c r="AB50" s="1150">
        <f>Z50+AA50</f>
        <v>200953.60000000149</v>
      </c>
      <c r="AC50" s="1192">
        <f t="shared" ref="AC50:AD52" si="41">ROUND(Z50/$AF$2,2)</f>
        <v>0</v>
      </c>
      <c r="AD50" s="1192">
        <f t="shared" si="41"/>
        <v>60346.43</v>
      </c>
      <c r="AE50" s="1193">
        <f>AC50+AD50</f>
        <v>60346.43</v>
      </c>
      <c r="AF50" s="981"/>
      <c r="AG50" s="912"/>
      <c r="AH50" s="1052"/>
      <c r="AI50" s="913">
        <f>AG50+AH50</f>
        <v>0</v>
      </c>
      <c r="AJ50" s="904"/>
    </row>
    <row r="51" spans="1:40" ht="66" outlineLevel="2" x14ac:dyDescent="0.2">
      <c r="A51" s="1298" t="s">
        <v>274</v>
      </c>
      <c r="B51" s="1188" t="s">
        <v>795</v>
      </c>
      <c r="C51" s="1189" t="s">
        <v>854</v>
      </c>
      <c r="D51" s="1190" t="s">
        <v>855</v>
      </c>
      <c r="E51" s="1189" t="s">
        <v>70</v>
      </c>
      <c r="F51" s="1173">
        <f>25157363.61-1222106.98+708263.22</f>
        <v>24643519.849999998</v>
      </c>
      <c r="G51" s="1173">
        <f>4783970.4+346885.65</f>
        <v>5130856.0500000007</v>
      </c>
      <c r="H51" s="1173">
        <f>F51+G51</f>
        <v>29774375.899999999</v>
      </c>
      <c r="I51" s="1173">
        <v>3117380.3299999996</v>
      </c>
      <c r="J51" s="1173">
        <v>460672.18000000005</v>
      </c>
      <c r="K51" s="1173">
        <v>20385068.24000001</v>
      </c>
      <c r="L51" s="1173">
        <v>4323298.2199999979</v>
      </c>
      <c r="M51" s="1150">
        <f>I51+J51+K51+L51</f>
        <v>28286418.970000006</v>
      </c>
      <c r="N51" s="1191">
        <f>1746754.78-O51</f>
        <v>1521861.14</v>
      </c>
      <c r="O51" s="1173">
        <v>224893.64000000004</v>
      </c>
      <c r="P51" s="1191">
        <v>6958622.2200000007</v>
      </c>
      <c r="Q51" s="1173">
        <v>1415894.9699999995</v>
      </c>
      <c r="R51" s="1150">
        <f>N51+O51+P51+Q51</f>
        <v>10121271.969999999</v>
      </c>
      <c r="S51" s="1150">
        <f>H51-M51</f>
        <v>1487956.9299999923</v>
      </c>
      <c r="T51" s="1150"/>
      <c r="U51" s="1150"/>
      <c r="V51" s="1150">
        <f t="shared" si="24"/>
        <v>0</v>
      </c>
      <c r="W51" s="1150">
        <f>+S51+V51</f>
        <v>1487956.9299999923</v>
      </c>
      <c r="X51" s="1235"/>
      <c r="Y51" s="1235">
        <v>1</v>
      </c>
      <c r="Z51" s="1192">
        <f t="shared" si="39"/>
        <v>0</v>
      </c>
      <c r="AA51" s="1192">
        <f t="shared" si="40"/>
        <v>1487956.9299999923</v>
      </c>
      <c r="AB51" s="1150">
        <f>Z51+AA51</f>
        <v>1487956.9299999923</v>
      </c>
      <c r="AC51" s="1192">
        <f t="shared" si="41"/>
        <v>0</v>
      </c>
      <c r="AD51" s="1192">
        <f t="shared" si="41"/>
        <v>446833.91</v>
      </c>
      <c r="AE51" s="1193">
        <f>AC51+AD51</f>
        <v>446833.91</v>
      </c>
      <c r="AG51" s="906"/>
      <c r="AH51" s="903"/>
      <c r="AI51" s="907">
        <f>AG51+AH51</f>
        <v>0</v>
      </c>
      <c r="AJ51" s="1317"/>
      <c r="AK51" s="1317"/>
      <c r="AL51" s="1317" t="s">
        <v>451</v>
      </c>
    </row>
    <row r="52" spans="1:40" ht="150.75" customHeight="1" outlineLevel="2" x14ac:dyDescent="0.2">
      <c r="A52" s="1295" t="s">
        <v>276</v>
      </c>
      <c r="B52" s="935" t="s">
        <v>848</v>
      </c>
      <c r="C52" s="1189" t="s">
        <v>727</v>
      </c>
      <c r="D52" s="1190" t="s">
        <v>729</v>
      </c>
      <c r="E52" s="1142"/>
      <c r="F52" s="1144">
        <v>15116132.6</v>
      </c>
      <c r="G52" s="1144"/>
      <c r="H52" s="1144">
        <f>F52+G52</f>
        <v>15116132.6</v>
      </c>
      <c r="I52" s="1144"/>
      <c r="J52" s="1144"/>
      <c r="K52" s="1144"/>
      <c r="L52" s="1144"/>
      <c r="M52" s="1151">
        <f>I52+J52+K52+L52</f>
        <v>0</v>
      </c>
      <c r="N52" s="1194"/>
      <c r="O52" s="1144"/>
      <c r="P52" s="1194"/>
      <c r="Q52" s="1144"/>
      <c r="R52" s="1151"/>
      <c r="S52" s="1150">
        <f>H52-M52</f>
        <v>15116132.6</v>
      </c>
      <c r="T52" s="1195"/>
      <c r="U52" s="1145">
        <f>S52*0.03</f>
        <v>453483.97799999994</v>
      </c>
      <c r="V52" s="1145">
        <f>T52+U52</f>
        <v>453483.97799999994</v>
      </c>
      <c r="W52" s="1192">
        <f>+S52+V52</f>
        <v>15569616.578</v>
      </c>
      <c r="X52" s="1236">
        <v>1</v>
      </c>
      <c r="Y52" s="1236"/>
      <c r="Z52" s="1145">
        <f>W52*X52</f>
        <v>15569616.578</v>
      </c>
      <c r="AA52" s="1145">
        <f t="shared" si="40"/>
        <v>0</v>
      </c>
      <c r="AB52" s="1151">
        <f>Z52+AA52</f>
        <v>15569616.578</v>
      </c>
      <c r="AC52" s="1145">
        <f t="shared" si="41"/>
        <v>4675560.53</v>
      </c>
      <c r="AD52" s="1145">
        <f t="shared" si="41"/>
        <v>0</v>
      </c>
      <c r="AE52" s="1152">
        <f>AC52+AD52</f>
        <v>4675560.53</v>
      </c>
      <c r="AG52" s="906"/>
      <c r="AH52" s="903"/>
      <c r="AI52" s="907">
        <f>AG52+AH52</f>
        <v>0</v>
      </c>
      <c r="AJ52" s="923">
        <v>13487934.699999999</v>
      </c>
      <c r="AK52" s="923">
        <v>13487934.699999999</v>
      </c>
      <c r="AL52" s="925">
        <f>AK52/AF2</f>
        <v>4050430.8408408407</v>
      </c>
    </row>
    <row r="53" spans="1:40" ht="36" customHeight="1" outlineLevel="1" x14ac:dyDescent="0.2">
      <c r="A53" s="1297"/>
      <c r="B53" s="1178" t="s">
        <v>709</v>
      </c>
      <c r="C53" s="1179"/>
      <c r="D53" s="1180"/>
      <c r="E53" s="1179"/>
      <c r="F53" s="1181">
        <f>SUBTOTAL(9,F54:F55)</f>
        <v>0</v>
      </c>
      <c r="G53" s="1181">
        <f t="shared" ref="G53:V53" si="42">SUBTOTAL(9,G54:G55)</f>
        <v>0</v>
      </c>
      <c r="H53" s="1181">
        <f t="shared" si="42"/>
        <v>0</v>
      </c>
      <c r="I53" s="1181">
        <f t="shared" si="42"/>
        <v>0</v>
      </c>
      <c r="J53" s="1181">
        <f t="shared" si="42"/>
        <v>0</v>
      </c>
      <c r="K53" s="1181">
        <f t="shared" si="42"/>
        <v>0</v>
      </c>
      <c r="L53" s="1181">
        <f t="shared" si="42"/>
        <v>0</v>
      </c>
      <c r="M53" s="1181">
        <f t="shared" si="42"/>
        <v>0</v>
      </c>
      <c r="N53" s="1181">
        <f t="shared" si="42"/>
        <v>0</v>
      </c>
      <c r="O53" s="1181">
        <f t="shared" si="42"/>
        <v>0</v>
      </c>
      <c r="P53" s="1181">
        <f t="shared" si="42"/>
        <v>0</v>
      </c>
      <c r="Q53" s="1181">
        <f t="shared" si="42"/>
        <v>0</v>
      </c>
      <c r="R53" s="1181">
        <f t="shared" si="42"/>
        <v>0</v>
      </c>
      <c r="S53" s="1182">
        <f t="shared" si="42"/>
        <v>13164547.241700009</v>
      </c>
      <c r="T53" s="1182">
        <f t="shared" si="42"/>
        <v>0</v>
      </c>
      <c r="U53" s="1182">
        <f t="shared" si="42"/>
        <v>0</v>
      </c>
      <c r="V53" s="1182">
        <f t="shared" si="42"/>
        <v>0</v>
      </c>
      <c r="W53" s="1182">
        <f>SUBTOTAL(9,W54:W55)</f>
        <v>13164547.241700009</v>
      </c>
      <c r="X53" s="1232"/>
      <c r="Y53" s="1232"/>
      <c r="Z53" s="1182">
        <f t="shared" ref="Z53:AE53" si="43">SUBTOTAL(9,Z54:Z55)</f>
        <v>2660866.4700000002</v>
      </c>
      <c r="AA53" s="1182">
        <f t="shared" si="43"/>
        <v>10503680.771700008</v>
      </c>
      <c r="AB53" s="1182">
        <f t="shared" si="43"/>
        <v>13164547.241700009</v>
      </c>
      <c r="AC53" s="1182">
        <f t="shared" si="43"/>
        <v>799059</v>
      </c>
      <c r="AD53" s="1182">
        <f t="shared" si="43"/>
        <v>3154258.49</v>
      </c>
      <c r="AE53" s="1183">
        <f t="shared" si="43"/>
        <v>3953317.49</v>
      </c>
      <c r="AG53" s="920">
        <f>SUBTOTAL(9,AG54:AG55)</f>
        <v>799059</v>
      </c>
      <c r="AH53" s="1056">
        <f>SUBTOTAL(9,AH54:AH55)</f>
        <v>3154258.4900000021</v>
      </c>
      <c r="AI53" s="1085">
        <f>SUBTOTAL(9,AI54:AI55)</f>
        <v>3953317.4900000021</v>
      </c>
      <c r="AJ53" s="904"/>
    </row>
    <row r="54" spans="1:40" ht="66" outlineLevel="2" x14ac:dyDescent="0.2">
      <c r="A54" s="1295" t="s">
        <v>275</v>
      </c>
      <c r="B54" s="1153" t="s">
        <v>279</v>
      </c>
      <c r="C54" s="1142"/>
      <c r="D54" s="1143"/>
      <c r="E54" s="1142"/>
      <c r="F54" s="1144"/>
      <c r="G54" s="1144"/>
      <c r="H54" s="1144">
        <f>F54+G54</f>
        <v>0</v>
      </c>
      <c r="I54" s="1144"/>
      <c r="J54" s="1144"/>
      <c r="K54" s="1144"/>
      <c r="L54" s="1144"/>
      <c r="M54" s="1151">
        <f>I54+J54+K54+L54</f>
        <v>0</v>
      </c>
      <c r="N54" s="1194"/>
      <c r="O54" s="1144"/>
      <c r="P54" s="1194"/>
      <c r="Q54" s="1144"/>
      <c r="R54" s="1151"/>
      <c r="S54" s="1192">
        <f>AI54*$AF$2</f>
        <v>10503680.771700008</v>
      </c>
      <c r="T54" s="1145"/>
      <c r="U54" s="1195"/>
      <c r="V54" s="1145">
        <f t="shared" si="24"/>
        <v>0</v>
      </c>
      <c r="W54" s="1192">
        <f>+S54+V54</f>
        <v>10503680.771700008</v>
      </c>
      <c r="X54" s="1236"/>
      <c r="Y54" s="1237">
        <v>1</v>
      </c>
      <c r="Z54" s="1145">
        <f t="shared" si="39"/>
        <v>0</v>
      </c>
      <c r="AA54" s="1145">
        <f t="shared" si="40"/>
        <v>10503680.771700008</v>
      </c>
      <c r="AB54" s="1151">
        <f>Z54+AA54</f>
        <v>10503680.771700008</v>
      </c>
      <c r="AC54" s="1145">
        <f>ROUND(Z54/$AF$2,2)</f>
        <v>0</v>
      </c>
      <c r="AD54" s="1145">
        <f>ROUND(AA54/$AF$2,2)</f>
        <v>3154258.49</v>
      </c>
      <c r="AE54" s="1152">
        <f>AC54+AD54</f>
        <v>3154258.49</v>
      </c>
      <c r="AG54" s="921">
        <f>X54*AI54</f>
        <v>0</v>
      </c>
      <c r="AH54" s="1084">
        <f>Y54*AI54</f>
        <v>3154258.4900000021</v>
      </c>
      <c r="AI54" s="1086">
        <v>3154258.4900000021</v>
      </c>
      <c r="AJ54" s="923">
        <v>27696491.309999999</v>
      </c>
      <c r="AK54" s="924">
        <f>27696491.31+AN54</f>
        <v>22467059.110200003</v>
      </c>
      <c r="AL54" s="925">
        <f>AK54/AF2</f>
        <v>6746864.5976576582</v>
      </c>
      <c r="AM54" s="698">
        <v>-1570400.0599999987</v>
      </c>
      <c r="AN54" s="698">
        <f>+AM54*AF2</f>
        <v>-5229432.1997999959</v>
      </c>
    </row>
    <row r="55" spans="1:40" ht="66" outlineLevel="2" x14ac:dyDescent="0.2">
      <c r="A55" s="1295" t="s">
        <v>277</v>
      </c>
      <c r="B55" s="1153" t="s">
        <v>281</v>
      </c>
      <c r="C55" s="1142"/>
      <c r="D55" s="1143"/>
      <c r="E55" s="1142"/>
      <c r="F55" s="1144"/>
      <c r="G55" s="1144"/>
      <c r="H55" s="1144">
        <f>F55+G55</f>
        <v>0</v>
      </c>
      <c r="I55" s="1144"/>
      <c r="J55" s="1144"/>
      <c r="K55" s="1144"/>
      <c r="L55" s="1144"/>
      <c r="M55" s="1151">
        <f>I55+J55+K55+L55</f>
        <v>0</v>
      </c>
      <c r="N55" s="1194"/>
      <c r="O55" s="1144"/>
      <c r="P55" s="1194"/>
      <c r="Q55" s="1144"/>
      <c r="R55" s="1151"/>
      <c r="S55" s="1192">
        <f>AI55*$AF$2</f>
        <v>2660866.4700000002</v>
      </c>
      <c r="T55" s="1145"/>
      <c r="U55" s="1145"/>
      <c r="V55" s="1145">
        <f t="shared" si="24"/>
        <v>0</v>
      </c>
      <c r="W55" s="1192">
        <f>+S55+V55</f>
        <v>2660866.4700000002</v>
      </c>
      <c r="X55" s="1238">
        <v>1</v>
      </c>
      <c r="Y55" s="1238"/>
      <c r="Z55" s="1145">
        <f t="shared" si="39"/>
        <v>2660866.4700000002</v>
      </c>
      <c r="AA55" s="1145">
        <f t="shared" si="40"/>
        <v>0</v>
      </c>
      <c r="AB55" s="1151">
        <f>Z55+AA55</f>
        <v>2660866.4700000002</v>
      </c>
      <c r="AC55" s="1145">
        <f>ROUND(Z55/$AF$2,2)</f>
        <v>799059</v>
      </c>
      <c r="AD55" s="1145">
        <f>ROUND(AA55/$AF$2,2)</f>
        <v>0</v>
      </c>
      <c r="AE55" s="1152">
        <f>AC55+AD55</f>
        <v>799059</v>
      </c>
      <c r="AG55" s="921">
        <f>X55*AI55</f>
        <v>799059</v>
      </c>
      <c r="AH55" s="903">
        <f>Y55*AI55</f>
        <v>0</v>
      </c>
      <c r="AI55" s="1086">
        <v>799059</v>
      </c>
      <c r="AJ55" s="904"/>
    </row>
    <row r="56" spans="1:40" ht="26.25" customHeight="1" outlineLevel="1" x14ac:dyDescent="0.2">
      <c r="A56" s="1293"/>
      <c r="B56" s="1128" t="s">
        <v>198</v>
      </c>
      <c r="C56" s="1248"/>
      <c r="D56" s="1132"/>
      <c r="E56" s="1128"/>
      <c r="F56" s="1134">
        <f t="shared" ref="F56:W56" si="44">+F57+F61+F66</f>
        <v>7855711.8499999996</v>
      </c>
      <c r="G56" s="1134">
        <f t="shared" si="44"/>
        <v>399960.33999999997</v>
      </c>
      <c r="H56" s="1134">
        <f t="shared" si="44"/>
        <v>8255672.1900000004</v>
      </c>
      <c r="I56" s="1134">
        <f t="shared" si="44"/>
        <v>4046351.3099999996</v>
      </c>
      <c r="J56" s="1134">
        <f t="shared" si="44"/>
        <v>399960.33999999991</v>
      </c>
      <c r="K56" s="1134">
        <f t="shared" si="44"/>
        <v>66591.98</v>
      </c>
      <c r="L56" s="1134">
        <f t="shared" si="44"/>
        <v>0</v>
      </c>
      <c r="M56" s="1134">
        <f t="shared" si="44"/>
        <v>4512903.6300000008</v>
      </c>
      <c r="N56" s="1134">
        <f t="shared" si="44"/>
        <v>1913819.09</v>
      </c>
      <c r="O56" s="1134">
        <f t="shared" si="44"/>
        <v>195255.01000000004</v>
      </c>
      <c r="P56" s="1134">
        <f t="shared" si="44"/>
        <v>23066.11</v>
      </c>
      <c r="Q56" s="1134">
        <f t="shared" si="44"/>
        <v>0</v>
      </c>
      <c r="R56" s="1134">
        <f t="shared" si="44"/>
        <v>2132140.21</v>
      </c>
      <c r="S56" s="1134">
        <f t="shared" si="44"/>
        <v>17734589.16460564</v>
      </c>
      <c r="T56" s="1134">
        <f t="shared" si="44"/>
        <v>0</v>
      </c>
      <c r="U56" s="1134">
        <f t="shared" si="44"/>
        <v>102311.04389999999</v>
      </c>
      <c r="V56" s="1134">
        <f t="shared" si="44"/>
        <v>102311.04389999999</v>
      </c>
      <c r="W56" s="1134">
        <f t="shared" si="44"/>
        <v>17836900.208505642</v>
      </c>
      <c r="X56" s="1226"/>
      <c r="Y56" s="1226"/>
      <c r="Z56" s="1134">
        <f t="shared" ref="Z56:AE56" si="45">+Z57+Z61+Z66</f>
        <v>17836900.208505642</v>
      </c>
      <c r="AA56" s="1134">
        <f t="shared" si="45"/>
        <v>0</v>
      </c>
      <c r="AB56" s="1134">
        <f t="shared" si="45"/>
        <v>17836900.208505642</v>
      </c>
      <c r="AC56" s="1134">
        <f t="shared" si="45"/>
        <v>5356426.4799999995</v>
      </c>
      <c r="AD56" s="1134">
        <f t="shared" si="45"/>
        <v>0</v>
      </c>
      <c r="AE56" s="1135">
        <f t="shared" si="45"/>
        <v>5356426.4799999995</v>
      </c>
      <c r="AF56" s="893"/>
      <c r="AG56" s="1009">
        <f>+AG57+AG61+AG66</f>
        <v>4201747.9293110035</v>
      </c>
      <c r="AH56" s="992">
        <f>+AH57+AH61+AH66</f>
        <v>0</v>
      </c>
      <c r="AI56" s="895">
        <f>+AI57+AI61+AI66</f>
        <v>4201747.9293110035</v>
      </c>
      <c r="AJ56" s="896"/>
      <c r="AK56" s="896"/>
      <c r="AL56" s="896"/>
    </row>
    <row r="57" spans="1:40" ht="26.25" customHeight="1" outlineLevel="2" collapsed="1" x14ac:dyDescent="0.2">
      <c r="A57" s="1294"/>
      <c r="B57" s="1139" t="s">
        <v>675</v>
      </c>
      <c r="C57" s="1139"/>
      <c r="D57" s="1139"/>
      <c r="E57" s="1139"/>
      <c r="F57" s="1139">
        <f>SUBTOTAL(9,F58:F60)</f>
        <v>3882647.5599999996</v>
      </c>
      <c r="G57" s="1139">
        <f>SUBTOTAL(9,G58:G60)</f>
        <v>399960.33999999997</v>
      </c>
      <c r="H57" s="1139">
        <f>SUBTOTAL(9,H58:H60)</f>
        <v>4282607.9000000004</v>
      </c>
      <c r="I57" s="1139">
        <f>SUBTOTAL(9,I58:I60)</f>
        <v>3816055.5799999996</v>
      </c>
      <c r="J57" s="1139">
        <f t="shared" ref="J57:V57" si="46">SUBTOTAL(9,J58:J60)</f>
        <v>399960.33999999991</v>
      </c>
      <c r="K57" s="1139">
        <f t="shared" si="46"/>
        <v>66591.98</v>
      </c>
      <c r="L57" s="1139">
        <f t="shared" si="46"/>
        <v>0</v>
      </c>
      <c r="M57" s="1139">
        <f t="shared" si="46"/>
        <v>4282607.9000000004</v>
      </c>
      <c r="N57" s="1139">
        <f t="shared" si="46"/>
        <v>1834327.01</v>
      </c>
      <c r="O57" s="1139">
        <f t="shared" si="46"/>
        <v>195255.01000000004</v>
      </c>
      <c r="P57" s="1139">
        <f t="shared" si="46"/>
        <v>23066.11</v>
      </c>
      <c r="Q57" s="1139">
        <f t="shared" si="46"/>
        <v>0</v>
      </c>
      <c r="R57" s="1139">
        <f t="shared" si="46"/>
        <v>2052648.1300000001</v>
      </c>
      <c r="S57" s="1139">
        <f t="shared" si="46"/>
        <v>0</v>
      </c>
      <c r="T57" s="1139">
        <f t="shared" si="46"/>
        <v>0</v>
      </c>
      <c r="U57" s="1139">
        <f t="shared" si="46"/>
        <v>0</v>
      </c>
      <c r="V57" s="1139">
        <f t="shared" si="46"/>
        <v>0</v>
      </c>
      <c r="W57" s="1139">
        <f>SUBTOTAL(9,W58:W60)</f>
        <v>0</v>
      </c>
      <c r="X57" s="1227"/>
      <c r="Y57" s="1227"/>
      <c r="Z57" s="1139">
        <f t="shared" ref="Z57:AE57" si="47">SUBTOTAL(9,Z58:Z60)</f>
        <v>0</v>
      </c>
      <c r="AA57" s="1139">
        <f t="shared" si="47"/>
        <v>0</v>
      </c>
      <c r="AB57" s="1139">
        <f t="shared" si="47"/>
        <v>0</v>
      </c>
      <c r="AC57" s="1139">
        <f t="shared" si="47"/>
        <v>0</v>
      </c>
      <c r="AD57" s="1139">
        <f t="shared" si="47"/>
        <v>0</v>
      </c>
      <c r="AE57" s="1140">
        <f t="shared" si="47"/>
        <v>0</v>
      </c>
      <c r="AF57" s="893"/>
      <c r="AG57" s="899">
        <f>SUBTOTAL(9,AG58:AG60)</f>
        <v>0</v>
      </c>
      <c r="AH57" s="942">
        <f>SUBTOTAL(9,AH58:AH60)</f>
        <v>0</v>
      </c>
      <c r="AI57" s="900">
        <f>SUBTOTAL(9,AI58:AI60)</f>
        <v>0</v>
      </c>
      <c r="AJ57" s="763"/>
      <c r="AK57" s="763"/>
      <c r="AL57" s="763"/>
    </row>
    <row r="58" spans="1:40" ht="55.5" hidden="1" customHeight="1" outlineLevel="3" x14ac:dyDescent="0.2">
      <c r="A58" s="1295" t="s">
        <v>282</v>
      </c>
      <c r="B58" s="1188" t="s">
        <v>796</v>
      </c>
      <c r="C58" s="1189" t="s">
        <v>78</v>
      </c>
      <c r="D58" s="1190" t="s">
        <v>79</v>
      </c>
      <c r="E58" s="1189" t="s">
        <v>80</v>
      </c>
      <c r="F58" s="1173">
        <v>3781255.5799999996</v>
      </c>
      <c r="G58" s="1173">
        <v>399960.33999999997</v>
      </c>
      <c r="H58" s="1173">
        <f t="shared" ref="H58:H65" si="48">F58+G58</f>
        <v>4181215.9199999995</v>
      </c>
      <c r="I58" s="1173">
        <v>3781255.5799999996</v>
      </c>
      <c r="J58" s="1173">
        <v>399960.33999999991</v>
      </c>
      <c r="K58" s="1173"/>
      <c r="L58" s="1173"/>
      <c r="M58" s="1150">
        <f>I58+J58+K58+L58</f>
        <v>4181215.9199999995</v>
      </c>
      <c r="N58" s="1191">
        <f>2020342.67-O58</f>
        <v>1825087.66</v>
      </c>
      <c r="O58" s="1173">
        <v>195255.01000000004</v>
      </c>
      <c r="P58" s="1192"/>
      <c r="Q58" s="1192"/>
      <c r="R58" s="1150">
        <f>N58+O58+P58+Q58</f>
        <v>2020342.67</v>
      </c>
      <c r="S58" s="1150">
        <f>H58-M58</f>
        <v>0</v>
      </c>
      <c r="T58" s="1150"/>
      <c r="U58" s="1150"/>
      <c r="V58" s="1150">
        <f t="shared" si="24"/>
        <v>0</v>
      </c>
      <c r="W58" s="1150">
        <f>+S58+V58</f>
        <v>0</v>
      </c>
      <c r="X58" s="1235">
        <v>1</v>
      </c>
      <c r="Y58" s="1235"/>
      <c r="Z58" s="1192">
        <f t="shared" ref="Z58:Z72" si="49">W58*X58</f>
        <v>0</v>
      </c>
      <c r="AA58" s="1192">
        <f t="shared" ref="AA58:AA72" si="50">W58*Y58</f>
        <v>0</v>
      </c>
      <c r="AB58" s="1150">
        <f t="shared" ref="AB58:AB65" si="51">Z58+AA58</f>
        <v>0</v>
      </c>
      <c r="AC58" s="1192">
        <f t="shared" ref="AC58:AD72" si="52">ROUND(Z58/$AF$2,2)</f>
        <v>0</v>
      </c>
      <c r="AD58" s="1192">
        <f t="shared" si="52"/>
        <v>0</v>
      </c>
      <c r="AE58" s="1193">
        <f t="shared" ref="AE58:AE65" si="53">AC58+AD58</f>
        <v>0</v>
      </c>
      <c r="AG58" s="912"/>
      <c r="AH58" s="1052"/>
      <c r="AI58" s="913">
        <f>AG58+AH58</f>
        <v>0</v>
      </c>
      <c r="AJ58" s="904"/>
    </row>
    <row r="59" spans="1:40" ht="49.5" hidden="1" outlineLevel="3" x14ac:dyDescent="0.2">
      <c r="A59" s="1298" t="s">
        <v>283</v>
      </c>
      <c r="B59" s="1188" t="s">
        <v>797</v>
      </c>
      <c r="C59" s="1189" t="s">
        <v>28</v>
      </c>
      <c r="D59" s="1190" t="s">
        <v>158</v>
      </c>
      <c r="E59" s="1189" t="s">
        <v>2</v>
      </c>
      <c r="F59" s="1173">
        <v>34800</v>
      </c>
      <c r="G59" s="1173"/>
      <c r="H59" s="1173">
        <f t="shared" si="48"/>
        <v>34800</v>
      </c>
      <c r="I59" s="1173">
        <v>34800</v>
      </c>
      <c r="J59" s="1173"/>
      <c r="K59" s="1173"/>
      <c r="L59" s="1173"/>
      <c r="M59" s="1150">
        <f>I59+J59+K59+L59</f>
        <v>34800</v>
      </c>
      <c r="N59" s="1191">
        <v>9239.35</v>
      </c>
      <c r="O59" s="1196"/>
      <c r="P59" s="1192"/>
      <c r="Q59" s="1192"/>
      <c r="R59" s="1150">
        <f>N59+O59+P59+Q59</f>
        <v>9239.35</v>
      </c>
      <c r="S59" s="1150">
        <f>H59-M59</f>
        <v>0</v>
      </c>
      <c r="T59" s="1150"/>
      <c r="U59" s="1150"/>
      <c r="V59" s="1150">
        <f t="shared" si="24"/>
        <v>0</v>
      </c>
      <c r="W59" s="1150">
        <f>+S59+V59</f>
        <v>0</v>
      </c>
      <c r="X59" s="1235">
        <v>1</v>
      </c>
      <c r="Y59" s="1235"/>
      <c r="Z59" s="1192">
        <f t="shared" si="49"/>
        <v>0</v>
      </c>
      <c r="AA59" s="1192">
        <f t="shared" si="50"/>
        <v>0</v>
      </c>
      <c r="AB59" s="1150">
        <f t="shared" si="51"/>
        <v>0</v>
      </c>
      <c r="AC59" s="1192">
        <f t="shared" si="52"/>
        <v>0</v>
      </c>
      <c r="AD59" s="1192">
        <f t="shared" si="52"/>
        <v>0</v>
      </c>
      <c r="AE59" s="1193">
        <f t="shared" si="53"/>
        <v>0</v>
      </c>
      <c r="AG59" s="906"/>
      <c r="AH59" s="903"/>
      <c r="AI59" s="907">
        <f>AG59+AH59</f>
        <v>0</v>
      </c>
      <c r="AJ59" s="904"/>
    </row>
    <row r="60" spans="1:40" s="888" customFormat="1" ht="66" hidden="1" outlineLevel="3" x14ac:dyDescent="0.25">
      <c r="A60" s="1298" t="s">
        <v>284</v>
      </c>
      <c r="B60" s="1188" t="s">
        <v>798</v>
      </c>
      <c r="C60" s="1189" t="s">
        <v>36</v>
      </c>
      <c r="D60" s="1190" t="s">
        <v>115</v>
      </c>
      <c r="E60" s="1189" t="s">
        <v>65</v>
      </c>
      <c r="F60" s="1173">
        <v>66591.98</v>
      </c>
      <c r="G60" s="1173"/>
      <c r="H60" s="1173">
        <f t="shared" si="48"/>
        <v>66591.98</v>
      </c>
      <c r="I60" s="1173"/>
      <c r="J60" s="1173"/>
      <c r="K60" s="1173">
        <v>66591.98</v>
      </c>
      <c r="L60" s="1173"/>
      <c r="M60" s="1150">
        <f>I60+J60+K60+L60</f>
        <v>66591.98</v>
      </c>
      <c r="N60" s="1192"/>
      <c r="O60" s="1192"/>
      <c r="P60" s="1191">
        <v>23066.11</v>
      </c>
      <c r="Q60" s="1191"/>
      <c r="R60" s="1150">
        <f>N60+O60+P60+Q60</f>
        <v>23066.11</v>
      </c>
      <c r="S60" s="1150">
        <f>H60-M60</f>
        <v>0</v>
      </c>
      <c r="T60" s="1150"/>
      <c r="U60" s="1150"/>
      <c r="V60" s="1150">
        <f t="shared" si="24"/>
        <v>0</v>
      </c>
      <c r="W60" s="1150">
        <f>+S60+V60</f>
        <v>0</v>
      </c>
      <c r="X60" s="1235"/>
      <c r="Y60" s="1235">
        <v>1</v>
      </c>
      <c r="Z60" s="1192">
        <f t="shared" si="49"/>
        <v>0</v>
      </c>
      <c r="AA60" s="1192">
        <f t="shared" si="50"/>
        <v>0</v>
      </c>
      <c r="AB60" s="1150">
        <f t="shared" si="51"/>
        <v>0</v>
      </c>
      <c r="AC60" s="1192">
        <f t="shared" si="52"/>
        <v>0</v>
      </c>
      <c r="AD60" s="1192">
        <f t="shared" si="52"/>
        <v>0</v>
      </c>
      <c r="AE60" s="1193">
        <f t="shared" si="53"/>
        <v>0</v>
      </c>
      <c r="AF60" s="1064"/>
      <c r="AG60" s="906"/>
      <c r="AH60" s="903"/>
      <c r="AI60" s="907">
        <f>AG60+AH60</f>
        <v>0</v>
      </c>
      <c r="AJ60" s="1065"/>
    </row>
    <row r="61" spans="1:40" ht="30.75" customHeight="1" outlineLevel="2" collapsed="1" x14ac:dyDescent="0.2">
      <c r="A61" s="1296"/>
      <c r="B61" s="1168" t="s">
        <v>676</v>
      </c>
      <c r="C61" s="1169"/>
      <c r="D61" s="1170"/>
      <c r="E61" s="1168"/>
      <c r="F61" s="1171">
        <f t="shared" ref="F61:W61" si="54">SUBTOTAL(9,F62:F65)</f>
        <v>3973064.29</v>
      </c>
      <c r="G61" s="1171">
        <f t="shared" si="54"/>
        <v>0</v>
      </c>
      <c r="H61" s="1171">
        <f t="shared" si="54"/>
        <v>3973064.29</v>
      </c>
      <c r="I61" s="1171">
        <f t="shared" si="54"/>
        <v>230295.73</v>
      </c>
      <c r="J61" s="1171">
        <f t="shared" si="54"/>
        <v>0</v>
      </c>
      <c r="K61" s="1171">
        <f t="shared" si="54"/>
        <v>0</v>
      </c>
      <c r="L61" s="1171">
        <f t="shared" si="54"/>
        <v>0</v>
      </c>
      <c r="M61" s="1171">
        <f t="shared" si="54"/>
        <v>230295.73</v>
      </c>
      <c r="N61" s="1171">
        <f t="shared" si="54"/>
        <v>79492.08</v>
      </c>
      <c r="O61" s="1171">
        <f t="shared" si="54"/>
        <v>0</v>
      </c>
      <c r="P61" s="1171">
        <f t="shared" si="54"/>
        <v>0</v>
      </c>
      <c r="Q61" s="1171">
        <f t="shared" si="54"/>
        <v>0</v>
      </c>
      <c r="R61" s="1171">
        <f t="shared" si="54"/>
        <v>79492.08</v>
      </c>
      <c r="S61" s="1171">
        <f t="shared" si="54"/>
        <v>3742768.56</v>
      </c>
      <c r="T61" s="1171">
        <f t="shared" si="54"/>
        <v>0</v>
      </c>
      <c r="U61" s="1171">
        <f t="shared" si="54"/>
        <v>102311.04389999999</v>
      </c>
      <c r="V61" s="1171">
        <f t="shared" si="54"/>
        <v>102311.04389999999</v>
      </c>
      <c r="W61" s="1171">
        <f t="shared" si="54"/>
        <v>3845079.6039</v>
      </c>
      <c r="X61" s="1230"/>
      <c r="Y61" s="1230"/>
      <c r="Z61" s="1171">
        <f t="shared" ref="Z61:AE61" si="55">SUBTOTAL(9,Z62:Z65)</f>
        <v>3845079.6039</v>
      </c>
      <c r="AA61" s="1171">
        <f t="shared" si="55"/>
        <v>0</v>
      </c>
      <c r="AB61" s="1171">
        <f t="shared" si="55"/>
        <v>3845079.6039</v>
      </c>
      <c r="AC61" s="1171">
        <f t="shared" si="55"/>
        <v>1154678.55</v>
      </c>
      <c r="AD61" s="1171">
        <f t="shared" si="55"/>
        <v>0</v>
      </c>
      <c r="AE61" s="1172">
        <f t="shared" si="55"/>
        <v>1154678.55</v>
      </c>
      <c r="AF61" s="893"/>
      <c r="AG61" s="1087">
        <f>SUBTOTAL(9,AG62:AG65)</f>
        <v>0</v>
      </c>
      <c r="AH61" s="990">
        <f>SUBTOTAL(9,AH62:AH65)</f>
        <v>0</v>
      </c>
      <c r="AI61" s="1088">
        <f>SUBTOTAL(9,AI62:AI65)</f>
        <v>0</v>
      </c>
      <c r="AJ61" s="904"/>
    </row>
    <row r="62" spans="1:40" ht="60" customHeight="1" outlineLevel="3" x14ac:dyDescent="0.2">
      <c r="A62" s="1295" t="s">
        <v>291</v>
      </c>
      <c r="B62" s="1141" t="s">
        <v>799</v>
      </c>
      <c r="C62" s="1189" t="s">
        <v>706</v>
      </c>
      <c r="D62" s="1190" t="s">
        <v>705</v>
      </c>
      <c r="E62" s="1189" t="s">
        <v>704</v>
      </c>
      <c r="F62" s="1173">
        <v>114020</v>
      </c>
      <c r="G62" s="1173"/>
      <c r="H62" s="1173">
        <f t="shared" si="48"/>
        <v>114020</v>
      </c>
      <c r="I62" s="1173">
        <v>20736</v>
      </c>
      <c r="J62" s="1173"/>
      <c r="K62" s="1173"/>
      <c r="L62" s="1173"/>
      <c r="M62" s="1150">
        <f>I62+J62+K62+L62</f>
        <v>20736</v>
      </c>
      <c r="N62" s="1191">
        <v>5993.0599999999995</v>
      </c>
      <c r="O62" s="1196"/>
      <c r="P62" s="1192"/>
      <c r="Q62" s="1192"/>
      <c r="R62" s="1150">
        <f>N62+O62+P62+Q62</f>
        <v>5993.0599999999995</v>
      </c>
      <c r="S62" s="1150">
        <f>H62-M62</f>
        <v>93284</v>
      </c>
      <c r="T62" s="1197"/>
      <c r="U62" s="1197"/>
      <c r="V62" s="1150">
        <f>T62+U62</f>
        <v>0</v>
      </c>
      <c r="W62" s="1284">
        <f>+S62+V62</f>
        <v>93284</v>
      </c>
      <c r="X62" s="1235">
        <v>1</v>
      </c>
      <c r="Y62" s="1235"/>
      <c r="Z62" s="1192">
        <f>W62*X62</f>
        <v>93284</v>
      </c>
      <c r="AA62" s="1192">
        <f>W62*Y62</f>
        <v>0</v>
      </c>
      <c r="AB62" s="1150">
        <f t="shared" si="51"/>
        <v>93284</v>
      </c>
      <c r="AC62" s="1192">
        <f t="shared" si="52"/>
        <v>28013.21</v>
      </c>
      <c r="AD62" s="1192">
        <f t="shared" si="52"/>
        <v>0</v>
      </c>
      <c r="AE62" s="1193">
        <f t="shared" si="53"/>
        <v>28013.21</v>
      </c>
      <c r="AG62" s="908"/>
      <c r="AH62" s="903"/>
      <c r="AI62" s="909"/>
      <c r="AJ62" s="904"/>
    </row>
    <row r="63" spans="1:40" ht="66" outlineLevel="3" x14ac:dyDescent="0.2">
      <c r="A63" s="1295" t="s">
        <v>293</v>
      </c>
      <c r="B63" s="1141" t="s">
        <v>800</v>
      </c>
      <c r="C63" s="1189" t="s">
        <v>440</v>
      </c>
      <c r="D63" s="1190" t="s">
        <v>441</v>
      </c>
      <c r="E63" s="1189" t="s">
        <v>716</v>
      </c>
      <c r="F63" s="1173">
        <v>83030</v>
      </c>
      <c r="G63" s="1173"/>
      <c r="H63" s="1173">
        <f t="shared" si="48"/>
        <v>83030</v>
      </c>
      <c r="I63" s="1173"/>
      <c r="J63" s="1173"/>
      <c r="K63" s="1173"/>
      <c r="L63" s="1173"/>
      <c r="M63" s="1150">
        <f>I63+J63+K63+L63</f>
        <v>0</v>
      </c>
      <c r="N63" s="1191"/>
      <c r="O63" s="1196"/>
      <c r="P63" s="1192"/>
      <c r="Q63" s="1192"/>
      <c r="R63" s="1150">
        <f>N63+O63+P63+Q63</f>
        <v>0</v>
      </c>
      <c r="S63" s="1150">
        <f>H63-M63</f>
        <v>83030</v>
      </c>
      <c r="T63" s="1150"/>
      <c r="U63" s="1150"/>
      <c r="V63" s="1150">
        <f>T63+U63</f>
        <v>0</v>
      </c>
      <c r="W63" s="1150">
        <f>+S63+V63</f>
        <v>83030</v>
      </c>
      <c r="X63" s="1235">
        <v>1</v>
      </c>
      <c r="Y63" s="1235"/>
      <c r="Z63" s="1192">
        <f t="shared" si="49"/>
        <v>83030</v>
      </c>
      <c r="AA63" s="1192">
        <f t="shared" si="50"/>
        <v>0</v>
      </c>
      <c r="AB63" s="1150">
        <f t="shared" si="51"/>
        <v>83030</v>
      </c>
      <c r="AC63" s="1192">
        <f t="shared" si="52"/>
        <v>24933.93</v>
      </c>
      <c r="AD63" s="1192">
        <f t="shared" si="52"/>
        <v>0</v>
      </c>
      <c r="AE63" s="1193">
        <f t="shared" si="53"/>
        <v>24933.93</v>
      </c>
      <c r="AG63" s="908"/>
      <c r="AH63" s="903"/>
      <c r="AI63" s="909"/>
      <c r="AJ63" s="904"/>
    </row>
    <row r="64" spans="1:40" ht="88.5" customHeight="1" outlineLevel="3" x14ac:dyDescent="0.2">
      <c r="A64" s="1295" t="s">
        <v>286</v>
      </c>
      <c r="B64" s="915" t="s">
        <v>846</v>
      </c>
      <c r="C64" s="1142" t="s">
        <v>725</v>
      </c>
      <c r="D64" s="1143" t="s">
        <v>728</v>
      </c>
      <c r="E64" s="1142"/>
      <c r="F64" s="1144">
        <v>3410368.13</v>
      </c>
      <c r="G64" s="1144"/>
      <c r="H64" s="1144">
        <f>F64+G64</f>
        <v>3410368.13</v>
      </c>
      <c r="I64" s="1144"/>
      <c r="J64" s="1144"/>
      <c r="K64" s="1144"/>
      <c r="L64" s="1144"/>
      <c r="M64" s="1151">
        <f>I64+J64+K64+L64</f>
        <v>0</v>
      </c>
      <c r="N64" s="1155"/>
      <c r="O64" s="1149"/>
      <c r="P64" s="1145"/>
      <c r="Q64" s="1145"/>
      <c r="R64" s="1150">
        <f>N64+O64+P64+Q64</f>
        <v>0</v>
      </c>
      <c r="S64" s="1150">
        <f>H64-M64</f>
        <v>3410368.13</v>
      </c>
      <c r="T64" s="1176"/>
      <c r="U64" s="1176">
        <f>S64*0.03</f>
        <v>102311.04389999999</v>
      </c>
      <c r="V64" s="1151">
        <f>T64+U64</f>
        <v>102311.04389999999</v>
      </c>
      <c r="W64" s="1150">
        <f>+S64+V64</f>
        <v>3512679.1738999998</v>
      </c>
      <c r="X64" s="1228">
        <v>1</v>
      </c>
      <c r="Y64" s="1228"/>
      <c r="Z64" s="1192">
        <f>W64*X64</f>
        <v>3512679.1738999998</v>
      </c>
      <c r="AA64" s="1192">
        <f>W64*Y64</f>
        <v>0</v>
      </c>
      <c r="AB64" s="1150">
        <f>Z64+AA64</f>
        <v>3512679.1738999998</v>
      </c>
      <c r="AC64" s="1145">
        <f>ROUND(Z64/$AF$2,2)</f>
        <v>1054858.6100000001</v>
      </c>
      <c r="AD64" s="1145">
        <f>ROUND(AA64/$AF$2,2)</f>
        <v>0</v>
      </c>
      <c r="AE64" s="1152">
        <f>AC64+AD64</f>
        <v>1054858.6100000001</v>
      </c>
      <c r="AG64" s="908"/>
      <c r="AH64" s="903"/>
      <c r="AI64" s="909"/>
      <c r="AJ64" s="904"/>
    </row>
    <row r="65" spans="1:38" ht="150.75" customHeight="1" outlineLevel="3" x14ac:dyDescent="0.2">
      <c r="A65" s="1298" t="s">
        <v>285</v>
      </c>
      <c r="B65" s="940" t="s">
        <v>847</v>
      </c>
      <c r="C65" s="1189" t="s">
        <v>34</v>
      </c>
      <c r="D65" s="1190" t="s">
        <v>138</v>
      </c>
      <c r="E65" s="1189" t="s">
        <v>139</v>
      </c>
      <c r="F65" s="1173">
        <v>365646.16</v>
      </c>
      <c r="G65" s="1173"/>
      <c r="H65" s="1173">
        <f t="shared" si="48"/>
        <v>365646.16</v>
      </c>
      <c r="I65" s="1173">
        <v>209559.73</v>
      </c>
      <c r="J65" s="1173"/>
      <c r="K65" s="1173"/>
      <c r="L65" s="1173"/>
      <c r="M65" s="1150">
        <f>I65+J65+K65+L65</f>
        <v>209559.73</v>
      </c>
      <c r="N65" s="1191">
        <v>73499.02</v>
      </c>
      <c r="O65" s="1196"/>
      <c r="P65" s="1192"/>
      <c r="Q65" s="1192"/>
      <c r="R65" s="1150">
        <f>N65+O65+P65+Q65</f>
        <v>73499.02</v>
      </c>
      <c r="S65" s="1150">
        <f>H65-M65</f>
        <v>156086.42999999996</v>
      </c>
      <c r="T65" s="1150"/>
      <c r="U65" s="1150"/>
      <c r="V65" s="1150">
        <f>T65+U65</f>
        <v>0</v>
      </c>
      <c r="W65" s="1150">
        <f>+S65+V65</f>
        <v>156086.42999999996</v>
      </c>
      <c r="X65" s="1235">
        <v>1</v>
      </c>
      <c r="Y65" s="1235"/>
      <c r="Z65" s="1192">
        <f t="shared" si="49"/>
        <v>156086.42999999996</v>
      </c>
      <c r="AA65" s="1192">
        <f t="shared" si="50"/>
        <v>0</v>
      </c>
      <c r="AB65" s="1150">
        <f t="shared" si="51"/>
        <v>156086.42999999996</v>
      </c>
      <c r="AC65" s="1192">
        <f t="shared" si="52"/>
        <v>46872.800000000003</v>
      </c>
      <c r="AD65" s="1192">
        <f t="shared" si="52"/>
        <v>0</v>
      </c>
      <c r="AE65" s="1193">
        <f t="shared" si="53"/>
        <v>46872.800000000003</v>
      </c>
      <c r="AG65" s="906"/>
      <c r="AH65" s="903"/>
      <c r="AI65" s="907">
        <f>AG65+AH65</f>
        <v>0</v>
      </c>
      <c r="AJ65" s="904"/>
    </row>
    <row r="66" spans="1:38" ht="23.25" customHeight="1" outlineLevel="2" x14ac:dyDescent="0.2">
      <c r="A66" s="1297"/>
      <c r="B66" s="1178" t="s">
        <v>710</v>
      </c>
      <c r="C66" s="1179"/>
      <c r="D66" s="1180"/>
      <c r="E66" s="1179"/>
      <c r="F66" s="1181">
        <f t="shared" ref="F66:W66" si="56">SUBTOTAL(9,F67:F72)</f>
        <v>0</v>
      </c>
      <c r="G66" s="1181">
        <f t="shared" si="56"/>
        <v>0</v>
      </c>
      <c r="H66" s="1181">
        <f t="shared" si="56"/>
        <v>0</v>
      </c>
      <c r="I66" s="1181">
        <f t="shared" si="56"/>
        <v>0</v>
      </c>
      <c r="J66" s="1181">
        <f t="shared" si="56"/>
        <v>0</v>
      </c>
      <c r="K66" s="1181">
        <f t="shared" si="56"/>
        <v>0</v>
      </c>
      <c r="L66" s="1181">
        <f t="shared" si="56"/>
        <v>0</v>
      </c>
      <c r="M66" s="1181">
        <f t="shared" si="56"/>
        <v>0</v>
      </c>
      <c r="N66" s="1181">
        <f t="shared" si="56"/>
        <v>0</v>
      </c>
      <c r="O66" s="1181">
        <f t="shared" si="56"/>
        <v>0</v>
      </c>
      <c r="P66" s="1181">
        <f t="shared" si="56"/>
        <v>0</v>
      </c>
      <c r="Q66" s="1181">
        <f t="shared" si="56"/>
        <v>0</v>
      </c>
      <c r="R66" s="1181">
        <f t="shared" si="56"/>
        <v>0</v>
      </c>
      <c r="S66" s="1182">
        <f t="shared" si="56"/>
        <v>13991820.604605641</v>
      </c>
      <c r="T66" s="1182">
        <f t="shared" si="56"/>
        <v>0</v>
      </c>
      <c r="U66" s="1182">
        <f t="shared" si="56"/>
        <v>0</v>
      </c>
      <c r="V66" s="1182">
        <f t="shared" si="56"/>
        <v>0</v>
      </c>
      <c r="W66" s="1182">
        <f t="shared" si="56"/>
        <v>13991820.604605641</v>
      </c>
      <c r="X66" s="1232"/>
      <c r="Y66" s="1232"/>
      <c r="Z66" s="1182">
        <f t="shared" ref="Z66:AE66" si="57">SUBTOTAL(9,Z67:Z72)</f>
        <v>13991820.604605641</v>
      </c>
      <c r="AA66" s="1182">
        <f t="shared" si="57"/>
        <v>0</v>
      </c>
      <c r="AB66" s="1182">
        <f t="shared" si="57"/>
        <v>13991820.604605641</v>
      </c>
      <c r="AC66" s="1182">
        <f t="shared" si="57"/>
        <v>4201747.93</v>
      </c>
      <c r="AD66" s="1182">
        <f t="shared" si="57"/>
        <v>0</v>
      </c>
      <c r="AE66" s="1183">
        <f t="shared" si="57"/>
        <v>4201747.93</v>
      </c>
      <c r="AF66" s="981"/>
      <c r="AG66" s="1089">
        <f>SUBTOTAL(9,AG67:AG72)</f>
        <v>4201747.9293110035</v>
      </c>
      <c r="AH66" s="991">
        <f>SUBTOTAL(9,AH67:AH72)</f>
        <v>0</v>
      </c>
      <c r="AI66" s="1090">
        <f>SUBTOTAL(9,AI67:AI72)</f>
        <v>4201747.9293110035</v>
      </c>
      <c r="AJ66" s="904"/>
    </row>
    <row r="67" spans="1:38" ht="49.5" outlineLevel="3" x14ac:dyDescent="0.2">
      <c r="A67" s="1295" t="s">
        <v>287</v>
      </c>
      <c r="B67" s="1188" t="s">
        <v>297</v>
      </c>
      <c r="C67" s="1142"/>
      <c r="D67" s="1143"/>
      <c r="E67" s="1142"/>
      <c r="F67" s="1144"/>
      <c r="G67" s="1144"/>
      <c r="H67" s="1144">
        <f t="shared" ref="H67:H72" si="58">F67+G67</f>
        <v>0</v>
      </c>
      <c r="I67" s="1144"/>
      <c r="J67" s="1144"/>
      <c r="K67" s="1144"/>
      <c r="L67" s="1144"/>
      <c r="M67" s="1151">
        <f t="shared" ref="M67:M72" si="59">I67+J67+K67+L67</f>
        <v>0</v>
      </c>
      <c r="N67" s="1155"/>
      <c r="O67" s="1149"/>
      <c r="P67" s="1145"/>
      <c r="Q67" s="1145"/>
      <c r="R67" s="1150">
        <f t="shared" ref="R67:R72" si="60">N67+O67+P67+Q67</f>
        <v>0</v>
      </c>
      <c r="S67" s="1197">
        <f t="shared" ref="S67:S72" si="61">AI67*$AF$2</f>
        <v>9418200</v>
      </c>
      <c r="T67" s="1176"/>
      <c r="U67" s="1176"/>
      <c r="V67" s="1151">
        <f t="shared" si="24"/>
        <v>0</v>
      </c>
      <c r="W67" s="1150">
        <f t="shared" ref="W67:W72" si="62">+S67+V67</f>
        <v>9418200</v>
      </c>
      <c r="X67" s="1228">
        <v>1</v>
      </c>
      <c r="Y67" s="1228"/>
      <c r="Z67" s="1145">
        <f t="shared" si="49"/>
        <v>9418200</v>
      </c>
      <c r="AA67" s="1145">
        <f t="shared" si="50"/>
        <v>0</v>
      </c>
      <c r="AB67" s="1151">
        <f t="shared" ref="AB67:AB72" si="63">Z67+AA67</f>
        <v>9418200</v>
      </c>
      <c r="AC67" s="1145">
        <f t="shared" si="52"/>
        <v>2828288.29</v>
      </c>
      <c r="AD67" s="1145">
        <f t="shared" si="52"/>
        <v>0</v>
      </c>
      <c r="AE67" s="1152">
        <f t="shared" ref="AE67:AE72" si="64">AC67+AD67</f>
        <v>2828288.29</v>
      </c>
      <c r="AG67" s="921">
        <f>AI67*X67</f>
        <v>2828288.2882882883</v>
      </c>
      <c r="AH67" s="903"/>
      <c r="AI67" s="922">
        <f>9418200/AF2</f>
        <v>2828288.2882882883</v>
      </c>
      <c r="AJ67" s="1559"/>
    </row>
    <row r="68" spans="1:38" ht="33" outlineLevel="3" x14ac:dyDescent="0.2">
      <c r="A68" s="1295" t="s">
        <v>288</v>
      </c>
      <c r="B68" s="1141" t="s">
        <v>298</v>
      </c>
      <c r="C68" s="1142"/>
      <c r="D68" s="1143"/>
      <c r="E68" s="1142"/>
      <c r="F68" s="1144"/>
      <c r="G68" s="1144"/>
      <c r="H68" s="1144">
        <f t="shared" si="58"/>
        <v>0</v>
      </c>
      <c r="I68" s="1144"/>
      <c r="J68" s="1144"/>
      <c r="K68" s="1144"/>
      <c r="L68" s="1144"/>
      <c r="M68" s="1151">
        <f t="shared" si="59"/>
        <v>0</v>
      </c>
      <c r="N68" s="1155"/>
      <c r="O68" s="1149"/>
      <c r="P68" s="1145"/>
      <c r="Q68" s="1145"/>
      <c r="R68" s="1150">
        <f t="shared" si="60"/>
        <v>0</v>
      </c>
      <c r="S68" s="1197">
        <f t="shared" si="61"/>
        <v>2859396.9139999999</v>
      </c>
      <c r="T68" s="1176"/>
      <c r="U68" s="1176"/>
      <c r="V68" s="1151">
        <f t="shared" si="24"/>
        <v>0</v>
      </c>
      <c r="W68" s="1150">
        <f t="shared" si="62"/>
        <v>2859396.9139999999</v>
      </c>
      <c r="X68" s="1228">
        <v>1</v>
      </c>
      <c r="Y68" s="1228"/>
      <c r="Z68" s="1145">
        <f t="shared" si="49"/>
        <v>2859396.9139999999</v>
      </c>
      <c r="AA68" s="1145">
        <f t="shared" si="50"/>
        <v>0</v>
      </c>
      <c r="AB68" s="1151">
        <f t="shared" si="63"/>
        <v>2859396.9139999999</v>
      </c>
      <c r="AC68" s="1145">
        <f t="shared" si="52"/>
        <v>858677.75</v>
      </c>
      <c r="AD68" s="1145">
        <f t="shared" si="52"/>
        <v>0</v>
      </c>
      <c r="AE68" s="1152">
        <f t="shared" si="64"/>
        <v>858677.75</v>
      </c>
      <c r="AG68" s="921">
        <f>X67*AI68</f>
        <v>858677.75195195188</v>
      </c>
      <c r="AH68" s="903">
        <f>Y67*AI68</f>
        <v>0</v>
      </c>
      <c r="AI68" s="922">
        <f>2859396.914/AF2</f>
        <v>858677.75195195188</v>
      </c>
      <c r="AJ68" s="1559"/>
    </row>
    <row r="69" spans="1:38" ht="33" outlineLevel="3" x14ac:dyDescent="0.2">
      <c r="A69" s="1295" t="s">
        <v>289</v>
      </c>
      <c r="B69" s="1141" t="s">
        <v>299</v>
      </c>
      <c r="C69" s="1142"/>
      <c r="D69" s="1143"/>
      <c r="E69" s="1142"/>
      <c r="F69" s="1144"/>
      <c r="G69" s="1144"/>
      <c r="H69" s="1144">
        <f t="shared" si="58"/>
        <v>0</v>
      </c>
      <c r="I69" s="1144"/>
      <c r="J69" s="1144"/>
      <c r="K69" s="1144"/>
      <c r="L69" s="1144"/>
      <c r="M69" s="1151">
        <f t="shared" si="59"/>
        <v>0</v>
      </c>
      <c r="N69" s="1155"/>
      <c r="O69" s="1149"/>
      <c r="P69" s="1145"/>
      <c r="Q69" s="1145"/>
      <c r="R69" s="1150">
        <f t="shared" si="60"/>
        <v>0</v>
      </c>
      <c r="S69" s="1197">
        <f t="shared" si="61"/>
        <v>922983.6</v>
      </c>
      <c r="T69" s="1176"/>
      <c r="U69" s="1176"/>
      <c r="V69" s="1151">
        <f t="shared" si="24"/>
        <v>0</v>
      </c>
      <c r="W69" s="1150">
        <f t="shared" si="62"/>
        <v>922983.6</v>
      </c>
      <c r="X69" s="1228">
        <v>1</v>
      </c>
      <c r="Y69" s="1228"/>
      <c r="Z69" s="1145">
        <f t="shared" si="49"/>
        <v>922983.6</v>
      </c>
      <c r="AA69" s="1145">
        <f t="shared" si="50"/>
        <v>0</v>
      </c>
      <c r="AB69" s="1151">
        <f t="shared" si="63"/>
        <v>922983.6</v>
      </c>
      <c r="AC69" s="1145">
        <f t="shared" si="52"/>
        <v>277172.25</v>
      </c>
      <c r="AD69" s="1145">
        <f t="shared" si="52"/>
        <v>0</v>
      </c>
      <c r="AE69" s="1152">
        <f t="shared" si="64"/>
        <v>277172.25</v>
      </c>
      <c r="AG69" s="921">
        <f>X68*AI69</f>
        <v>277172.25225225225</v>
      </c>
      <c r="AH69" s="903">
        <f>Y68*AI69</f>
        <v>0</v>
      </c>
      <c r="AI69" s="922">
        <f>922983.6/AF2</f>
        <v>277172.25225225225</v>
      </c>
      <c r="AJ69" s="1559"/>
    </row>
    <row r="70" spans="1:38" ht="16.5" outlineLevel="3" x14ac:dyDescent="0.2">
      <c r="A70" s="1295" t="s">
        <v>290</v>
      </c>
      <c r="B70" s="1141" t="s">
        <v>300</v>
      </c>
      <c r="C70" s="1142"/>
      <c r="D70" s="1143"/>
      <c r="E70" s="1142"/>
      <c r="F70" s="1144"/>
      <c r="G70" s="1144"/>
      <c r="H70" s="1144">
        <f t="shared" si="58"/>
        <v>0</v>
      </c>
      <c r="I70" s="1144"/>
      <c r="J70" s="1144"/>
      <c r="K70" s="1144"/>
      <c r="L70" s="1144"/>
      <c r="M70" s="1151">
        <f t="shared" si="59"/>
        <v>0</v>
      </c>
      <c r="N70" s="1155"/>
      <c r="O70" s="1149"/>
      <c r="P70" s="1145"/>
      <c r="Q70" s="1145"/>
      <c r="R70" s="1150">
        <f t="shared" si="60"/>
        <v>0</v>
      </c>
      <c r="S70" s="1197">
        <f t="shared" si="61"/>
        <v>333000</v>
      </c>
      <c r="T70" s="1176"/>
      <c r="U70" s="1176"/>
      <c r="V70" s="1151">
        <f t="shared" si="24"/>
        <v>0</v>
      </c>
      <c r="W70" s="1150">
        <f t="shared" si="62"/>
        <v>333000</v>
      </c>
      <c r="X70" s="1228">
        <v>1</v>
      </c>
      <c r="Y70" s="1228"/>
      <c r="Z70" s="1145">
        <f t="shared" si="49"/>
        <v>333000</v>
      </c>
      <c r="AA70" s="1145">
        <f t="shared" si="50"/>
        <v>0</v>
      </c>
      <c r="AB70" s="1151">
        <f t="shared" si="63"/>
        <v>333000</v>
      </c>
      <c r="AC70" s="1145">
        <f t="shared" si="52"/>
        <v>100000</v>
      </c>
      <c r="AD70" s="1145">
        <f t="shared" si="52"/>
        <v>0</v>
      </c>
      <c r="AE70" s="1152">
        <f t="shared" si="64"/>
        <v>100000</v>
      </c>
      <c r="AG70" s="921">
        <f>X69*AI70</f>
        <v>100000</v>
      </c>
      <c r="AH70" s="903">
        <f>Y69*AI70</f>
        <v>0</v>
      </c>
      <c r="AI70" s="922">
        <v>100000</v>
      </c>
      <c r="AJ70" s="904"/>
    </row>
    <row r="71" spans="1:38" ht="33" outlineLevel="3" x14ac:dyDescent="0.2">
      <c r="A71" s="1295" t="s">
        <v>292</v>
      </c>
      <c r="B71" s="1141" t="s">
        <v>302</v>
      </c>
      <c r="C71" s="1142"/>
      <c r="D71" s="1143"/>
      <c r="E71" s="1142"/>
      <c r="F71" s="1144"/>
      <c r="G71" s="1144"/>
      <c r="H71" s="1144">
        <f t="shared" si="58"/>
        <v>0</v>
      </c>
      <c r="I71" s="1144"/>
      <c r="J71" s="1144"/>
      <c r="K71" s="1144"/>
      <c r="L71" s="1144"/>
      <c r="M71" s="1151">
        <f t="shared" si="59"/>
        <v>0</v>
      </c>
      <c r="N71" s="1155"/>
      <c r="O71" s="1149"/>
      <c r="P71" s="1145"/>
      <c r="Q71" s="1145"/>
      <c r="R71" s="1150">
        <f t="shared" si="60"/>
        <v>0</v>
      </c>
      <c r="S71" s="1197">
        <f t="shared" si="61"/>
        <v>199800</v>
      </c>
      <c r="T71" s="1176"/>
      <c r="U71" s="1176"/>
      <c r="V71" s="1151">
        <f t="shared" si="24"/>
        <v>0</v>
      </c>
      <c r="W71" s="1150">
        <f t="shared" si="62"/>
        <v>199800</v>
      </c>
      <c r="X71" s="1228">
        <v>1</v>
      </c>
      <c r="Y71" s="1228"/>
      <c r="Z71" s="1145">
        <f t="shared" si="49"/>
        <v>199800</v>
      </c>
      <c r="AA71" s="1145">
        <f t="shared" si="50"/>
        <v>0</v>
      </c>
      <c r="AB71" s="1151">
        <f t="shared" si="63"/>
        <v>199800</v>
      </c>
      <c r="AC71" s="1145">
        <f t="shared" si="52"/>
        <v>60000</v>
      </c>
      <c r="AD71" s="1145">
        <f t="shared" si="52"/>
        <v>0</v>
      </c>
      <c r="AE71" s="1152">
        <f t="shared" si="64"/>
        <v>60000</v>
      </c>
      <c r="AG71" s="921">
        <f>X62*AI71</f>
        <v>60000</v>
      </c>
      <c r="AH71" s="903">
        <f>Y62*AI71</f>
        <v>0</v>
      </c>
      <c r="AI71" s="922">
        <v>60000</v>
      </c>
      <c r="AJ71" s="904"/>
    </row>
    <row r="72" spans="1:38" ht="33" outlineLevel="3" x14ac:dyDescent="0.2">
      <c r="A72" s="1295" t="s">
        <v>294</v>
      </c>
      <c r="B72" s="1141" t="s">
        <v>304</v>
      </c>
      <c r="C72" s="1142"/>
      <c r="D72" s="1143"/>
      <c r="E72" s="1142"/>
      <c r="F72" s="1144"/>
      <c r="G72" s="1144"/>
      <c r="H72" s="1144">
        <f t="shared" si="58"/>
        <v>0</v>
      </c>
      <c r="I72" s="1144"/>
      <c r="J72" s="1144"/>
      <c r="K72" s="1144"/>
      <c r="L72" s="1144"/>
      <c r="M72" s="1151">
        <f t="shared" si="59"/>
        <v>0</v>
      </c>
      <c r="N72" s="1155"/>
      <c r="O72" s="1149"/>
      <c r="P72" s="1145"/>
      <c r="Q72" s="1145"/>
      <c r="R72" s="1150">
        <f t="shared" si="60"/>
        <v>0</v>
      </c>
      <c r="S72" s="1197">
        <f t="shared" si="61"/>
        <v>258440.09060564096</v>
      </c>
      <c r="T72" s="1176"/>
      <c r="U72" s="1176"/>
      <c r="V72" s="1151">
        <f t="shared" si="24"/>
        <v>0</v>
      </c>
      <c r="W72" s="1150">
        <f t="shared" si="62"/>
        <v>258440.09060564096</v>
      </c>
      <c r="X72" s="1228">
        <v>1</v>
      </c>
      <c r="Y72" s="1228"/>
      <c r="Z72" s="1145">
        <f t="shared" si="49"/>
        <v>258440.09060564096</v>
      </c>
      <c r="AA72" s="1145">
        <f t="shared" si="50"/>
        <v>0</v>
      </c>
      <c r="AB72" s="1151">
        <f t="shared" si="63"/>
        <v>258440.09060564096</v>
      </c>
      <c r="AC72" s="1145">
        <f t="shared" si="52"/>
        <v>77609.64</v>
      </c>
      <c r="AD72" s="1145">
        <f t="shared" si="52"/>
        <v>0</v>
      </c>
      <c r="AE72" s="1152">
        <f t="shared" si="64"/>
        <v>77609.64</v>
      </c>
      <c r="AG72" s="921">
        <f>X63*AI72</f>
        <v>77609.6368185108</v>
      </c>
      <c r="AH72" s="903">
        <f>Y63*AI72</f>
        <v>0</v>
      </c>
      <c r="AI72" s="922">
        <f>258440.090605641/AF2</f>
        <v>77609.6368185108</v>
      </c>
      <c r="AJ72" s="904"/>
    </row>
    <row r="73" spans="1:38" ht="16.5" outlineLevel="1" x14ac:dyDescent="0.2">
      <c r="A73" s="1295"/>
      <c r="B73" s="1198" t="s">
        <v>203</v>
      </c>
      <c r="C73" s="1199"/>
      <c r="D73" s="1200"/>
      <c r="E73" s="1199"/>
      <c r="F73" s="1201">
        <f t="shared" ref="F73:W73" si="65">F74+F109</f>
        <v>575487111.98000002</v>
      </c>
      <c r="G73" s="1201">
        <f t="shared" si="65"/>
        <v>45220541.399999999</v>
      </c>
      <c r="H73" s="1201">
        <f t="shared" si="65"/>
        <v>620707653.38</v>
      </c>
      <c r="I73" s="1201">
        <f t="shared" si="65"/>
        <v>375005086.51999992</v>
      </c>
      <c r="J73" s="1201">
        <f t="shared" si="65"/>
        <v>45249386.419999994</v>
      </c>
      <c r="K73" s="1201">
        <f t="shared" si="65"/>
        <v>2995599.45</v>
      </c>
      <c r="L73" s="1201">
        <f t="shared" si="65"/>
        <v>0</v>
      </c>
      <c r="M73" s="1201">
        <f t="shared" si="65"/>
        <v>423250072.38999993</v>
      </c>
      <c r="N73" s="1201">
        <f t="shared" si="65"/>
        <v>147440273.67000002</v>
      </c>
      <c r="O73" s="1201">
        <f t="shared" si="65"/>
        <v>14712893.989999995</v>
      </c>
      <c r="P73" s="1201">
        <f t="shared" si="65"/>
        <v>1024826.48</v>
      </c>
      <c r="Q73" s="1201">
        <f t="shared" si="65"/>
        <v>0</v>
      </c>
      <c r="R73" s="1201">
        <f t="shared" si="65"/>
        <v>163177994.13999999</v>
      </c>
      <c r="S73" s="1201">
        <f t="shared" si="65"/>
        <v>283293964.00050688</v>
      </c>
      <c r="T73" s="1201">
        <f t="shared" si="65"/>
        <v>70805598.362555563</v>
      </c>
      <c r="U73" s="1201">
        <f t="shared" si="65"/>
        <v>52959947.184555553</v>
      </c>
      <c r="V73" s="1201">
        <f t="shared" si="65"/>
        <v>123765545.54711112</v>
      </c>
      <c r="W73" s="1201">
        <f t="shared" si="65"/>
        <v>407059509.54761797</v>
      </c>
      <c r="X73" s="1239"/>
      <c r="Y73" s="1239"/>
      <c r="Z73" s="1201">
        <f t="shared" ref="Z73:AE73" si="66">Z74+Z109</f>
        <v>244665716.53311795</v>
      </c>
      <c r="AA73" s="1201">
        <f t="shared" si="66"/>
        <v>162393793.01450005</v>
      </c>
      <c r="AB73" s="1201">
        <f t="shared" si="66"/>
        <v>407059509.54761797</v>
      </c>
      <c r="AC73" s="1201">
        <f t="shared" si="66"/>
        <v>73473188.170000017</v>
      </c>
      <c r="AD73" s="1201">
        <f t="shared" si="66"/>
        <v>48766904.799999997</v>
      </c>
      <c r="AE73" s="1202">
        <f t="shared" si="66"/>
        <v>122240092.97000001</v>
      </c>
      <c r="AG73" s="931">
        <f>AG74+AG109</f>
        <v>49679376.248200268</v>
      </c>
      <c r="AH73" s="1057">
        <f>AH74+AH109</f>
        <v>13606555.875075076</v>
      </c>
      <c r="AI73" s="1091">
        <f>AI74+AI109</f>
        <v>74564392.12327534</v>
      </c>
      <c r="AJ73" s="698">
        <v>42514701.415841714</v>
      </c>
      <c r="AK73" s="698">
        <v>15103863.646995649</v>
      </c>
      <c r="AL73" s="698">
        <v>57618565.062837362</v>
      </c>
    </row>
    <row r="74" spans="1:38" ht="28.5" customHeight="1" outlineLevel="1" x14ac:dyDescent="0.2">
      <c r="A74" s="1295"/>
      <c r="B74" s="1198" t="s">
        <v>204</v>
      </c>
      <c r="C74" s="1199"/>
      <c r="D74" s="1200"/>
      <c r="E74" s="1199"/>
      <c r="F74" s="1203">
        <f t="shared" ref="F74:W74" si="67">F75+F100</f>
        <v>552553182.51999998</v>
      </c>
      <c r="G74" s="1203">
        <f t="shared" si="67"/>
        <v>45110245.909999996</v>
      </c>
      <c r="H74" s="1203">
        <f t="shared" si="67"/>
        <v>597663428.42999995</v>
      </c>
      <c r="I74" s="1203">
        <f t="shared" si="67"/>
        <v>362738489.31999993</v>
      </c>
      <c r="J74" s="1203">
        <f t="shared" si="67"/>
        <v>45110245.909999996</v>
      </c>
      <c r="K74" s="1203">
        <f t="shared" si="67"/>
        <v>2995599.45</v>
      </c>
      <c r="L74" s="1203">
        <f t="shared" si="67"/>
        <v>0</v>
      </c>
      <c r="M74" s="1203">
        <f t="shared" si="67"/>
        <v>410844334.67999995</v>
      </c>
      <c r="N74" s="1203">
        <f t="shared" si="67"/>
        <v>143885218.77000001</v>
      </c>
      <c r="O74" s="1203">
        <f t="shared" si="67"/>
        <v>14673247.039999995</v>
      </c>
      <c r="P74" s="1203">
        <f t="shared" si="67"/>
        <v>1024826.48</v>
      </c>
      <c r="Q74" s="1203">
        <f t="shared" si="67"/>
        <v>0</v>
      </c>
      <c r="R74" s="1203">
        <f t="shared" si="67"/>
        <v>159583292.28999999</v>
      </c>
      <c r="S74" s="1203">
        <f t="shared" si="67"/>
        <v>268061216.76050687</v>
      </c>
      <c r="T74" s="1203">
        <f t="shared" si="67"/>
        <v>67243824.657000005</v>
      </c>
      <c r="U74" s="1203">
        <f t="shared" si="67"/>
        <v>52619947.413999997</v>
      </c>
      <c r="V74" s="1203">
        <f t="shared" si="67"/>
        <v>119863772.07100001</v>
      </c>
      <c r="W74" s="1203">
        <f t="shared" si="67"/>
        <v>387924988.83150685</v>
      </c>
      <c r="X74" s="1240"/>
      <c r="Y74" s="1240"/>
      <c r="Z74" s="1203">
        <f t="shared" ref="Z74:AE74" si="68">Z75+Z100</f>
        <v>225531195.81700683</v>
      </c>
      <c r="AA74" s="1203">
        <f t="shared" si="68"/>
        <v>162393793.01450005</v>
      </c>
      <c r="AB74" s="1203">
        <f t="shared" si="68"/>
        <v>387924988.83150685</v>
      </c>
      <c r="AC74" s="1203">
        <f t="shared" si="68"/>
        <v>67727085.830000013</v>
      </c>
      <c r="AD74" s="1203">
        <f t="shared" si="68"/>
        <v>48766904.799999997</v>
      </c>
      <c r="AE74" s="1204">
        <f t="shared" si="68"/>
        <v>116493990.63000001</v>
      </c>
      <c r="AF74" s="893"/>
      <c r="AG74" s="927">
        <f>AG75+AG100</f>
        <v>48299718.590542607</v>
      </c>
      <c r="AH74" s="942">
        <f>AH75+AH100</f>
        <v>13606555.875075076</v>
      </c>
      <c r="AI74" s="1092">
        <f>AI75+AI100</f>
        <v>73184734.465617687</v>
      </c>
      <c r="AJ74" s="763">
        <f>+AG73-AJ73</f>
        <v>7164674.832358554</v>
      </c>
      <c r="AK74" s="763">
        <f>+AH73-AK73</f>
        <v>-1497307.771920573</v>
      </c>
      <c r="AL74" s="763">
        <f>+AI73-AL73</f>
        <v>16945827.060437977</v>
      </c>
    </row>
    <row r="75" spans="1:38" ht="16.5" outlineLevel="1" x14ac:dyDescent="0.2">
      <c r="A75" s="1299"/>
      <c r="B75" s="1205" t="s">
        <v>524</v>
      </c>
      <c r="C75" s="1206"/>
      <c r="D75" s="1207"/>
      <c r="E75" s="1206"/>
      <c r="F75" s="1208">
        <f t="shared" ref="F75:W75" si="69">+F76+F81+F88</f>
        <v>410272786.81999999</v>
      </c>
      <c r="G75" s="1208">
        <f t="shared" si="69"/>
        <v>45110245.909999996</v>
      </c>
      <c r="H75" s="1208">
        <f t="shared" si="69"/>
        <v>455383032.72999996</v>
      </c>
      <c r="I75" s="1208">
        <f t="shared" si="69"/>
        <v>223453693.06999999</v>
      </c>
      <c r="J75" s="1208">
        <f t="shared" si="69"/>
        <v>45110245.909999996</v>
      </c>
      <c r="K75" s="1208">
        <f t="shared" si="69"/>
        <v>0</v>
      </c>
      <c r="L75" s="1208">
        <f t="shared" si="69"/>
        <v>0</v>
      </c>
      <c r="M75" s="1208">
        <f t="shared" si="69"/>
        <v>268563938.98000002</v>
      </c>
      <c r="N75" s="1208">
        <f t="shared" si="69"/>
        <v>81781797.780000001</v>
      </c>
      <c r="O75" s="1208">
        <f t="shared" si="69"/>
        <v>14673247.039999995</v>
      </c>
      <c r="P75" s="1208">
        <f t="shared" si="69"/>
        <v>0</v>
      </c>
      <c r="Q75" s="1208">
        <f t="shared" si="69"/>
        <v>0</v>
      </c>
      <c r="R75" s="1208">
        <f t="shared" si="69"/>
        <v>96455044.819999993</v>
      </c>
      <c r="S75" s="1208">
        <f t="shared" si="69"/>
        <v>268061216.76050687</v>
      </c>
      <c r="T75" s="1208">
        <f t="shared" si="69"/>
        <v>37614050.455000006</v>
      </c>
      <c r="U75" s="1208">
        <f t="shared" si="69"/>
        <v>52619947.413999997</v>
      </c>
      <c r="V75" s="1208">
        <f t="shared" si="69"/>
        <v>90233997.869000003</v>
      </c>
      <c r="W75" s="1208">
        <f t="shared" si="69"/>
        <v>358295214.62950683</v>
      </c>
      <c r="X75" s="1241"/>
      <c r="Y75" s="1241"/>
      <c r="Z75" s="1209">
        <f t="shared" ref="Z75:AE75" si="70">+Z76+Z81+Z88</f>
        <v>205895587.70500684</v>
      </c>
      <c r="AA75" s="1209">
        <f t="shared" si="70"/>
        <v>152399626.92450005</v>
      </c>
      <c r="AB75" s="1209">
        <f t="shared" si="70"/>
        <v>358295214.62950683</v>
      </c>
      <c r="AC75" s="1209">
        <f t="shared" si="70"/>
        <v>61830506.820000008</v>
      </c>
      <c r="AD75" s="1209">
        <f t="shared" si="70"/>
        <v>45765653.729999997</v>
      </c>
      <c r="AE75" s="1210">
        <f t="shared" si="70"/>
        <v>107596160.55000001</v>
      </c>
      <c r="AF75" s="665"/>
      <c r="AG75" s="995">
        <f>+AG76+AG81+AG88</f>
        <v>48299718.590542607</v>
      </c>
      <c r="AH75" s="995">
        <f>+AH76+AH81+AH88</f>
        <v>13606555.875075076</v>
      </c>
      <c r="AI75" s="1079">
        <f>+AI76+AI81+AI88</f>
        <v>73184734.465617687</v>
      </c>
      <c r="AJ75" s="904"/>
    </row>
    <row r="76" spans="1:38" ht="26.25" customHeight="1" outlineLevel="2" collapsed="1" x14ac:dyDescent="0.2">
      <c r="A76" s="1294"/>
      <c r="B76" s="1136" t="s">
        <v>675</v>
      </c>
      <c r="C76" s="1137"/>
      <c r="D76" s="1138"/>
      <c r="E76" s="1136"/>
      <c r="F76" s="1139">
        <f>SUBTOTAL(9,F77:F80)</f>
        <v>38852035.750000007</v>
      </c>
      <c r="G76" s="1139">
        <f t="shared" ref="G76:W76" si="71">SUBTOTAL(9,G77:G80)</f>
        <v>14806584.760000002</v>
      </c>
      <c r="H76" s="1139">
        <f t="shared" si="71"/>
        <v>53658620.510000005</v>
      </c>
      <c r="I76" s="1139">
        <f t="shared" si="71"/>
        <v>38852035.750000007</v>
      </c>
      <c r="J76" s="1139">
        <f t="shared" si="71"/>
        <v>14806584.760000002</v>
      </c>
      <c r="K76" s="1139">
        <f t="shared" si="71"/>
        <v>0</v>
      </c>
      <c r="L76" s="1139">
        <f t="shared" si="71"/>
        <v>0</v>
      </c>
      <c r="M76" s="1139">
        <f t="shared" si="71"/>
        <v>53658620.510000005</v>
      </c>
      <c r="N76" s="1139">
        <f t="shared" si="71"/>
        <v>10394907.380000003</v>
      </c>
      <c r="O76" s="1139">
        <f t="shared" si="71"/>
        <v>3959826.93</v>
      </c>
      <c r="P76" s="1139">
        <f t="shared" si="71"/>
        <v>0</v>
      </c>
      <c r="Q76" s="1139">
        <f t="shared" si="71"/>
        <v>0</v>
      </c>
      <c r="R76" s="1139">
        <f t="shared" si="71"/>
        <v>14354734.310000002</v>
      </c>
      <c r="S76" s="1139">
        <f>SUBTOTAL(9,S77:S80)</f>
        <v>0</v>
      </c>
      <c r="T76" s="1139">
        <f t="shared" si="71"/>
        <v>0</v>
      </c>
      <c r="U76" s="1139">
        <f t="shared" si="71"/>
        <v>0</v>
      </c>
      <c r="V76" s="1139">
        <f t="shared" si="71"/>
        <v>0</v>
      </c>
      <c r="W76" s="1139">
        <f t="shared" si="71"/>
        <v>0</v>
      </c>
      <c r="X76" s="1227"/>
      <c r="Y76" s="1227"/>
      <c r="Z76" s="1139">
        <f t="shared" ref="Z76:AI76" si="72">SUBTOTAL(9,Z77:Z80)</f>
        <v>0</v>
      </c>
      <c r="AA76" s="1139">
        <f t="shared" si="72"/>
        <v>0</v>
      </c>
      <c r="AB76" s="1139">
        <f t="shared" si="72"/>
        <v>0</v>
      </c>
      <c r="AC76" s="1139">
        <f t="shared" si="72"/>
        <v>0</v>
      </c>
      <c r="AD76" s="1139">
        <f t="shared" si="72"/>
        <v>0</v>
      </c>
      <c r="AE76" s="1140">
        <f t="shared" si="72"/>
        <v>0</v>
      </c>
      <c r="AF76" s="893"/>
      <c r="AG76" s="988">
        <f t="shared" si="72"/>
        <v>0</v>
      </c>
      <c r="AH76" s="988">
        <f t="shared" si="72"/>
        <v>0</v>
      </c>
      <c r="AI76" s="1011">
        <f t="shared" si="72"/>
        <v>0</v>
      </c>
      <c r="AJ76" s="904"/>
    </row>
    <row r="77" spans="1:38" ht="66" hidden="1" outlineLevel="3" x14ac:dyDescent="0.2">
      <c r="A77" s="1300" t="s">
        <v>758</v>
      </c>
      <c r="B77" s="1188" t="s">
        <v>801</v>
      </c>
      <c r="C77" s="1189" t="s">
        <v>137</v>
      </c>
      <c r="D77" s="1190" t="s">
        <v>77</v>
      </c>
      <c r="E77" s="1189" t="s">
        <v>81</v>
      </c>
      <c r="F77" s="1173">
        <v>38646295.750000007</v>
      </c>
      <c r="G77" s="1173">
        <v>14806584.760000002</v>
      </c>
      <c r="H77" s="1173">
        <f>F77+G77</f>
        <v>53452880.510000005</v>
      </c>
      <c r="I77" s="1173">
        <v>38646295.750000007</v>
      </c>
      <c r="J77" s="1173">
        <v>14806584.760000002</v>
      </c>
      <c r="K77" s="1173"/>
      <c r="L77" s="1173"/>
      <c r="M77" s="1150">
        <f>I77+J77+K77+L77</f>
        <v>53452880.510000005</v>
      </c>
      <c r="N77" s="1174">
        <f>14295271.88-O77</f>
        <v>10335444.950000001</v>
      </c>
      <c r="O77" s="1173">
        <v>3959826.93</v>
      </c>
      <c r="P77" s="1192"/>
      <c r="Q77" s="1192"/>
      <c r="R77" s="1150">
        <f>N77+O77+P77+Q77</f>
        <v>14295271.880000001</v>
      </c>
      <c r="S77" s="1150">
        <f t="shared" ref="S77:S87" si="73">H77-M77</f>
        <v>0</v>
      </c>
      <c r="T77" s="1150"/>
      <c r="U77" s="1150"/>
      <c r="V77" s="1150">
        <f>T77+U77</f>
        <v>0</v>
      </c>
      <c r="W77" s="1150">
        <f>+S77+V77</f>
        <v>0</v>
      </c>
      <c r="X77" s="1235">
        <v>1</v>
      </c>
      <c r="Y77" s="1235"/>
      <c r="Z77" s="1192">
        <f t="shared" ref="Z77:Z85" si="74">W77*X77</f>
        <v>0</v>
      </c>
      <c r="AA77" s="1192">
        <f t="shared" ref="AA77:AA85" si="75">W77*Y77</f>
        <v>0</v>
      </c>
      <c r="AB77" s="1150">
        <f>Z77+AA77</f>
        <v>0</v>
      </c>
      <c r="AC77" s="1192">
        <f t="shared" ref="AC77:AD87" si="76">ROUND(Z77/$AF$2,2)</f>
        <v>0</v>
      </c>
      <c r="AD77" s="1192">
        <f t="shared" si="76"/>
        <v>0</v>
      </c>
      <c r="AE77" s="1193">
        <f>AC77+AD77</f>
        <v>0</v>
      </c>
      <c r="AG77" s="927"/>
      <c r="AH77" s="942"/>
      <c r="AI77" s="1092">
        <f>AG77+AH77</f>
        <v>0</v>
      </c>
      <c r="AJ77" s="904"/>
    </row>
    <row r="78" spans="1:38" ht="49.5" hidden="1" outlineLevel="3" x14ac:dyDescent="0.2">
      <c r="A78" s="1298" t="s">
        <v>308</v>
      </c>
      <c r="B78" s="1188" t="s">
        <v>802</v>
      </c>
      <c r="C78" s="1189" t="s">
        <v>413</v>
      </c>
      <c r="D78" s="1190" t="s">
        <v>418</v>
      </c>
      <c r="E78" s="1189" t="s">
        <v>721</v>
      </c>
      <c r="F78" s="1144">
        <v>68580</v>
      </c>
      <c r="G78" s="1173"/>
      <c r="H78" s="1173">
        <f t="shared" ref="H78:H85" si="77">F78+G78</f>
        <v>68580</v>
      </c>
      <c r="I78" s="1173">
        <v>68580</v>
      </c>
      <c r="J78" s="1173"/>
      <c r="K78" s="1173"/>
      <c r="L78" s="1173"/>
      <c r="M78" s="1150">
        <f>I78+J78+K78+L78</f>
        <v>68580</v>
      </c>
      <c r="N78" s="1191">
        <v>19820.810000000001</v>
      </c>
      <c r="O78" s="1196"/>
      <c r="P78" s="1192"/>
      <c r="Q78" s="1192"/>
      <c r="R78" s="1150">
        <f>N78+O78+P78+Q78</f>
        <v>19820.810000000001</v>
      </c>
      <c r="S78" s="1150">
        <f t="shared" si="73"/>
        <v>0</v>
      </c>
      <c r="T78" s="1150"/>
      <c r="U78" s="1150"/>
      <c r="V78" s="1150">
        <f>T78+U78</f>
        <v>0</v>
      </c>
      <c r="W78" s="1150">
        <f>+S78+V78</f>
        <v>0</v>
      </c>
      <c r="X78" s="1235">
        <v>1</v>
      </c>
      <c r="Y78" s="1235"/>
      <c r="Z78" s="1192">
        <f t="shared" si="74"/>
        <v>0</v>
      </c>
      <c r="AA78" s="1192">
        <f t="shared" si="75"/>
        <v>0</v>
      </c>
      <c r="AB78" s="1150">
        <f>Z78+AA78</f>
        <v>0</v>
      </c>
      <c r="AC78" s="1192">
        <f t="shared" si="76"/>
        <v>0</v>
      </c>
      <c r="AD78" s="1192">
        <f t="shared" si="76"/>
        <v>0</v>
      </c>
      <c r="AE78" s="1193">
        <f>AC78+AD78</f>
        <v>0</v>
      </c>
      <c r="AG78" s="927"/>
      <c r="AH78" s="942"/>
      <c r="AI78" s="1092"/>
      <c r="AJ78" s="904"/>
    </row>
    <row r="79" spans="1:38" ht="49.5" hidden="1" outlineLevel="3" x14ac:dyDescent="0.2">
      <c r="A79" s="1301" t="s">
        <v>324</v>
      </c>
      <c r="B79" s="1153" t="s">
        <v>803</v>
      </c>
      <c r="C79" s="1142" t="s">
        <v>564</v>
      </c>
      <c r="D79" s="1143" t="s">
        <v>428</v>
      </c>
      <c r="E79" s="1142" t="s">
        <v>719</v>
      </c>
      <c r="F79" s="1144">
        <v>68580</v>
      </c>
      <c r="G79" s="1144"/>
      <c r="H79" s="1144">
        <f>F79+G79</f>
        <v>68580</v>
      </c>
      <c r="I79" s="1173">
        <v>68580</v>
      </c>
      <c r="J79" s="1144"/>
      <c r="K79" s="1144"/>
      <c r="L79" s="1144"/>
      <c r="M79" s="1151">
        <f>I79+J79+K79+L79</f>
        <v>68580</v>
      </c>
      <c r="N79" s="1194">
        <v>19820.810000000001</v>
      </c>
      <c r="O79" s="1185"/>
      <c r="P79" s="1185"/>
      <c r="Q79" s="1185"/>
      <c r="R79" s="1151">
        <f>N79+O79+P79+Q79</f>
        <v>19820.810000000001</v>
      </c>
      <c r="S79" s="1150">
        <f>H79-M79</f>
        <v>0</v>
      </c>
      <c r="T79" s="1151"/>
      <c r="U79" s="1151"/>
      <c r="V79" s="1151">
        <f>T79+U79</f>
        <v>0</v>
      </c>
      <c r="W79" s="1150">
        <f>+S79+V79</f>
        <v>0</v>
      </c>
      <c r="X79" s="1235">
        <v>1</v>
      </c>
      <c r="Y79" s="1235"/>
      <c r="Z79" s="1145">
        <f>W79*X79</f>
        <v>0</v>
      </c>
      <c r="AA79" s="1145">
        <f>W79*Y79</f>
        <v>0</v>
      </c>
      <c r="AB79" s="1151">
        <f>Z79+AA79</f>
        <v>0</v>
      </c>
      <c r="AC79" s="1145">
        <f>ROUND(Z79/$AF$2,2)</f>
        <v>0</v>
      </c>
      <c r="AD79" s="1145">
        <f>ROUND(AA79/$AF$2,2)</f>
        <v>0</v>
      </c>
      <c r="AE79" s="1152">
        <f>AC79+AD79</f>
        <v>0</v>
      </c>
      <c r="AG79" s="927">
        <f>AI79*X79</f>
        <v>0</v>
      </c>
      <c r="AH79" s="942">
        <f>AI79*Y79</f>
        <v>0</v>
      </c>
      <c r="AI79" s="1092"/>
      <c r="AJ79" s="904"/>
    </row>
    <row r="80" spans="1:38" ht="49.5" hidden="1" outlineLevel="3" x14ac:dyDescent="0.2">
      <c r="A80" s="1298" t="s">
        <v>307</v>
      </c>
      <c r="B80" s="1188" t="s">
        <v>804</v>
      </c>
      <c r="C80" s="1189" t="s">
        <v>412</v>
      </c>
      <c r="D80" s="1190" t="s">
        <v>418</v>
      </c>
      <c r="E80" s="1189" t="s">
        <v>720</v>
      </c>
      <c r="F80" s="1144">
        <v>68580</v>
      </c>
      <c r="G80" s="1173"/>
      <c r="H80" s="1173">
        <f t="shared" si="77"/>
        <v>68580</v>
      </c>
      <c r="I80" s="1173">
        <v>68580</v>
      </c>
      <c r="J80" s="1173"/>
      <c r="K80" s="1173"/>
      <c r="L80" s="1173"/>
      <c r="M80" s="1150">
        <f>I80+J80+K80+L80</f>
        <v>68580</v>
      </c>
      <c r="N80" s="1191">
        <v>19820.810000000001</v>
      </c>
      <c r="O80" s="1196"/>
      <c r="P80" s="1211"/>
      <c r="Q80" s="1192"/>
      <c r="R80" s="1150">
        <f>N80+O80+P80+Q80</f>
        <v>19820.810000000001</v>
      </c>
      <c r="S80" s="1150">
        <f t="shared" si="73"/>
        <v>0</v>
      </c>
      <c r="T80" s="1150"/>
      <c r="U80" s="1150"/>
      <c r="V80" s="1150">
        <f>T80+U80</f>
        <v>0</v>
      </c>
      <c r="W80" s="1150">
        <f>+S80+V80</f>
        <v>0</v>
      </c>
      <c r="X80" s="1235">
        <v>1</v>
      </c>
      <c r="Y80" s="1235"/>
      <c r="Z80" s="1192">
        <f t="shared" si="74"/>
        <v>0</v>
      </c>
      <c r="AA80" s="1192">
        <f t="shared" si="75"/>
        <v>0</v>
      </c>
      <c r="AB80" s="1150">
        <f>Z80+AA80</f>
        <v>0</v>
      </c>
      <c r="AC80" s="1192">
        <f t="shared" si="76"/>
        <v>0</v>
      </c>
      <c r="AD80" s="1192">
        <f t="shared" si="76"/>
        <v>0</v>
      </c>
      <c r="AE80" s="1193">
        <f>AC80+AD80</f>
        <v>0</v>
      </c>
      <c r="AG80" s="927"/>
      <c r="AH80" s="942"/>
      <c r="AI80" s="1092"/>
      <c r="AJ80" s="904"/>
    </row>
    <row r="81" spans="1:42" outlineLevel="2" collapsed="1" x14ac:dyDescent="0.2">
      <c r="A81" s="1296"/>
      <c r="B81" s="1212" t="s">
        <v>676</v>
      </c>
      <c r="C81" s="1213"/>
      <c r="D81" s="1015"/>
      <c r="E81" s="1212"/>
      <c r="F81" s="990">
        <f>SUBTOTAL(9,F82:F87)</f>
        <v>331420751.06999999</v>
      </c>
      <c r="G81" s="990">
        <f t="shared" ref="G81:W81" si="78">SUBTOTAL(9,G82:G87)</f>
        <v>30303661.149999999</v>
      </c>
      <c r="H81" s="990">
        <f t="shared" si="78"/>
        <v>361724412.21999997</v>
      </c>
      <c r="I81" s="990">
        <f t="shared" si="78"/>
        <v>184601657.31999999</v>
      </c>
      <c r="J81" s="990">
        <f t="shared" si="78"/>
        <v>30303661.149999999</v>
      </c>
      <c r="K81" s="990">
        <f t="shared" si="78"/>
        <v>0</v>
      </c>
      <c r="L81" s="990">
        <f t="shared" si="78"/>
        <v>0</v>
      </c>
      <c r="M81" s="990">
        <f t="shared" si="78"/>
        <v>214905318.47</v>
      </c>
      <c r="N81" s="990">
        <f t="shared" si="78"/>
        <v>71386890.399999991</v>
      </c>
      <c r="O81" s="990">
        <f t="shared" si="78"/>
        <v>10713420.109999996</v>
      </c>
      <c r="P81" s="990">
        <f t="shared" si="78"/>
        <v>0</v>
      </c>
      <c r="Q81" s="990">
        <f t="shared" si="78"/>
        <v>0</v>
      </c>
      <c r="R81" s="990">
        <f t="shared" si="78"/>
        <v>82100310.50999999</v>
      </c>
      <c r="S81" s="990">
        <f t="shared" si="78"/>
        <v>146819093.74999997</v>
      </c>
      <c r="T81" s="990">
        <f t="shared" si="78"/>
        <v>56778.654999999999</v>
      </c>
      <c r="U81" s="990">
        <f t="shared" si="78"/>
        <v>52075542.789999999</v>
      </c>
      <c r="V81" s="990">
        <f t="shared" si="78"/>
        <v>52132321.445</v>
      </c>
      <c r="W81" s="990">
        <f t="shared" si="78"/>
        <v>198951415.19499996</v>
      </c>
      <c r="X81" s="1230"/>
      <c r="Y81" s="1230"/>
      <c r="Z81" s="990">
        <f t="shared" ref="Z81:AE81" si="79">SUBTOTAL(9,Z82:Z87)</f>
        <v>117582212.52169994</v>
      </c>
      <c r="AA81" s="990">
        <f t="shared" si="79"/>
        <v>81369202.673300028</v>
      </c>
      <c r="AB81" s="990">
        <f t="shared" si="79"/>
        <v>198951415.19499996</v>
      </c>
      <c r="AC81" s="990">
        <f t="shared" si="79"/>
        <v>35309973.730000004</v>
      </c>
      <c r="AD81" s="990">
        <f t="shared" si="79"/>
        <v>24435196</v>
      </c>
      <c r="AE81" s="1016">
        <f t="shared" si="79"/>
        <v>59745169.730000004</v>
      </c>
      <c r="AF81" s="893"/>
      <c r="AG81" s="990">
        <f>SUBTOTAL(9,AG82:AG90)</f>
        <v>21893624.912912913</v>
      </c>
      <c r="AH81" s="990">
        <f>SUBTOTAL(9,AH82:AH90)</f>
        <v>3603603.6036036038</v>
      </c>
      <c r="AI81" s="1016">
        <f>SUBTOTAL(9,AI82:AI90)</f>
        <v>25497228.516516514</v>
      </c>
      <c r="AJ81" s="904"/>
    </row>
    <row r="82" spans="1:42" ht="111" customHeight="1" outlineLevel="3" x14ac:dyDescent="0.2">
      <c r="A82" s="1298" t="s">
        <v>306</v>
      </c>
      <c r="B82" s="1224" t="s">
        <v>807</v>
      </c>
      <c r="C82" s="1270" t="s">
        <v>21</v>
      </c>
      <c r="D82" s="1271" t="s">
        <v>103</v>
      </c>
      <c r="E82" s="1270" t="s">
        <v>3</v>
      </c>
      <c r="F82" s="1038">
        <f>277415678.7+53609138.25</f>
        <v>331024816.94999999</v>
      </c>
      <c r="G82" s="1038">
        <v>30303661.149999999</v>
      </c>
      <c r="H82" s="1038">
        <f>F82+G82</f>
        <v>361328478.09999996</v>
      </c>
      <c r="I82" s="1038">
        <v>184482802.81999999</v>
      </c>
      <c r="J82" s="1038">
        <v>30303661.149999999</v>
      </c>
      <c r="K82" s="1038"/>
      <c r="L82" s="1038"/>
      <c r="M82" s="1018">
        <f t="shared" ref="M82:M87" si="80">I82+J82+K82+L82</f>
        <v>214786463.97</v>
      </c>
      <c r="N82" s="1272">
        <v>71352539.389999986</v>
      </c>
      <c r="O82" s="1038">
        <v>10713420.109999996</v>
      </c>
      <c r="P82" s="1273"/>
      <c r="Q82" s="1273"/>
      <c r="R82" s="1018">
        <f t="shared" ref="R82:R87" si="81">N82+O82+P82+Q82</f>
        <v>82065959.499999985</v>
      </c>
      <c r="S82" s="1018">
        <f>(H82-M82)</f>
        <v>146542014.12999997</v>
      </c>
      <c r="T82" s="1274"/>
      <c r="U82" s="1274">
        <v>52075542.789999999</v>
      </c>
      <c r="V82" s="1018">
        <f t="shared" ref="V82:V87" si="82">T82+U82</f>
        <v>52075542.789999999</v>
      </c>
      <c r="W82" s="1150">
        <f>(S82+V82)</f>
        <v>198617556.91999996</v>
      </c>
      <c r="X82" s="1281">
        <f>Z82/AB82</f>
        <v>0.59032220547313308</v>
      </c>
      <c r="Y82" s="1281">
        <f>100%-X82</f>
        <v>0.40967779452686692</v>
      </c>
      <c r="Z82" s="1019">
        <v>117248354.24669993</v>
      </c>
      <c r="AA82" s="1019">
        <f>W82-Z82</f>
        <v>81369202.673300028</v>
      </c>
      <c r="AB82" s="1018">
        <f t="shared" ref="AB82:AB87" si="83">Z82+AA82</f>
        <v>198617556.91999996</v>
      </c>
      <c r="AC82" s="1019">
        <f>ROUND(Z82/$AF$2,2)</f>
        <v>35209715.990000002</v>
      </c>
      <c r="AD82" s="1019">
        <f>ROUND(AA82/$AF$2,2)</f>
        <v>24435196</v>
      </c>
      <c r="AE82" s="1020">
        <f t="shared" ref="AE82:AE87" si="84">AC82+AD82</f>
        <v>59644911.990000002</v>
      </c>
      <c r="AF82" s="763"/>
      <c r="AG82" s="1275"/>
      <c r="AH82" s="942"/>
      <c r="AI82" s="1276">
        <f t="shared" ref="AI82:AI87" si="85">AG82+AH82</f>
        <v>0</v>
      </c>
      <c r="AJ82" s="1277"/>
      <c r="AK82" s="1278"/>
    </row>
    <row r="83" spans="1:42" ht="47.25" outlineLevel="3" x14ac:dyDescent="0.2">
      <c r="A83" s="1301" t="s">
        <v>325</v>
      </c>
      <c r="B83" s="1222" t="s">
        <v>808</v>
      </c>
      <c r="C83" s="1215" t="s">
        <v>442</v>
      </c>
      <c r="D83" s="1216" t="s">
        <v>443</v>
      </c>
      <c r="E83" s="1215" t="s">
        <v>738</v>
      </c>
      <c r="F83" s="1032">
        <v>68580</v>
      </c>
      <c r="G83" s="1032"/>
      <c r="H83" s="1032">
        <f t="shared" si="77"/>
        <v>68580</v>
      </c>
      <c r="I83" s="1038">
        <v>57150</v>
      </c>
      <c r="J83" s="1038"/>
      <c r="K83" s="1032"/>
      <c r="L83" s="1032"/>
      <c r="M83" s="1012">
        <f t="shared" si="80"/>
        <v>57150</v>
      </c>
      <c r="N83" s="1042">
        <v>16517.34</v>
      </c>
      <c r="O83" s="1037"/>
      <c r="P83" s="1037"/>
      <c r="Q83" s="1037"/>
      <c r="R83" s="1012">
        <f t="shared" si="81"/>
        <v>16517.34</v>
      </c>
      <c r="S83" s="1018">
        <f t="shared" si="73"/>
        <v>11430</v>
      </c>
      <c r="T83" s="1012"/>
      <c r="U83" s="1012"/>
      <c r="V83" s="1012">
        <f t="shared" si="82"/>
        <v>0</v>
      </c>
      <c r="W83" s="1018">
        <f>+S83+V83</f>
        <v>11430</v>
      </c>
      <c r="X83" s="1235">
        <v>1</v>
      </c>
      <c r="Y83" s="1235"/>
      <c r="Z83" s="1013">
        <f t="shared" si="74"/>
        <v>11430</v>
      </c>
      <c r="AA83" s="1013">
        <f t="shared" si="75"/>
        <v>0</v>
      </c>
      <c r="AB83" s="1012">
        <f t="shared" si="83"/>
        <v>11430</v>
      </c>
      <c r="AC83" s="1013">
        <f t="shared" si="76"/>
        <v>3432.43</v>
      </c>
      <c r="AD83" s="1013">
        <f t="shared" si="76"/>
        <v>0</v>
      </c>
      <c r="AE83" s="1014">
        <f t="shared" si="84"/>
        <v>3432.43</v>
      </c>
      <c r="AG83" s="927"/>
      <c r="AH83" s="942"/>
      <c r="AI83" s="1092">
        <f t="shared" si="85"/>
        <v>0</v>
      </c>
    </row>
    <row r="84" spans="1:42" ht="57" outlineLevel="3" x14ac:dyDescent="0.2">
      <c r="A84" s="1301" t="s">
        <v>322</v>
      </c>
      <c r="B84" s="1222" t="s">
        <v>809</v>
      </c>
      <c r="C84" s="1215" t="s">
        <v>423</v>
      </c>
      <c r="D84" s="1216" t="s">
        <v>427</v>
      </c>
      <c r="E84" s="1215" t="s">
        <v>723</v>
      </c>
      <c r="F84" s="1032">
        <v>45241.5</v>
      </c>
      <c r="G84" s="1032"/>
      <c r="H84" s="1032">
        <f t="shared" si="77"/>
        <v>45241.5</v>
      </c>
      <c r="I84" s="1038">
        <v>26116.5</v>
      </c>
      <c r="J84" s="1038"/>
      <c r="K84" s="1032"/>
      <c r="L84" s="1032"/>
      <c r="M84" s="1012">
        <f t="shared" si="80"/>
        <v>26116.5</v>
      </c>
      <c r="N84" s="1042">
        <v>7548.12</v>
      </c>
      <c r="O84" s="1037"/>
      <c r="P84" s="1037"/>
      <c r="Q84" s="1037"/>
      <c r="R84" s="1012">
        <f t="shared" si="81"/>
        <v>7548.12</v>
      </c>
      <c r="S84" s="1018">
        <f t="shared" si="73"/>
        <v>19125</v>
      </c>
      <c r="T84" s="1012"/>
      <c r="U84" s="1012"/>
      <c r="V84" s="1012">
        <f t="shared" si="82"/>
        <v>0</v>
      </c>
      <c r="W84" s="1018">
        <f>+S84+V84</f>
        <v>19125</v>
      </c>
      <c r="X84" s="1235">
        <v>1</v>
      </c>
      <c r="Y84" s="1235"/>
      <c r="Z84" s="1013">
        <f t="shared" si="74"/>
        <v>19125</v>
      </c>
      <c r="AA84" s="1013">
        <f t="shared" si="75"/>
        <v>0</v>
      </c>
      <c r="AB84" s="1012">
        <f t="shared" si="83"/>
        <v>19125</v>
      </c>
      <c r="AC84" s="1013">
        <f t="shared" si="76"/>
        <v>5743.24</v>
      </c>
      <c r="AD84" s="1013">
        <f t="shared" si="76"/>
        <v>0</v>
      </c>
      <c r="AE84" s="1014">
        <f t="shared" si="84"/>
        <v>5743.24</v>
      </c>
      <c r="AG84" s="927"/>
      <c r="AH84" s="942"/>
      <c r="AI84" s="1092">
        <f t="shared" si="85"/>
        <v>0</v>
      </c>
      <c r="AJ84" s="904"/>
    </row>
    <row r="85" spans="1:42" ht="71.25" customHeight="1" outlineLevel="3" x14ac:dyDescent="0.2">
      <c r="A85" s="1301" t="s">
        <v>322</v>
      </c>
      <c r="B85" s="1222" t="s">
        <v>810</v>
      </c>
      <c r="C85" s="1215" t="s">
        <v>424</v>
      </c>
      <c r="D85" s="1216" t="s">
        <v>427</v>
      </c>
      <c r="E85" s="1215" t="s">
        <v>723</v>
      </c>
      <c r="F85" s="1032">
        <v>40688</v>
      </c>
      <c r="G85" s="1032"/>
      <c r="H85" s="1032">
        <f t="shared" si="77"/>
        <v>40688</v>
      </c>
      <c r="I85" s="1038">
        <v>35588</v>
      </c>
      <c r="J85" s="1038"/>
      <c r="K85" s="1032"/>
      <c r="L85" s="1032"/>
      <c r="M85" s="1012">
        <f t="shared" si="80"/>
        <v>35588</v>
      </c>
      <c r="N85" s="1042">
        <v>10285.549999999999</v>
      </c>
      <c r="O85" s="1037"/>
      <c r="P85" s="1037"/>
      <c r="Q85" s="1037"/>
      <c r="R85" s="1012">
        <f t="shared" si="81"/>
        <v>10285.549999999999</v>
      </c>
      <c r="S85" s="1018">
        <f t="shared" si="73"/>
        <v>5100</v>
      </c>
      <c r="T85" s="1012"/>
      <c r="U85" s="1012"/>
      <c r="V85" s="1012">
        <f t="shared" si="82"/>
        <v>0</v>
      </c>
      <c r="W85" s="1018">
        <f>+S85+V85</f>
        <v>5100</v>
      </c>
      <c r="X85" s="1235">
        <v>1</v>
      </c>
      <c r="Y85" s="1235"/>
      <c r="Z85" s="1013">
        <f t="shared" si="74"/>
        <v>5100</v>
      </c>
      <c r="AA85" s="1013">
        <f t="shared" si="75"/>
        <v>0</v>
      </c>
      <c r="AB85" s="1012">
        <f t="shared" si="83"/>
        <v>5100</v>
      </c>
      <c r="AC85" s="1013">
        <f t="shared" si="76"/>
        <v>1531.53</v>
      </c>
      <c r="AD85" s="1013">
        <f t="shared" si="76"/>
        <v>0</v>
      </c>
      <c r="AE85" s="1014">
        <f t="shared" si="84"/>
        <v>1531.53</v>
      </c>
      <c r="AG85" s="927"/>
      <c r="AH85" s="942"/>
      <c r="AI85" s="1092">
        <f t="shared" si="85"/>
        <v>0</v>
      </c>
      <c r="AJ85" s="904"/>
      <c r="AK85" s="936"/>
      <c r="AL85" s="665">
        <v>1</v>
      </c>
    </row>
    <row r="86" spans="1:42" ht="74.25" customHeight="1" outlineLevel="3" x14ac:dyDescent="0.2">
      <c r="A86" s="1301" t="s">
        <v>323</v>
      </c>
      <c r="B86" s="1224" t="s">
        <v>851</v>
      </c>
      <c r="C86" s="1215" t="s">
        <v>850</v>
      </c>
      <c r="D86" s="1216" t="s">
        <v>852</v>
      </c>
      <c r="E86" s="1215"/>
      <c r="F86" s="1032">
        <v>227114.62</v>
      </c>
      <c r="G86" s="1032"/>
      <c r="H86" s="1032">
        <f>F86+G86</f>
        <v>227114.62</v>
      </c>
      <c r="I86" s="1032"/>
      <c r="J86" s="1032"/>
      <c r="K86" s="1032"/>
      <c r="L86" s="1032"/>
      <c r="M86" s="1012">
        <f t="shared" si="80"/>
        <v>0</v>
      </c>
      <c r="N86" s="1042"/>
      <c r="O86" s="1037"/>
      <c r="P86" s="1037"/>
      <c r="Q86" s="1037"/>
      <c r="R86" s="1012">
        <f t="shared" si="81"/>
        <v>0</v>
      </c>
      <c r="S86" s="1018">
        <f t="shared" si="73"/>
        <v>227114.62</v>
      </c>
      <c r="T86" s="1012">
        <f>S86*0.25</f>
        <v>56778.654999999999</v>
      </c>
      <c r="U86" s="1012"/>
      <c r="V86" s="1012">
        <f t="shared" si="82"/>
        <v>56778.654999999999</v>
      </c>
      <c r="W86" s="1018">
        <f>+S86+V86</f>
        <v>283893.27500000002</v>
      </c>
      <c r="X86" s="1235">
        <v>1</v>
      </c>
      <c r="Y86" s="1235"/>
      <c r="Z86" s="1013">
        <f>W86*X86</f>
        <v>283893.27500000002</v>
      </c>
      <c r="AA86" s="1013">
        <f>W86*Y86</f>
        <v>0</v>
      </c>
      <c r="AB86" s="1012">
        <f t="shared" si="83"/>
        <v>283893.27500000002</v>
      </c>
      <c r="AC86" s="1013">
        <f t="shared" si="76"/>
        <v>85253.24</v>
      </c>
      <c r="AD86" s="1013">
        <f t="shared" si="76"/>
        <v>0</v>
      </c>
      <c r="AE86" s="1014">
        <f t="shared" si="84"/>
        <v>85253.24</v>
      </c>
      <c r="AG86" s="921">
        <v>0</v>
      </c>
      <c r="AH86" s="903">
        <v>0</v>
      </c>
      <c r="AI86" s="961">
        <f t="shared" si="85"/>
        <v>0</v>
      </c>
      <c r="AJ86" s="904"/>
    </row>
    <row r="87" spans="1:42" ht="57" outlineLevel="3" x14ac:dyDescent="0.2">
      <c r="A87" s="1301" t="s">
        <v>326</v>
      </c>
      <c r="B87" s="1224" t="s">
        <v>812</v>
      </c>
      <c r="C87" s="1215" t="s">
        <v>742</v>
      </c>
      <c r="D87" s="1216"/>
      <c r="E87" s="1215"/>
      <c r="F87" s="1032">
        <v>14310</v>
      </c>
      <c r="G87" s="1032"/>
      <c r="H87" s="1032">
        <f>F87+G87</f>
        <v>14310</v>
      </c>
      <c r="I87" s="1032"/>
      <c r="J87" s="1032"/>
      <c r="K87" s="1032"/>
      <c r="L87" s="1032"/>
      <c r="M87" s="1012">
        <f t="shared" si="80"/>
        <v>0</v>
      </c>
      <c r="N87" s="1042"/>
      <c r="O87" s="1037"/>
      <c r="P87" s="1037"/>
      <c r="Q87" s="1037"/>
      <c r="R87" s="1012">
        <f t="shared" si="81"/>
        <v>0</v>
      </c>
      <c r="S87" s="1018">
        <f t="shared" si="73"/>
        <v>14310</v>
      </c>
      <c r="T87" s="1012"/>
      <c r="U87" s="1012"/>
      <c r="V87" s="1012">
        <f t="shared" si="82"/>
        <v>0</v>
      </c>
      <c r="W87" s="1018">
        <f>+S87+V87</f>
        <v>14310</v>
      </c>
      <c r="X87" s="1235">
        <v>1</v>
      </c>
      <c r="Y87" s="1235"/>
      <c r="Z87" s="1013">
        <f>W87*X87</f>
        <v>14310</v>
      </c>
      <c r="AA87" s="1013">
        <f>W87*Y87</f>
        <v>0</v>
      </c>
      <c r="AB87" s="1012">
        <f t="shared" si="83"/>
        <v>14310</v>
      </c>
      <c r="AC87" s="1013">
        <f t="shared" si="76"/>
        <v>4297.3</v>
      </c>
      <c r="AD87" s="1013">
        <f t="shared" si="76"/>
        <v>0</v>
      </c>
      <c r="AE87" s="1014">
        <f t="shared" si="84"/>
        <v>4297.3</v>
      </c>
      <c r="AG87" s="921"/>
      <c r="AH87" s="903"/>
      <c r="AI87" s="961">
        <f t="shared" si="85"/>
        <v>0</v>
      </c>
      <c r="AJ87" s="904"/>
    </row>
    <row r="88" spans="1:42" ht="23.25" customHeight="1" outlineLevel="1" x14ac:dyDescent="0.2">
      <c r="A88" s="1297"/>
      <c r="B88" s="1218" t="s">
        <v>711</v>
      </c>
      <c r="C88" s="1219"/>
      <c r="D88" s="1220"/>
      <c r="E88" s="1219"/>
      <c r="F88" s="997">
        <f>SUBTOTAL(9,F89:F99)</f>
        <v>40000000</v>
      </c>
      <c r="G88" s="997">
        <f t="shared" ref="G88:W88" si="86">SUBTOTAL(9,G89:G99)</f>
        <v>0</v>
      </c>
      <c r="H88" s="997">
        <f t="shared" si="86"/>
        <v>40000000</v>
      </c>
      <c r="I88" s="997">
        <f t="shared" si="86"/>
        <v>0</v>
      </c>
      <c r="J88" s="997">
        <f t="shared" si="86"/>
        <v>0</v>
      </c>
      <c r="K88" s="997">
        <f t="shared" si="86"/>
        <v>0</v>
      </c>
      <c r="L88" s="997">
        <f t="shared" si="86"/>
        <v>0</v>
      </c>
      <c r="M88" s="997">
        <f t="shared" si="86"/>
        <v>0</v>
      </c>
      <c r="N88" s="997">
        <f t="shared" si="86"/>
        <v>0</v>
      </c>
      <c r="O88" s="997">
        <f t="shared" si="86"/>
        <v>0</v>
      </c>
      <c r="P88" s="997">
        <f t="shared" si="86"/>
        <v>0</v>
      </c>
      <c r="Q88" s="997">
        <f t="shared" si="86"/>
        <v>0</v>
      </c>
      <c r="R88" s="997">
        <f t="shared" si="86"/>
        <v>0</v>
      </c>
      <c r="S88" s="997">
        <f t="shared" si="86"/>
        <v>121242123.0105069</v>
      </c>
      <c r="T88" s="997">
        <f t="shared" si="86"/>
        <v>37557271.800000004</v>
      </c>
      <c r="U88" s="997">
        <f t="shared" si="86"/>
        <v>544404.62400000007</v>
      </c>
      <c r="V88" s="997">
        <f t="shared" si="86"/>
        <v>38101676.424000002</v>
      </c>
      <c r="W88" s="997">
        <f t="shared" si="86"/>
        <v>159343799.43450689</v>
      </c>
      <c r="X88" s="1232"/>
      <c r="Y88" s="1232"/>
      <c r="Z88" s="997">
        <f t="shared" ref="Z88:AE88" si="87">SUBTOTAL(9,Z89:Z99)</f>
        <v>88313375.183306903</v>
      </c>
      <c r="AA88" s="997">
        <f t="shared" si="87"/>
        <v>71030424.251200005</v>
      </c>
      <c r="AB88" s="997">
        <f t="shared" si="87"/>
        <v>159343799.43450689</v>
      </c>
      <c r="AC88" s="997">
        <f t="shared" si="87"/>
        <v>26520533.09</v>
      </c>
      <c r="AD88" s="997">
        <f t="shared" si="87"/>
        <v>21330457.729999997</v>
      </c>
      <c r="AE88" s="1080">
        <f t="shared" si="87"/>
        <v>47850990.82</v>
      </c>
      <c r="AG88" s="997">
        <f>SUBTOTAL(9,AG89:AG99)</f>
        <v>26406093.677629694</v>
      </c>
      <c r="AH88" s="997">
        <f>SUBTOTAL(9,AH89:AH99)</f>
        <v>10002952.271471472</v>
      </c>
      <c r="AI88" s="997">
        <f>SUBTOTAL(9,AI89:AI99)</f>
        <v>47687505.949101172</v>
      </c>
      <c r="AJ88" s="904"/>
    </row>
    <row r="89" spans="1:42" ht="47.25" outlineLevel="3" x14ac:dyDescent="0.2">
      <c r="A89" s="1301" t="s">
        <v>320</v>
      </c>
      <c r="B89" s="1214" t="s">
        <v>805</v>
      </c>
      <c r="C89" s="1215"/>
      <c r="D89" s="1216"/>
      <c r="E89" s="1215"/>
      <c r="F89" s="1032"/>
      <c r="G89" s="1032"/>
      <c r="H89" s="1032">
        <f t="shared" ref="H89:H98" si="88">F89+G89</f>
        <v>0</v>
      </c>
      <c r="I89" s="1032"/>
      <c r="J89" s="1032"/>
      <c r="K89" s="1032"/>
      <c r="L89" s="1032"/>
      <c r="M89" s="1012">
        <f t="shared" ref="M89:M98" si="89">I89+J89+K89+L89</f>
        <v>0</v>
      </c>
      <c r="N89" s="1042"/>
      <c r="O89" s="1037"/>
      <c r="P89" s="1037"/>
      <c r="Q89" s="1037"/>
      <c r="R89" s="1012">
        <f t="shared" ref="R89:R98" si="90">N89+O89+P89+Q89</f>
        <v>0</v>
      </c>
      <c r="S89" s="1018">
        <f t="shared" ref="S89:S98" si="91">AI89*$AF$2</f>
        <v>44905770.960000001</v>
      </c>
      <c r="T89" s="1012"/>
      <c r="U89" s="1012"/>
      <c r="V89" s="1012">
        <f t="shared" ref="V89:V98" si="92">T89+U89</f>
        <v>0</v>
      </c>
      <c r="W89" s="1018">
        <f>+S89+V89</f>
        <v>44905770.960000001</v>
      </c>
      <c r="X89" s="1231">
        <v>1</v>
      </c>
      <c r="Y89" s="1235"/>
      <c r="Z89" s="1013">
        <f t="shared" ref="Z89:Z98" si="93">W89*X89</f>
        <v>44905770.960000001</v>
      </c>
      <c r="AA89" s="1013">
        <f t="shared" ref="AA89:AA99" si="94">W89*Y89</f>
        <v>0</v>
      </c>
      <c r="AB89" s="1012">
        <f t="shared" ref="AB89:AB98" si="95">Z89+AA89</f>
        <v>44905770.960000001</v>
      </c>
      <c r="AC89" s="1013">
        <f>ROUND(Z89/$AF$2,2)</f>
        <v>13485216.5</v>
      </c>
      <c r="AD89" s="1013">
        <f>ROUND(AA89/$AF$2,2)</f>
        <v>0</v>
      </c>
      <c r="AE89" s="1014">
        <f t="shared" ref="AE89:AE98" si="96">AC89+AD89</f>
        <v>13485216.5</v>
      </c>
      <c r="AG89" s="921">
        <f>AI89*X89</f>
        <v>13485216.504504504</v>
      </c>
      <c r="AH89" s="903">
        <f>AI89*Y89</f>
        <v>0</v>
      </c>
      <c r="AI89" s="922">
        <f>44905770.96/AF2</f>
        <v>13485216.504504504</v>
      </c>
      <c r="AJ89" s="937" t="s">
        <v>655</v>
      </c>
      <c r="AK89" s="938">
        <v>44905770.960000001</v>
      </c>
      <c r="AM89" s="698">
        <v>11278458.682111824</v>
      </c>
      <c r="AN89" s="665" t="s">
        <v>656</v>
      </c>
      <c r="AP89" s="763"/>
    </row>
    <row r="90" spans="1:42" ht="57" outlineLevel="3" x14ac:dyDescent="0.2">
      <c r="A90" s="1314" t="s">
        <v>843</v>
      </c>
      <c r="B90" s="1222" t="s">
        <v>813</v>
      </c>
      <c r="C90" s="1215"/>
      <c r="D90" s="1216"/>
      <c r="E90" s="1215"/>
      <c r="F90" s="1032">
        <v>40000000</v>
      </c>
      <c r="G90" s="1032"/>
      <c r="H90" s="1032">
        <f>F90+G90</f>
        <v>40000000</v>
      </c>
      <c r="I90" s="1032"/>
      <c r="J90" s="1032"/>
      <c r="K90" s="1032"/>
      <c r="L90" s="1032"/>
      <c r="M90" s="1012">
        <f>I90+J90+K90+L90</f>
        <v>0</v>
      </c>
      <c r="N90" s="1042"/>
      <c r="O90" s="1037"/>
      <c r="P90" s="1037"/>
      <c r="Q90" s="1037"/>
      <c r="R90" s="1012">
        <f>N90+O90+P90+Q90</f>
        <v>0</v>
      </c>
      <c r="S90" s="1018">
        <f>H90-M90</f>
        <v>40000000</v>
      </c>
      <c r="T90" s="1012"/>
      <c r="U90" s="1012"/>
      <c r="V90" s="1012">
        <f>T90+U90</f>
        <v>0</v>
      </c>
      <c r="W90" s="1018">
        <f>+S90+V90</f>
        <v>40000000</v>
      </c>
      <c r="X90" s="1231">
        <v>0.7</v>
      </c>
      <c r="Y90" s="1231">
        <v>0.3</v>
      </c>
      <c r="Z90" s="1013">
        <f>W90*X90</f>
        <v>28000000</v>
      </c>
      <c r="AA90" s="1013">
        <f>W90*Y90</f>
        <v>12000000</v>
      </c>
      <c r="AB90" s="1012">
        <f>Z90+AA90</f>
        <v>40000000</v>
      </c>
      <c r="AC90" s="1013">
        <f>ROUND(Z90/$AF$2,2)</f>
        <v>8408408.4100000001</v>
      </c>
      <c r="AD90" s="1013">
        <f>ROUND(AA90/$AF$2,2)</f>
        <v>3603603.6</v>
      </c>
      <c r="AE90" s="1014">
        <f>AC90+AD90</f>
        <v>12012012.01</v>
      </c>
      <c r="AG90" s="921">
        <f>AI90*X90</f>
        <v>8408408.408408409</v>
      </c>
      <c r="AH90" s="903">
        <f>AI90*Y90</f>
        <v>3603603.6036036038</v>
      </c>
      <c r="AI90" s="922">
        <f>40000000/AF2</f>
        <v>12012012.012012012</v>
      </c>
      <c r="AJ90" s="904"/>
      <c r="AK90" s="698"/>
    </row>
    <row r="91" spans="1:42" ht="34.5" customHeight="1" outlineLevel="3" x14ac:dyDescent="0.2">
      <c r="A91" s="1302" t="s">
        <v>817</v>
      </c>
      <c r="B91" s="1217" t="s">
        <v>806</v>
      </c>
      <c r="C91" s="1215"/>
      <c r="D91" s="1216"/>
      <c r="E91" s="1215"/>
      <c r="F91" s="1032"/>
      <c r="G91" s="1032"/>
      <c r="H91" s="1032">
        <f t="shared" si="88"/>
        <v>0</v>
      </c>
      <c r="I91" s="1032"/>
      <c r="J91" s="1032"/>
      <c r="K91" s="1032"/>
      <c r="L91" s="1032"/>
      <c r="M91" s="1012">
        <f t="shared" si="89"/>
        <v>0</v>
      </c>
      <c r="N91" s="1042"/>
      <c r="O91" s="1037"/>
      <c r="P91" s="1037"/>
      <c r="Q91" s="1037"/>
      <c r="R91" s="1012">
        <f t="shared" si="90"/>
        <v>0</v>
      </c>
      <c r="S91" s="1018">
        <v>0</v>
      </c>
      <c r="T91" s="1012">
        <v>37557271.800000004</v>
      </c>
      <c r="U91" s="1012"/>
      <c r="V91" s="1012">
        <f t="shared" si="92"/>
        <v>37557271.800000004</v>
      </c>
      <c r="W91" s="1018">
        <f>+S91+V91</f>
        <v>37557271.800000004</v>
      </c>
      <c r="X91" s="1235"/>
      <c r="Y91" s="1231">
        <v>1</v>
      </c>
      <c r="Z91" s="1013">
        <f>W91*X91</f>
        <v>0</v>
      </c>
      <c r="AA91" s="1013">
        <f>W91*Y91</f>
        <v>37557271.800000004</v>
      </c>
      <c r="AB91" s="1012">
        <f>Z91+AA91</f>
        <v>37557271.800000004</v>
      </c>
      <c r="AC91" s="1013">
        <f t="shared" ref="AC91:AD97" si="97">ROUND(Z91/$AF$2,2)</f>
        <v>0</v>
      </c>
      <c r="AD91" s="1013">
        <f t="shared" si="97"/>
        <v>11278460</v>
      </c>
      <c r="AE91" s="1014">
        <f>AC91+AD91</f>
        <v>11278460</v>
      </c>
      <c r="AF91" s="763"/>
      <c r="AG91" s="906"/>
      <c r="AH91" s="903"/>
      <c r="AI91" s="907">
        <v>11278460</v>
      </c>
      <c r="AJ91" s="904"/>
    </row>
    <row r="92" spans="1:42" ht="63" outlineLevel="3" x14ac:dyDescent="0.2">
      <c r="A92" s="1301" t="s">
        <v>319</v>
      </c>
      <c r="B92" s="1214" t="s">
        <v>713</v>
      </c>
      <c r="C92" s="1215"/>
      <c r="D92" s="1216"/>
      <c r="E92" s="1215"/>
      <c r="F92" s="1032"/>
      <c r="G92" s="1032"/>
      <c r="H92" s="1032">
        <f t="shared" si="88"/>
        <v>0</v>
      </c>
      <c r="I92" s="1032"/>
      <c r="J92" s="1032"/>
      <c r="K92" s="1032"/>
      <c r="L92" s="1032"/>
      <c r="M92" s="1012">
        <f t="shared" si="89"/>
        <v>0</v>
      </c>
      <c r="N92" s="1042"/>
      <c r="O92" s="1037"/>
      <c r="P92" s="1037"/>
      <c r="Q92" s="1037"/>
      <c r="R92" s="1012">
        <f t="shared" si="90"/>
        <v>0</v>
      </c>
      <c r="S92" s="1018">
        <f t="shared" si="91"/>
        <v>18092091.760000002</v>
      </c>
      <c r="T92" s="1012"/>
      <c r="U92" s="1012"/>
      <c r="V92" s="1012">
        <f t="shared" si="92"/>
        <v>0</v>
      </c>
      <c r="W92" s="1018">
        <f t="shared" ref="W92:W98" si="98">+S92+V92</f>
        <v>18092091.760000002</v>
      </c>
      <c r="X92" s="1235"/>
      <c r="Y92" s="1231">
        <v>1</v>
      </c>
      <c r="Z92" s="1013">
        <f t="shared" si="93"/>
        <v>0</v>
      </c>
      <c r="AA92" s="1013">
        <f t="shared" si="94"/>
        <v>18092091.760000002</v>
      </c>
      <c r="AB92" s="1012">
        <f t="shared" si="95"/>
        <v>18092091.760000002</v>
      </c>
      <c r="AC92" s="1012">
        <f t="shared" si="97"/>
        <v>0</v>
      </c>
      <c r="AD92" s="1013">
        <f t="shared" si="97"/>
        <v>5433060.5899999999</v>
      </c>
      <c r="AE92" s="1014">
        <f t="shared" si="96"/>
        <v>5433060.5899999999</v>
      </c>
      <c r="AG92" s="921">
        <f t="shared" ref="AG92:AG98" si="99">AI92*X92</f>
        <v>0</v>
      </c>
      <c r="AH92" s="903">
        <f t="shared" ref="AH92:AH98" si="100">AI92*Y92</f>
        <v>5433060.5885885889</v>
      </c>
      <c r="AI92" s="922">
        <f>AK92/AF2</f>
        <v>5433060.5885885889</v>
      </c>
      <c r="AJ92" s="937" t="s">
        <v>655</v>
      </c>
      <c r="AK92" s="938">
        <v>18092091.760000002</v>
      </c>
      <c r="AM92" s="665" t="s">
        <v>568</v>
      </c>
    </row>
    <row r="93" spans="1:42" ht="78.75" outlineLevel="3" x14ac:dyDescent="0.2">
      <c r="A93" s="1301" t="s">
        <v>317</v>
      </c>
      <c r="B93" s="1214" t="s">
        <v>333</v>
      </c>
      <c r="C93" s="1215"/>
      <c r="D93" s="1216"/>
      <c r="E93" s="1215"/>
      <c r="F93" s="1032"/>
      <c r="G93" s="1032"/>
      <c r="H93" s="1032">
        <f t="shared" si="88"/>
        <v>0</v>
      </c>
      <c r="I93" s="1032"/>
      <c r="J93" s="1032"/>
      <c r="K93" s="1032"/>
      <c r="L93" s="1032"/>
      <c r="M93" s="1012">
        <f t="shared" si="89"/>
        <v>0</v>
      </c>
      <c r="N93" s="1042"/>
      <c r="O93" s="1037"/>
      <c r="P93" s="1037"/>
      <c r="Q93" s="1037"/>
      <c r="R93" s="1012">
        <f t="shared" si="90"/>
        <v>0</v>
      </c>
      <c r="S93" s="1018">
        <f>(AI93*$AF$2)</f>
        <v>5444046.2400000002</v>
      </c>
      <c r="T93" s="1012"/>
      <c r="U93" s="1018">
        <f>(S93*0.1)</f>
        <v>544404.62400000007</v>
      </c>
      <c r="V93" s="1012">
        <f t="shared" si="92"/>
        <v>544404.62400000007</v>
      </c>
      <c r="W93" s="1018">
        <f t="shared" si="98"/>
        <v>5988450.8640000001</v>
      </c>
      <c r="X93" s="1231">
        <v>0.7</v>
      </c>
      <c r="Y93" s="1231">
        <v>0.3</v>
      </c>
      <c r="Z93" s="1013">
        <f t="shared" si="93"/>
        <v>4191915.6047999999</v>
      </c>
      <c r="AA93" s="1013">
        <f t="shared" si="94"/>
        <v>1796535.2592</v>
      </c>
      <c r="AB93" s="1012">
        <f t="shared" si="95"/>
        <v>5988450.8640000001</v>
      </c>
      <c r="AC93" s="1013">
        <f t="shared" si="97"/>
        <v>1258833.51</v>
      </c>
      <c r="AD93" s="1013">
        <f t="shared" si="97"/>
        <v>539500.07999999996</v>
      </c>
      <c r="AE93" s="1014">
        <f t="shared" si="96"/>
        <v>1798333.5899999999</v>
      </c>
      <c r="AG93" s="921">
        <f t="shared" si="99"/>
        <v>1144394.1045045045</v>
      </c>
      <c r="AH93" s="903">
        <f t="shared" si="100"/>
        <v>490454.61621621618</v>
      </c>
      <c r="AI93" s="922">
        <f>5444046.24/AF2</f>
        <v>1634848.7207207207</v>
      </c>
      <c r="AJ93" s="889"/>
      <c r="AK93" s="763">
        <f>AJ93/3.33</f>
        <v>0</v>
      </c>
    </row>
    <row r="94" spans="1:42" ht="35.25" customHeight="1" outlineLevel="3" x14ac:dyDescent="0.2">
      <c r="A94" s="1303" t="s">
        <v>816</v>
      </c>
      <c r="B94" s="1214" t="s">
        <v>731</v>
      </c>
      <c r="C94" s="1215"/>
      <c r="D94" s="1216"/>
      <c r="E94" s="1215"/>
      <c r="F94" s="1032"/>
      <c r="G94" s="1032"/>
      <c r="H94" s="1032">
        <f t="shared" si="88"/>
        <v>0</v>
      </c>
      <c r="I94" s="1032"/>
      <c r="J94" s="1032"/>
      <c r="K94" s="1032"/>
      <c r="L94" s="1032"/>
      <c r="M94" s="1012">
        <f t="shared" si="89"/>
        <v>0</v>
      </c>
      <c r="N94" s="1042"/>
      <c r="O94" s="1037"/>
      <c r="P94" s="1037"/>
      <c r="Q94" s="1037"/>
      <c r="R94" s="1012">
        <f t="shared" si="90"/>
        <v>0</v>
      </c>
      <c r="S94" s="1018">
        <f t="shared" si="91"/>
        <v>3214915.2972972798</v>
      </c>
      <c r="T94" s="1012"/>
      <c r="U94" s="1012"/>
      <c r="V94" s="1012">
        <f t="shared" si="92"/>
        <v>0</v>
      </c>
      <c r="W94" s="1018">
        <f t="shared" si="98"/>
        <v>3214915.2972972798</v>
      </c>
      <c r="X94" s="1231">
        <v>1</v>
      </c>
      <c r="Y94" s="1235"/>
      <c r="Z94" s="1013">
        <f t="shared" si="93"/>
        <v>3214915.2972972798</v>
      </c>
      <c r="AA94" s="1013">
        <f t="shared" si="94"/>
        <v>0</v>
      </c>
      <c r="AB94" s="1012">
        <f t="shared" si="95"/>
        <v>3214915.2972972798</v>
      </c>
      <c r="AC94" s="1013">
        <f t="shared" si="97"/>
        <v>965440.03</v>
      </c>
      <c r="AD94" s="1013">
        <f t="shared" si="97"/>
        <v>0</v>
      </c>
      <c r="AE94" s="1014">
        <f t="shared" si="96"/>
        <v>965440.03</v>
      </c>
      <c r="AF94" s="665"/>
      <c r="AG94" s="906">
        <f t="shared" si="99"/>
        <v>965440.02921840234</v>
      </c>
      <c r="AH94" s="903">
        <f t="shared" si="100"/>
        <v>0</v>
      </c>
      <c r="AI94" s="907">
        <f>3214915.29729728/AF2</f>
        <v>965440.02921840234</v>
      </c>
      <c r="AJ94" s="904" t="s">
        <v>592</v>
      </c>
    </row>
    <row r="95" spans="1:42" ht="47.25" outlineLevel="3" x14ac:dyDescent="0.2">
      <c r="A95" s="1301" t="s">
        <v>316</v>
      </c>
      <c r="B95" s="1214" t="s">
        <v>332</v>
      </c>
      <c r="C95" s="1215"/>
      <c r="D95" s="1216"/>
      <c r="E95" s="1215"/>
      <c r="F95" s="1032"/>
      <c r="G95" s="1032"/>
      <c r="H95" s="1032">
        <f t="shared" si="88"/>
        <v>0</v>
      </c>
      <c r="I95" s="1032"/>
      <c r="J95" s="1032"/>
      <c r="K95" s="1032"/>
      <c r="L95" s="1032"/>
      <c r="M95" s="1012">
        <f t="shared" si="89"/>
        <v>0</v>
      </c>
      <c r="N95" s="1042"/>
      <c r="O95" s="1037"/>
      <c r="P95" s="1037"/>
      <c r="Q95" s="1037"/>
      <c r="R95" s="1012">
        <f t="shared" si="90"/>
        <v>0</v>
      </c>
      <c r="S95" s="1018">
        <f t="shared" si="91"/>
        <v>5281751.4400000004</v>
      </c>
      <c r="T95" s="1012"/>
      <c r="U95" s="1012"/>
      <c r="V95" s="1012">
        <f t="shared" si="92"/>
        <v>0</v>
      </c>
      <c r="W95" s="1018">
        <f t="shared" si="98"/>
        <v>5281751.4400000004</v>
      </c>
      <c r="X95" s="1231">
        <v>0.7</v>
      </c>
      <c r="Y95" s="1231">
        <v>0.3</v>
      </c>
      <c r="Z95" s="1013">
        <f t="shared" si="93"/>
        <v>3697226.0079999999</v>
      </c>
      <c r="AA95" s="1013">
        <f t="shared" si="94"/>
        <v>1584525.432</v>
      </c>
      <c r="AB95" s="1012">
        <f t="shared" si="95"/>
        <v>5281751.4399999995</v>
      </c>
      <c r="AC95" s="1013">
        <f t="shared" si="97"/>
        <v>1110278.08</v>
      </c>
      <c r="AD95" s="1013">
        <f t="shared" si="97"/>
        <v>475833.46</v>
      </c>
      <c r="AE95" s="1014">
        <f t="shared" si="96"/>
        <v>1586111.54</v>
      </c>
      <c r="AG95" s="921">
        <f t="shared" si="99"/>
        <v>1110278.0804804806</v>
      </c>
      <c r="AH95" s="903">
        <f t="shared" si="100"/>
        <v>475833.4630630631</v>
      </c>
      <c r="AI95" s="922">
        <f>5281751.44/AF2</f>
        <v>1586111.5435435437</v>
      </c>
      <c r="AJ95" s="904"/>
      <c r="AK95" s="763"/>
    </row>
    <row r="96" spans="1:42" ht="31.5" outlineLevel="3" x14ac:dyDescent="0.2">
      <c r="A96" s="1303" t="s">
        <v>815</v>
      </c>
      <c r="B96" s="1214" t="s">
        <v>344</v>
      </c>
      <c r="C96" s="1215"/>
      <c r="D96" s="1216"/>
      <c r="E96" s="1215"/>
      <c r="F96" s="1032"/>
      <c r="G96" s="1032"/>
      <c r="H96" s="1032">
        <f t="shared" si="88"/>
        <v>0</v>
      </c>
      <c r="I96" s="1032"/>
      <c r="J96" s="1032"/>
      <c r="K96" s="1032"/>
      <c r="L96" s="1032"/>
      <c r="M96" s="1012">
        <f t="shared" si="89"/>
        <v>0</v>
      </c>
      <c r="N96" s="1042"/>
      <c r="O96" s="1037"/>
      <c r="P96" s="1037"/>
      <c r="Q96" s="1037"/>
      <c r="R96" s="1012">
        <f t="shared" si="90"/>
        <v>0</v>
      </c>
      <c r="S96" s="1018">
        <f>AI96*$AF$2</f>
        <v>2509501.5405882299</v>
      </c>
      <c r="T96" s="1012"/>
      <c r="U96" s="1012"/>
      <c r="V96" s="1012">
        <f t="shared" si="92"/>
        <v>0</v>
      </c>
      <c r="W96" s="1018">
        <f t="shared" si="98"/>
        <v>2509501.5405882299</v>
      </c>
      <c r="X96" s="1235">
        <v>1</v>
      </c>
      <c r="Y96" s="1235"/>
      <c r="Z96" s="1013">
        <f t="shared" si="93"/>
        <v>2509501.5405882299</v>
      </c>
      <c r="AA96" s="1013">
        <f t="shared" si="94"/>
        <v>0</v>
      </c>
      <c r="AB96" s="1012">
        <f t="shared" si="95"/>
        <v>2509501.5405882299</v>
      </c>
      <c r="AC96" s="1013">
        <f t="shared" si="97"/>
        <v>753604.07</v>
      </c>
      <c r="AD96" s="1013">
        <f t="shared" si="97"/>
        <v>0</v>
      </c>
      <c r="AE96" s="1014">
        <f t="shared" si="96"/>
        <v>753604.07</v>
      </c>
      <c r="AF96" s="665"/>
      <c r="AG96" s="906">
        <f t="shared" si="99"/>
        <v>753604.06624271162</v>
      </c>
      <c r="AH96" s="903">
        <f t="shared" si="100"/>
        <v>0</v>
      </c>
      <c r="AI96" s="907">
        <f>2509501.54058823/AF2</f>
        <v>753604.06624271162</v>
      </c>
      <c r="AJ96" s="904" t="s">
        <v>593</v>
      </c>
      <c r="AK96" s="665">
        <v>6735865.6399999997</v>
      </c>
      <c r="AL96" s="665">
        <f>+AK89+AK96</f>
        <v>51641636.600000001</v>
      </c>
      <c r="AM96" s="665">
        <f>AL96/3.1394</f>
        <v>16449524.304007135</v>
      </c>
    </row>
    <row r="97" spans="1:44" ht="63" outlineLevel="3" x14ac:dyDescent="0.2">
      <c r="A97" s="1301" t="s">
        <v>318</v>
      </c>
      <c r="B97" s="1214" t="s">
        <v>664</v>
      </c>
      <c r="C97" s="1215"/>
      <c r="D97" s="1216"/>
      <c r="E97" s="1215"/>
      <c r="F97" s="1032"/>
      <c r="G97" s="1032"/>
      <c r="H97" s="1032">
        <f t="shared" si="88"/>
        <v>0</v>
      </c>
      <c r="I97" s="1032"/>
      <c r="J97" s="1032"/>
      <c r="K97" s="1032"/>
      <c r="L97" s="1032"/>
      <c r="M97" s="1012">
        <f t="shared" si="89"/>
        <v>0</v>
      </c>
      <c r="N97" s="1042"/>
      <c r="O97" s="1037"/>
      <c r="P97" s="1037"/>
      <c r="Q97" s="1037"/>
      <c r="R97" s="1012">
        <f t="shared" si="90"/>
        <v>0</v>
      </c>
      <c r="S97" s="1018">
        <f t="shared" si="91"/>
        <v>1717621.67757514</v>
      </c>
      <c r="T97" s="1012"/>
      <c r="U97" s="1012"/>
      <c r="V97" s="1012">
        <f t="shared" si="92"/>
        <v>0</v>
      </c>
      <c r="W97" s="1018">
        <f t="shared" si="98"/>
        <v>1717621.67757514</v>
      </c>
      <c r="X97" s="1235">
        <v>1</v>
      </c>
      <c r="Y97" s="1235"/>
      <c r="Z97" s="1013">
        <f t="shared" si="93"/>
        <v>1717621.67757514</v>
      </c>
      <c r="AA97" s="1013">
        <f t="shared" si="94"/>
        <v>0</v>
      </c>
      <c r="AB97" s="1012">
        <f t="shared" si="95"/>
        <v>1717621.67757514</v>
      </c>
      <c r="AC97" s="1013">
        <f t="shared" si="97"/>
        <v>515802.31</v>
      </c>
      <c r="AD97" s="1013">
        <f t="shared" si="97"/>
        <v>0</v>
      </c>
      <c r="AE97" s="1014">
        <f t="shared" si="96"/>
        <v>515802.31</v>
      </c>
      <c r="AG97" s="921">
        <f t="shared" si="99"/>
        <v>515802.30557812011</v>
      </c>
      <c r="AH97" s="903">
        <f t="shared" si="100"/>
        <v>0</v>
      </c>
      <c r="AI97" s="922">
        <f>1717621.67757514/AF2</f>
        <v>515802.30557812011</v>
      </c>
      <c r="AJ97" s="904"/>
    </row>
    <row r="98" spans="1:44" ht="43.5" customHeight="1" outlineLevel="3" x14ac:dyDescent="0.2">
      <c r="A98" s="1301" t="s">
        <v>326</v>
      </c>
      <c r="B98" s="1217" t="s">
        <v>342</v>
      </c>
      <c r="C98" s="1215"/>
      <c r="D98" s="1216"/>
      <c r="E98" s="1215"/>
      <c r="F98" s="1032"/>
      <c r="G98" s="1032"/>
      <c r="H98" s="1032">
        <f t="shared" si="88"/>
        <v>0</v>
      </c>
      <c r="I98" s="1032"/>
      <c r="J98" s="1032"/>
      <c r="K98" s="1032"/>
      <c r="L98" s="1032"/>
      <c r="M98" s="1012">
        <f t="shared" si="89"/>
        <v>0</v>
      </c>
      <c r="N98" s="1042"/>
      <c r="O98" s="1037"/>
      <c r="P98" s="1037"/>
      <c r="Q98" s="1037"/>
      <c r="R98" s="1012">
        <f t="shared" si="90"/>
        <v>0</v>
      </c>
      <c r="S98" s="1018">
        <f t="shared" si="91"/>
        <v>76424.095046242612</v>
      </c>
      <c r="T98" s="1012"/>
      <c r="U98" s="1012"/>
      <c r="V98" s="1012">
        <f t="shared" si="92"/>
        <v>0</v>
      </c>
      <c r="W98" s="1018">
        <f t="shared" si="98"/>
        <v>76424.095046242612</v>
      </c>
      <c r="X98" s="1235">
        <v>1</v>
      </c>
      <c r="Y98" s="1235"/>
      <c r="Z98" s="1013">
        <f t="shared" si="93"/>
        <v>76424.095046242612</v>
      </c>
      <c r="AA98" s="1013">
        <f t="shared" si="94"/>
        <v>0</v>
      </c>
      <c r="AB98" s="1012">
        <f t="shared" si="95"/>
        <v>76424.095046242612</v>
      </c>
      <c r="AC98" s="1013">
        <f>ROUND(Z98/$AF$2,2)</f>
        <v>22950.18</v>
      </c>
      <c r="AD98" s="1013">
        <f>ROUND(AA98/$AF$2,2)</f>
        <v>0</v>
      </c>
      <c r="AE98" s="1014">
        <f t="shared" si="96"/>
        <v>22950.18</v>
      </c>
      <c r="AG98" s="921">
        <f t="shared" si="99"/>
        <v>22950.178692565347</v>
      </c>
      <c r="AH98" s="903">
        <f t="shared" si="100"/>
        <v>0</v>
      </c>
      <c r="AI98" s="922">
        <f>(90734.1040462426/AF2)-4297.3</f>
        <v>22950.178692565347</v>
      </c>
      <c r="AJ98" s="904"/>
    </row>
    <row r="99" spans="1:44" s="952" customFormat="1" ht="42" customHeight="1" outlineLevel="3" x14ac:dyDescent="0.2">
      <c r="A99" s="1295"/>
      <c r="B99" s="1223" t="s">
        <v>761</v>
      </c>
      <c r="C99" s="1215"/>
      <c r="D99" s="1216"/>
      <c r="E99" s="1215"/>
      <c r="F99" s="1032"/>
      <c r="G99" s="1032"/>
      <c r="H99" s="1032">
        <f>F99+G99</f>
        <v>0</v>
      </c>
      <c r="I99" s="1038"/>
      <c r="J99" s="1038"/>
      <c r="K99" s="1032"/>
      <c r="L99" s="1032"/>
      <c r="M99" s="1012"/>
      <c r="N99" s="1042"/>
      <c r="O99" s="1032"/>
      <c r="P99" s="1037"/>
      <c r="Q99" s="1037"/>
      <c r="R99" s="1012"/>
      <c r="S99" s="1018">
        <f>(H99-M99)</f>
        <v>0</v>
      </c>
      <c r="T99" s="1125">
        <f>AI99*AF2</f>
        <v>0</v>
      </c>
      <c r="U99" s="979"/>
      <c r="V99" s="1012">
        <f>T99+U99</f>
        <v>0</v>
      </c>
      <c r="W99" s="1018">
        <f>(S99+V99)</f>
        <v>0</v>
      </c>
      <c r="X99" s="1242"/>
      <c r="Y99" s="1242"/>
      <c r="Z99" s="1019">
        <f>W99*X99</f>
        <v>0</v>
      </c>
      <c r="AA99" s="1013">
        <f t="shared" si="94"/>
        <v>0</v>
      </c>
      <c r="AB99" s="1012">
        <f>Z99+AA99</f>
        <v>0</v>
      </c>
      <c r="AC99" s="1013">
        <f>ROUND(Z99/$AF$2,2)</f>
        <v>0</v>
      </c>
      <c r="AD99" s="1013">
        <f>ROUND(AA99/$AF$2,2)</f>
        <v>0</v>
      </c>
      <c r="AE99" s="1014">
        <f>AC99+AD99</f>
        <v>0</v>
      </c>
      <c r="AF99" s="960"/>
      <c r="AG99" s="927"/>
      <c r="AH99" s="942"/>
      <c r="AI99" s="1092"/>
      <c r="AJ99" s="984"/>
      <c r="AK99" s="984"/>
    </row>
    <row r="100" spans="1:44" ht="32.25" customHeight="1" outlineLevel="1" x14ac:dyDescent="0.2">
      <c r="A100" s="1304"/>
      <c r="B100" s="973" t="s">
        <v>563</v>
      </c>
      <c r="C100" s="975"/>
      <c r="D100" s="974"/>
      <c r="E100" s="975"/>
      <c r="F100" s="1022">
        <f t="shared" ref="F100:W100" si="101">SUM(F101:F108)</f>
        <v>142280395.70000002</v>
      </c>
      <c r="G100" s="1022">
        <f t="shared" si="101"/>
        <v>0</v>
      </c>
      <c r="H100" s="1022">
        <f t="shared" si="101"/>
        <v>142280395.70000002</v>
      </c>
      <c r="I100" s="1022">
        <f t="shared" si="101"/>
        <v>139284796.24999997</v>
      </c>
      <c r="J100" s="1022">
        <f t="shared" si="101"/>
        <v>0</v>
      </c>
      <c r="K100" s="1022">
        <f t="shared" si="101"/>
        <v>2995599.45</v>
      </c>
      <c r="L100" s="1022">
        <f t="shared" si="101"/>
        <v>0</v>
      </c>
      <c r="M100" s="1022">
        <f t="shared" si="101"/>
        <v>142280395.69999996</v>
      </c>
      <c r="N100" s="1022">
        <f t="shared" si="101"/>
        <v>62103420.990000002</v>
      </c>
      <c r="O100" s="1022">
        <f t="shared" si="101"/>
        <v>0</v>
      </c>
      <c r="P100" s="1022">
        <f t="shared" si="101"/>
        <v>1024826.48</v>
      </c>
      <c r="Q100" s="1022">
        <f t="shared" si="101"/>
        <v>0</v>
      </c>
      <c r="R100" s="1022">
        <f t="shared" si="101"/>
        <v>63128247.470000006</v>
      </c>
      <c r="S100" s="1022">
        <f t="shared" si="101"/>
        <v>0</v>
      </c>
      <c r="T100" s="1022">
        <f t="shared" si="101"/>
        <v>29629774.202</v>
      </c>
      <c r="U100" s="1022">
        <f t="shared" si="101"/>
        <v>0</v>
      </c>
      <c r="V100" s="1288">
        <f t="shared" si="101"/>
        <v>29629774.202</v>
      </c>
      <c r="W100" s="1288">
        <f t="shared" si="101"/>
        <v>29629774.202</v>
      </c>
      <c r="X100" s="1243"/>
      <c r="Y100" s="1243"/>
      <c r="Z100" s="996">
        <f t="shared" ref="Z100:AE100" si="102">SUM(Z101:Z108)</f>
        <v>19635608.111999996</v>
      </c>
      <c r="AA100" s="996">
        <f t="shared" si="102"/>
        <v>9994166.0899999999</v>
      </c>
      <c r="AB100" s="996">
        <f t="shared" si="102"/>
        <v>29629774.202</v>
      </c>
      <c r="AC100" s="996">
        <f t="shared" si="102"/>
        <v>5896579.0099999998</v>
      </c>
      <c r="AD100" s="996">
        <f t="shared" si="102"/>
        <v>3001251.07</v>
      </c>
      <c r="AE100" s="1023">
        <f t="shared" si="102"/>
        <v>8897830.0800000001</v>
      </c>
      <c r="AF100" s="978"/>
      <c r="AG100" s="976">
        <f>SUM(AG101:AG108)</f>
        <v>0</v>
      </c>
      <c r="AH100" s="903">
        <f>SUM(AH101:AH108)</f>
        <v>0</v>
      </c>
      <c r="AI100" s="977">
        <f>SUM(AI101:AI108)</f>
        <v>0</v>
      </c>
      <c r="AJ100" s="904"/>
      <c r="AQ100" s="763"/>
      <c r="AR100" s="698"/>
    </row>
    <row r="101" spans="1:44" ht="25.5" outlineLevel="2" x14ac:dyDescent="0.2">
      <c r="A101" s="1295" t="s">
        <v>309</v>
      </c>
      <c r="B101" s="905" t="s">
        <v>677</v>
      </c>
      <c r="C101" s="970" t="s">
        <v>16</v>
      </c>
      <c r="D101" s="969"/>
      <c r="E101" s="970" t="s">
        <v>70</v>
      </c>
      <c r="F101" s="1046">
        <v>5297280</v>
      </c>
      <c r="G101" s="1032"/>
      <c r="H101" s="1032">
        <f t="shared" ref="H101:H108" si="103">F101+G101</f>
        <v>5297280</v>
      </c>
      <c r="I101" s="1032">
        <v>5249280</v>
      </c>
      <c r="J101" s="1032"/>
      <c r="K101" s="1032">
        <v>48000</v>
      </c>
      <c r="L101" s="1032"/>
      <c r="M101" s="1067">
        <f t="shared" ref="M101:M106" si="104">I101+J101+K101+L101</f>
        <v>5297280</v>
      </c>
      <c r="N101" s="1068">
        <v>2378762.46</v>
      </c>
      <c r="O101" s="1035"/>
      <c r="P101" s="1036">
        <v>16627.560000000001</v>
      </c>
      <c r="Q101" s="1035"/>
      <c r="R101" s="1012">
        <f t="shared" ref="R101:R106" si="105">N101+O101+P101+Q101</f>
        <v>2395390.02</v>
      </c>
      <c r="S101" s="1018">
        <f t="shared" ref="S101:S108" si="106">H101-M101</f>
        <v>0</v>
      </c>
      <c r="T101" s="1012"/>
      <c r="U101" s="1012"/>
      <c r="V101" s="1012">
        <f t="shared" ref="V101:V108" si="107">T101+U101</f>
        <v>0</v>
      </c>
      <c r="W101" s="1018">
        <f t="shared" ref="W101:W108" si="108">+S101+V101</f>
        <v>0</v>
      </c>
      <c r="X101" s="1235">
        <v>0.99</v>
      </c>
      <c r="Y101" s="1235">
        <v>0.01</v>
      </c>
      <c r="Z101" s="1013">
        <f>W101*X101</f>
        <v>0</v>
      </c>
      <c r="AA101" s="1013">
        <f>W101*Y101</f>
        <v>0</v>
      </c>
      <c r="AB101" s="1012">
        <f t="shared" ref="AB101:AB108" si="109">Z101+AA101</f>
        <v>0</v>
      </c>
      <c r="AC101" s="1013">
        <f t="shared" ref="AC101:AD108" si="110">ROUND(Z101/$AF$2,2)</f>
        <v>0</v>
      </c>
      <c r="AD101" s="1013">
        <f t="shared" si="110"/>
        <v>0</v>
      </c>
      <c r="AE101" s="1014">
        <f t="shared" ref="AE101:AE108" si="111">AC101+AD101</f>
        <v>0</v>
      </c>
      <c r="AG101" s="906"/>
      <c r="AH101" s="903"/>
      <c r="AI101" s="907">
        <f>AG101+AH101</f>
        <v>0</v>
      </c>
      <c r="AJ101" s="904"/>
      <c r="AQ101" s="763"/>
      <c r="AR101" s="698"/>
    </row>
    <row r="102" spans="1:44" ht="25.5" outlineLevel="2" x14ac:dyDescent="0.2">
      <c r="A102" s="1295" t="s">
        <v>310</v>
      </c>
      <c r="B102" s="905" t="s">
        <v>678</v>
      </c>
      <c r="C102" s="970" t="s">
        <v>16</v>
      </c>
      <c r="D102" s="969"/>
      <c r="E102" s="970" t="s">
        <v>70</v>
      </c>
      <c r="F102" s="1046">
        <v>389200</v>
      </c>
      <c r="G102" s="1032"/>
      <c r="H102" s="1032">
        <f t="shared" si="103"/>
        <v>389200</v>
      </c>
      <c r="I102" s="1032">
        <v>389200</v>
      </c>
      <c r="J102" s="1032"/>
      <c r="K102" s="1032"/>
      <c r="L102" s="1032"/>
      <c r="M102" s="1067">
        <f t="shared" si="104"/>
        <v>389200</v>
      </c>
      <c r="N102" s="1068">
        <v>173164.79</v>
      </c>
      <c r="O102" s="1035"/>
      <c r="P102" s="1042"/>
      <c r="Q102" s="1013"/>
      <c r="R102" s="1012">
        <f t="shared" si="105"/>
        <v>173164.79</v>
      </c>
      <c r="S102" s="1018">
        <f t="shared" si="106"/>
        <v>0</v>
      </c>
      <c r="T102" s="1012"/>
      <c r="U102" s="1012"/>
      <c r="V102" s="1012">
        <f t="shared" si="107"/>
        <v>0</v>
      </c>
      <c r="W102" s="1018">
        <f t="shared" si="108"/>
        <v>0</v>
      </c>
      <c r="X102" s="1235">
        <v>1</v>
      </c>
      <c r="Y102" s="1235"/>
      <c r="Z102" s="1013">
        <f>W102*X102</f>
        <v>0</v>
      </c>
      <c r="AA102" s="1013">
        <f>W102*Y102</f>
        <v>0</v>
      </c>
      <c r="AB102" s="1012">
        <f t="shared" si="109"/>
        <v>0</v>
      </c>
      <c r="AC102" s="1013">
        <f t="shared" si="110"/>
        <v>0</v>
      </c>
      <c r="AD102" s="1013">
        <f t="shared" si="110"/>
        <v>0</v>
      </c>
      <c r="AE102" s="1014">
        <f t="shared" si="111"/>
        <v>0</v>
      </c>
      <c r="AG102" s="906"/>
      <c r="AH102" s="903"/>
      <c r="AI102" s="907">
        <f>AG102+AH102</f>
        <v>0</v>
      </c>
      <c r="AJ102" s="904"/>
      <c r="AQ102" s="763"/>
      <c r="AR102" s="763"/>
    </row>
    <row r="103" spans="1:44" ht="25.5" outlineLevel="2" x14ac:dyDescent="0.2">
      <c r="A103" s="1295" t="s">
        <v>311</v>
      </c>
      <c r="B103" s="1075" t="s">
        <v>679</v>
      </c>
      <c r="C103" s="970" t="s">
        <v>16</v>
      </c>
      <c r="D103" s="969"/>
      <c r="E103" s="970" t="s">
        <v>70</v>
      </c>
      <c r="F103" s="1046">
        <v>6683184.4700000007</v>
      </c>
      <c r="G103" s="1032"/>
      <c r="H103" s="1032">
        <f t="shared" si="103"/>
        <v>6683184.4700000007</v>
      </c>
      <c r="I103" s="1032">
        <v>6683184.4700000007</v>
      </c>
      <c r="J103" s="1032"/>
      <c r="K103" s="1032"/>
      <c r="L103" s="1032"/>
      <c r="M103" s="1067">
        <f t="shared" si="104"/>
        <v>6683184.4700000007</v>
      </c>
      <c r="N103" s="1068">
        <v>3148162.9900000039</v>
      </c>
      <c r="O103" s="1035"/>
      <c r="P103" s="1042"/>
      <c r="Q103" s="1013"/>
      <c r="R103" s="1012">
        <f t="shared" si="105"/>
        <v>3148162.9900000039</v>
      </c>
      <c r="S103" s="1018">
        <f t="shared" si="106"/>
        <v>0</v>
      </c>
      <c r="T103" s="1012"/>
      <c r="U103" s="1012"/>
      <c r="V103" s="1012">
        <f t="shared" si="107"/>
        <v>0</v>
      </c>
      <c r="W103" s="1018">
        <f t="shared" si="108"/>
        <v>0</v>
      </c>
      <c r="X103" s="1235">
        <v>1</v>
      </c>
      <c r="Y103" s="1235"/>
      <c r="Z103" s="1013">
        <f>W103*X103</f>
        <v>0</v>
      </c>
      <c r="AA103" s="1013">
        <f>W103*Y103</f>
        <v>0</v>
      </c>
      <c r="AB103" s="1012">
        <f t="shared" si="109"/>
        <v>0</v>
      </c>
      <c r="AC103" s="1013">
        <f t="shared" si="110"/>
        <v>0</v>
      </c>
      <c r="AD103" s="1013">
        <f t="shared" si="110"/>
        <v>0</v>
      </c>
      <c r="AE103" s="1014">
        <f t="shared" si="111"/>
        <v>0</v>
      </c>
      <c r="AG103" s="906"/>
      <c r="AH103" s="903"/>
      <c r="AI103" s="907">
        <f>AG103+AH103</f>
        <v>0</v>
      </c>
      <c r="AJ103" s="904"/>
      <c r="AK103" s="698"/>
      <c r="AR103" s="763"/>
    </row>
    <row r="104" spans="1:44" ht="25.5" outlineLevel="2" x14ac:dyDescent="0.2">
      <c r="A104" s="1295" t="s">
        <v>312</v>
      </c>
      <c r="B104" s="1075" t="s">
        <v>680</v>
      </c>
      <c r="C104" s="970" t="s">
        <v>16</v>
      </c>
      <c r="D104" s="969"/>
      <c r="E104" s="970" t="s">
        <v>70</v>
      </c>
      <c r="F104" s="1046">
        <v>24430000</v>
      </c>
      <c r="G104" s="1032"/>
      <c r="H104" s="1032">
        <f t="shared" si="103"/>
        <v>24430000</v>
      </c>
      <c r="I104" s="1032">
        <v>24255000</v>
      </c>
      <c r="J104" s="1032"/>
      <c r="K104" s="1032">
        <v>175000</v>
      </c>
      <c r="L104" s="1032"/>
      <c r="M104" s="1067">
        <f t="shared" si="104"/>
        <v>24430000</v>
      </c>
      <c r="N104" s="1068">
        <v>11598865.49</v>
      </c>
      <c r="O104" s="1035"/>
      <c r="P104" s="1036">
        <v>74687.399999999994</v>
      </c>
      <c r="Q104" s="1035"/>
      <c r="R104" s="1012">
        <f t="shared" si="105"/>
        <v>11673552.890000001</v>
      </c>
      <c r="S104" s="1018">
        <f t="shared" si="106"/>
        <v>0</v>
      </c>
      <c r="T104" s="1012"/>
      <c r="U104" s="1012"/>
      <c r="V104" s="1012">
        <f t="shared" si="107"/>
        <v>0</v>
      </c>
      <c r="W104" s="1018">
        <f t="shared" si="108"/>
        <v>0</v>
      </c>
      <c r="X104" s="1235">
        <v>0.99</v>
      </c>
      <c r="Y104" s="1235">
        <v>0.01</v>
      </c>
      <c r="Z104" s="1013">
        <f>W104*X104</f>
        <v>0</v>
      </c>
      <c r="AA104" s="1013">
        <f>W104*Y104</f>
        <v>0</v>
      </c>
      <c r="AB104" s="1012">
        <f t="shared" si="109"/>
        <v>0</v>
      </c>
      <c r="AC104" s="1013">
        <f t="shared" si="110"/>
        <v>0</v>
      </c>
      <c r="AD104" s="1013">
        <f t="shared" si="110"/>
        <v>0</v>
      </c>
      <c r="AE104" s="1014">
        <f t="shared" si="111"/>
        <v>0</v>
      </c>
      <c r="AG104" s="906"/>
      <c r="AH104" s="903"/>
      <c r="AI104" s="907">
        <f>AG104+AH104</f>
        <v>0</v>
      </c>
      <c r="AJ104" s="904"/>
      <c r="AM104" s="939">
        <f>AM105/V105</f>
        <v>0.17401433930190552</v>
      </c>
    </row>
    <row r="105" spans="1:44" ht="25.5" outlineLevel="2" x14ac:dyDescent="0.2">
      <c r="A105" s="1301" t="s">
        <v>313</v>
      </c>
      <c r="B105" s="1075" t="s">
        <v>681</v>
      </c>
      <c r="C105" s="970" t="s">
        <v>16</v>
      </c>
      <c r="D105" s="969"/>
      <c r="E105" s="970" t="s">
        <v>70</v>
      </c>
      <c r="F105" s="1046">
        <v>102845611.25000001</v>
      </c>
      <c r="G105" s="1032"/>
      <c r="H105" s="1032">
        <f t="shared" si="103"/>
        <v>102845611.25000001</v>
      </c>
      <c r="I105" s="1032">
        <v>100073011.79999997</v>
      </c>
      <c r="J105" s="1032"/>
      <c r="K105" s="1032">
        <v>2772599.45</v>
      </c>
      <c r="L105" s="1032"/>
      <c r="M105" s="1067">
        <f t="shared" si="104"/>
        <v>102845611.24999997</v>
      </c>
      <c r="N105" s="1036">
        <v>44099737.140000001</v>
      </c>
      <c r="O105" s="1035"/>
      <c r="P105" s="1036">
        <v>933511.52</v>
      </c>
      <c r="Q105" s="1035"/>
      <c r="R105" s="1012">
        <f t="shared" si="105"/>
        <v>45033248.660000004</v>
      </c>
      <c r="S105" s="1018">
        <f t="shared" si="106"/>
        <v>0</v>
      </c>
      <c r="T105" s="1018">
        <v>18779774.202</v>
      </c>
      <c r="U105" s="1012"/>
      <c r="V105" s="1012">
        <f t="shared" si="107"/>
        <v>18779774.202</v>
      </c>
      <c r="W105" s="1018">
        <f t="shared" si="108"/>
        <v>18779774.202</v>
      </c>
      <c r="X105" s="1231">
        <f>Z105/W105</f>
        <v>0.6411476507911209</v>
      </c>
      <c r="Y105" s="1231">
        <f>AA105/W105</f>
        <v>0.35885234920887893</v>
      </c>
      <c r="Z105" s="1013">
        <v>12040608.111999998</v>
      </c>
      <c r="AA105" s="1013">
        <v>6739166.0899999999</v>
      </c>
      <c r="AB105" s="1012">
        <f t="shared" si="109"/>
        <v>18779774.202</v>
      </c>
      <c r="AC105" s="1013">
        <f>ROUND(Z105/$AF$2,2)</f>
        <v>3615798.23</v>
      </c>
      <c r="AD105" s="1013">
        <f t="shared" si="110"/>
        <v>2023773.6</v>
      </c>
      <c r="AE105" s="1014">
        <f t="shared" si="111"/>
        <v>5639571.8300000001</v>
      </c>
      <c r="AG105" s="906"/>
      <c r="AH105" s="903"/>
      <c r="AI105" s="907"/>
      <c r="AJ105" s="698"/>
      <c r="AK105" s="698"/>
      <c r="AM105" s="698">
        <v>3267950</v>
      </c>
    </row>
    <row r="106" spans="1:44" ht="38.25" outlineLevel="2" x14ac:dyDescent="0.2">
      <c r="A106" s="1315" t="s">
        <v>745</v>
      </c>
      <c r="B106" s="1075" t="s">
        <v>739</v>
      </c>
      <c r="C106" s="970" t="s">
        <v>16</v>
      </c>
      <c r="D106" s="969"/>
      <c r="E106" s="970" t="s">
        <v>70</v>
      </c>
      <c r="F106" s="1032">
        <v>2635119.98</v>
      </c>
      <c r="G106" s="1032"/>
      <c r="H106" s="1032">
        <f t="shared" si="103"/>
        <v>2635119.98</v>
      </c>
      <c r="I106" s="1032">
        <f>G106+H106</f>
        <v>2635119.98</v>
      </c>
      <c r="J106" s="1032"/>
      <c r="K106" s="1032"/>
      <c r="L106" s="1032"/>
      <c r="M106" s="1067">
        <f t="shared" si="104"/>
        <v>2635119.98</v>
      </c>
      <c r="N106" s="1036">
        <v>704728.12</v>
      </c>
      <c r="O106" s="1035"/>
      <c r="P106" s="1036"/>
      <c r="Q106" s="1035"/>
      <c r="R106" s="1012">
        <f t="shared" si="105"/>
        <v>704728.12</v>
      </c>
      <c r="S106" s="1018">
        <f t="shared" si="106"/>
        <v>0</v>
      </c>
      <c r="T106" s="1018"/>
      <c r="U106" s="1012"/>
      <c r="V106" s="1012">
        <f t="shared" si="107"/>
        <v>0</v>
      </c>
      <c r="W106" s="1018">
        <f t="shared" si="108"/>
        <v>0</v>
      </c>
      <c r="X106" s="1235">
        <v>1</v>
      </c>
      <c r="Y106" s="1235"/>
      <c r="Z106" s="1013"/>
      <c r="AA106" s="1013"/>
      <c r="AB106" s="1012">
        <f t="shared" si="109"/>
        <v>0</v>
      </c>
      <c r="AC106" s="1013">
        <f>ROUND(Z106/$AF$2,2)</f>
        <v>0</v>
      </c>
      <c r="AD106" s="1013">
        <f t="shared" si="110"/>
        <v>0</v>
      </c>
      <c r="AE106" s="1014">
        <f t="shared" si="111"/>
        <v>0</v>
      </c>
      <c r="AF106" s="965"/>
      <c r="AG106" s="921"/>
      <c r="AH106" s="903"/>
      <c r="AI106" s="907">
        <f>AG106+AH106</f>
        <v>0</v>
      </c>
      <c r="AJ106" s="698"/>
      <c r="AK106" s="698"/>
      <c r="AM106" s="698"/>
    </row>
    <row r="107" spans="1:44" ht="24.75" customHeight="1" outlineLevel="2" x14ac:dyDescent="0.2">
      <c r="A107" s="1314" t="s">
        <v>844</v>
      </c>
      <c r="B107" s="935" t="s">
        <v>343</v>
      </c>
      <c r="C107" s="970"/>
      <c r="D107" s="969"/>
      <c r="E107" s="970"/>
      <c r="F107" s="1032"/>
      <c r="G107" s="1032"/>
      <c r="H107" s="1032">
        <f t="shared" si="103"/>
        <v>0</v>
      </c>
      <c r="I107" s="1032"/>
      <c r="J107" s="1032"/>
      <c r="K107" s="1032"/>
      <c r="L107" s="1032"/>
      <c r="M107" s="1012">
        <f>I107+J107+K107+L107</f>
        <v>0</v>
      </c>
      <c r="N107" s="1036"/>
      <c r="O107" s="1035"/>
      <c r="P107" s="1035"/>
      <c r="Q107" s="1035"/>
      <c r="R107" s="1012">
        <f>N107+O107+P107+Q107</f>
        <v>0</v>
      </c>
      <c r="S107" s="1018">
        <f t="shared" si="106"/>
        <v>0</v>
      </c>
      <c r="T107" s="1043">
        <v>4032000</v>
      </c>
      <c r="U107" s="1044"/>
      <c r="V107" s="1012">
        <f t="shared" si="107"/>
        <v>4032000</v>
      </c>
      <c r="W107" s="1018">
        <f t="shared" si="108"/>
        <v>4032000</v>
      </c>
      <c r="X107" s="1231">
        <v>0.7</v>
      </c>
      <c r="Y107" s="1231">
        <v>0.3</v>
      </c>
      <c r="Z107" s="1013">
        <f>W107*X107</f>
        <v>2822400</v>
      </c>
      <c r="AA107" s="1013">
        <f>W107*Y107</f>
        <v>1209600</v>
      </c>
      <c r="AB107" s="1012">
        <f t="shared" si="109"/>
        <v>4032000</v>
      </c>
      <c r="AC107" s="1013">
        <f t="shared" si="110"/>
        <v>847567.57</v>
      </c>
      <c r="AD107" s="1013">
        <f t="shared" si="110"/>
        <v>363243.24</v>
      </c>
      <c r="AE107" s="1014">
        <f t="shared" si="111"/>
        <v>1210810.81</v>
      </c>
      <c r="AG107" s="921"/>
      <c r="AH107" s="903"/>
      <c r="AI107" s="907">
        <f>AG107+AH107</f>
        <v>0</v>
      </c>
      <c r="AJ107" s="698">
        <f>1969720</f>
        <v>1969720</v>
      </c>
      <c r="AK107" s="763">
        <f>AJ107/3.1394</f>
        <v>627419.25208638585</v>
      </c>
    </row>
    <row r="108" spans="1:44" ht="57" customHeight="1" outlineLevel="2" x14ac:dyDescent="0.2">
      <c r="A108" s="1314" t="s">
        <v>845</v>
      </c>
      <c r="B108" s="935" t="s">
        <v>345</v>
      </c>
      <c r="C108" s="970"/>
      <c r="D108" s="969"/>
      <c r="E108" s="970"/>
      <c r="F108" s="1032"/>
      <c r="G108" s="1032"/>
      <c r="H108" s="1032">
        <f t="shared" si="103"/>
        <v>0</v>
      </c>
      <c r="I108" s="1032"/>
      <c r="J108" s="1032"/>
      <c r="K108" s="1032"/>
      <c r="L108" s="1032"/>
      <c r="M108" s="1012">
        <f>I108+J108+K108+L108</f>
        <v>0</v>
      </c>
      <c r="N108" s="1036"/>
      <c r="O108" s="1035"/>
      <c r="P108" s="1035"/>
      <c r="Q108" s="1035"/>
      <c r="R108" s="1012">
        <f>N108+O108+P108+Q108</f>
        <v>0</v>
      </c>
      <c r="S108" s="1018">
        <f t="shared" si="106"/>
        <v>0</v>
      </c>
      <c r="T108" s="1043">
        <v>6818000</v>
      </c>
      <c r="U108" s="1044"/>
      <c r="V108" s="1012">
        <f t="shared" si="107"/>
        <v>6818000</v>
      </c>
      <c r="W108" s="1018">
        <f t="shared" si="108"/>
        <v>6818000</v>
      </c>
      <c r="X108" s="1231">
        <v>0.7</v>
      </c>
      <c r="Y108" s="1231">
        <v>0.3</v>
      </c>
      <c r="Z108" s="1013">
        <f>W108*X108</f>
        <v>4772600</v>
      </c>
      <c r="AA108" s="1013">
        <f>W108*Y108</f>
        <v>2045400</v>
      </c>
      <c r="AB108" s="1012">
        <f t="shared" si="109"/>
        <v>6818000</v>
      </c>
      <c r="AC108" s="1013">
        <f t="shared" si="110"/>
        <v>1433213.21</v>
      </c>
      <c r="AD108" s="1013">
        <f t="shared" si="110"/>
        <v>614234.23</v>
      </c>
      <c r="AE108" s="1014">
        <f t="shared" si="111"/>
        <v>2047447.44</v>
      </c>
      <c r="AG108" s="921"/>
      <c r="AH108" s="903"/>
      <c r="AI108" s="907">
        <f>AG108+AH108</f>
        <v>0</v>
      </c>
      <c r="AJ108" s="698">
        <f>14312000+3974000+1540800</f>
        <v>19826800</v>
      </c>
      <c r="AK108" s="763">
        <f>AJ108/3.1394</f>
        <v>6315474.2944511687</v>
      </c>
      <c r="AL108" s="665">
        <f>14312000+1120000+3066000</f>
        <v>18498000</v>
      </c>
    </row>
    <row r="109" spans="1:44" ht="26.25" customHeight="1" outlineLevel="1" x14ac:dyDescent="0.2">
      <c r="A109" s="1295"/>
      <c r="B109" s="926" t="s">
        <v>219</v>
      </c>
      <c r="C109" s="1112"/>
      <c r="D109" s="929"/>
      <c r="E109" s="930"/>
      <c r="F109" s="994">
        <f t="shared" ref="F109:W109" si="112">+F110+F123+F136</f>
        <v>22933929.460000001</v>
      </c>
      <c r="G109" s="994">
        <f t="shared" si="112"/>
        <v>110295.48999999999</v>
      </c>
      <c r="H109" s="994">
        <f t="shared" si="112"/>
        <v>23044224.949999999</v>
      </c>
      <c r="I109" s="994">
        <f t="shared" si="112"/>
        <v>12266597.199999999</v>
      </c>
      <c r="J109" s="994">
        <f t="shared" si="112"/>
        <v>139140.50999999998</v>
      </c>
      <c r="K109" s="994">
        <f t="shared" si="112"/>
        <v>0</v>
      </c>
      <c r="L109" s="994">
        <f t="shared" si="112"/>
        <v>0</v>
      </c>
      <c r="M109" s="994">
        <f t="shared" si="112"/>
        <v>12405737.710000001</v>
      </c>
      <c r="N109" s="994">
        <f t="shared" si="112"/>
        <v>3555054.8999999994</v>
      </c>
      <c r="O109" s="994">
        <f t="shared" si="112"/>
        <v>39646.949999999997</v>
      </c>
      <c r="P109" s="994">
        <f t="shared" si="112"/>
        <v>0</v>
      </c>
      <c r="Q109" s="994">
        <f t="shared" si="112"/>
        <v>0</v>
      </c>
      <c r="R109" s="994">
        <f t="shared" si="112"/>
        <v>3594701.8499999996</v>
      </c>
      <c r="S109" s="994">
        <f t="shared" si="112"/>
        <v>15232747.239999998</v>
      </c>
      <c r="T109" s="994">
        <f t="shared" si="112"/>
        <v>3561773.7055555554</v>
      </c>
      <c r="U109" s="994">
        <f t="shared" si="112"/>
        <v>339999.77055555553</v>
      </c>
      <c r="V109" s="994">
        <f t="shared" si="112"/>
        <v>3901773.4761111112</v>
      </c>
      <c r="W109" s="994">
        <f t="shared" si="112"/>
        <v>19134520.716111109</v>
      </c>
      <c r="X109" s="1240"/>
      <c r="Y109" s="1240"/>
      <c r="Z109" s="994">
        <f t="shared" ref="Z109:AE109" si="113">+Z110+Z123+Z136</f>
        <v>19134520.716111109</v>
      </c>
      <c r="AA109" s="994">
        <f t="shared" si="113"/>
        <v>0</v>
      </c>
      <c r="AB109" s="994">
        <f t="shared" si="113"/>
        <v>19134520.716111109</v>
      </c>
      <c r="AC109" s="994">
        <f t="shared" si="113"/>
        <v>5746102.3399999999</v>
      </c>
      <c r="AD109" s="994">
        <f t="shared" si="113"/>
        <v>0</v>
      </c>
      <c r="AE109" s="1021">
        <f t="shared" si="113"/>
        <v>5746102.3399999999</v>
      </c>
      <c r="AF109" s="893"/>
      <c r="AG109" s="927">
        <f>+AG110+AG123+AG136</f>
        <v>1379657.6576576577</v>
      </c>
      <c r="AH109" s="942">
        <f>+AH110+AH123+AH136</f>
        <v>0</v>
      </c>
      <c r="AI109" s="928">
        <f>+AI110+AI123+AI136</f>
        <v>1379657.6576576577</v>
      </c>
      <c r="AJ109" s="904"/>
    </row>
    <row r="110" spans="1:44" outlineLevel="2" collapsed="1" x14ac:dyDescent="0.2">
      <c r="A110" s="1294"/>
      <c r="B110" s="897" t="s">
        <v>675</v>
      </c>
      <c r="C110" s="1110"/>
      <c r="D110" s="898"/>
      <c r="E110" s="897"/>
      <c r="F110" s="988">
        <f t="shared" ref="F110:W110" si="114">SUBTOTAL(9,F111:F122)</f>
        <v>6763741</v>
      </c>
      <c r="G110" s="988">
        <f t="shared" si="114"/>
        <v>0</v>
      </c>
      <c r="H110" s="988">
        <f t="shared" si="114"/>
        <v>6763741</v>
      </c>
      <c r="I110" s="988">
        <f t="shared" si="114"/>
        <v>6763741</v>
      </c>
      <c r="J110" s="988">
        <f t="shared" si="114"/>
        <v>0</v>
      </c>
      <c r="K110" s="988">
        <f t="shared" si="114"/>
        <v>0</v>
      </c>
      <c r="L110" s="988">
        <f t="shared" si="114"/>
        <v>0</v>
      </c>
      <c r="M110" s="988">
        <f t="shared" si="114"/>
        <v>6763741</v>
      </c>
      <c r="N110" s="988">
        <f t="shared" si="114"/>
        <v>1982100.9899999998</v>
      </c>
      <c r="O110" s="988">
        <f t="shared" si="114"/>
        <v>0</v>
      </c>
      <c r="P110" s="988">
        <f t="shared" si="114"/>
        <v>0</v>
      </c>
      <c r="Q110" s="988">
        <f t="shared" si="114"/>
        <v>0</v>
      </c>
      <c r="R110" s="988">
        <f t="shared" si="114"/>
        <v>1982100.9899999998</v>
      </c>
      <c r="S110" s="988">
        <f t="shared" si="114"/>
        <v>0</v>
      </c>
      <c r="T110" s="988">
        <f t="shared" si="114"/>
        <v>0</v>
      </c>
      <c r="U110" s="988">
        <f t="shared" si="114"/>
        <v>0</v>
      </c>
      <c r="V110" s="988">
        <f t="shared" si="114"/>
        <v>0</v>
      </c>
      <c r="W110" s="988">
        <f t="shared" si="114"/>
        <v>0</v>
      </c>
      <c r="X110" s="1227"/>
      <c r="Y110" s="1227"/>
      <c r="Z110" s="988">
        <f t="shared" ref="Z110:AE110" si="115">SUBTOTAL(9,Z111:Z122)</f>
        <v>0</v>
      </c>
      <c r="AA110" s="988">
        <f t="shared" si="115"/>
        <v>0</v>
      </c>
      <c r="AB110" s="988">
        <f t="shared" si="115"/>
        <v>0</v>
      </c>
      <c r="AC110" s="988">
        <f t="shared" si="115"/>
        <v>0</v>
      </c>
      <c r="AD110" s="988">
        <f t="shared" si="115"/>
        <v>0</v>
      </c>
      <c r="AE110" s="1011">
        <f t="shared" si="115"/>
        <v>0</v>
      </c>
      <c r="AF110" s="893"/>
      <c r="AG110" s="899">
        <f>SUBTOTAL(9,AG111:AG122)</f>
        <v>0</v>
      </c>
      <c r="AH110" s="942">
        <f>SUBTOTAL(9,AH111:AH122)</f>
        <v>0</v>
      </c>
      <c r="AI110" s="900">
        <f>SUBTOTAL(9,AI111:AI122)</f>
        <v>0</v>
      </c>
      <c r="AJ110" s="904"/>
      <c r="AK110" s="763">
        <f>+AJ108-AL108</f>
        <v>1328800</v>
      </c>
    </row>
    <row r="111" spans="1:44" ht="51" hidden="1" outlineLevel="3" x14ac:dyDescent="0.2">
      <c r="A111" s="1300" t="s">
        <v>818</v>
      </c>
      <c r="B111" s="940" t="s">
        <v>682</v>
      </c>
      <c r="C111" s="902" t="s">
        <v>24</v>
      </c>
      <c r="D111" s="901" t="s">
        <v>106</v>
      </c>
      <c r="E111" s="902" t="s">
        <v>58</v>
      </c>
      <c r="F111" s="1038">
        <v>2672</v>
      </c>
      <c r="G111" s="1038"/>
      <c r="H111" s="1038">
        <f t="shared" ref="H111:H135" si="116">F111+G111</f>
        <v>2672</v>
      </c>
      <c r="I111" s="1038">
        <v>2672</v>
      </c>
      <c r="J111" s="1038"/>
      <c r="K111" s="1038"/>
      <c r="L111" s="1038"/>
      <c r="M111" s="1018">
        <f t="shared" ref="M111:M116" si="117">I111+J111+K111+L111</f>
        <v>2672</v>
      </c>
      <c r="N111" s="1039">
        <v>901.85</v>
      </c>
      <c r="O111" s="1041"/>
      <c r="P111" s="1019"/>
      <c r="Q111" s="1019"/>
      <c r="R111" s="1018">
        <f t="shared" ref="R111:R129" si="118">N111+O111+P111+Q111</f>
        <v>901.85</v>
      </c>
      <c r="S111" s="1018">
        <f t="shared" ref="S111:S135" si="119">H111-M111</f>
        <v>0</v>
      </c>
      <c r="T111" s="1018"/>
      <c r="U111" s="1018"/>
      <c r="V111" s="1018">
        <f t="shared" ref="V111:V116" si="120">T111+U111</f>
        <v>0</v>
      </c>
      <c r="W111" s="1018">
        <f t="shared" ref="W111:W141" si="121">+S111+V111</f>
        <v>0</v>
      </c>
      <c r="X111" s="1235">
        <v>1</v>
      </c>
      <c r="Y111" s="1235"/>
      <c r="Z111" s="1019">
        <f t="shared" ref="Z111:Z116" si="122">W111*X111</f>
        <v>0</v>
      </c>
      <c r="AA111" s="1019">
        <f t="shared" ref="AA111:AA141" si="123">S111*Y111</f>
        <v>0</v>
      </c>
      <c r="AB111" s="1018">
        <f t="shared" ref="AB111:AB129" si="124">Z111+AA111</f>
        <v>0</v>
      </c>
      <c r="AC111" s="1019">
        <f t="shared" ref="AC111:AD127" si="125">ROUND(Z111/$AF$2,2)</f>
        <v>0</v>
      </c>
      <c r="AD111" s="1019">
        <f t="shared" si="125"/>
        <v>0</v>
      </c>
      <c r="AE111" s="1020">
        <f t="shared" ref="AE111:AE129" si="126">AC111+AD111</f>
        <v>0</v>
      </c>
      <c r="AF111" s="981"/>
      <c r="AG111" s="906"/>
      <c r="AH111" s="903"/>
      <c r="AI111" s="907">
        <f t="shared" ref="AI111:AI130" si="127">AG111+AH111</f>
        <v>0</v>
      </c>
      <c r="AJ111" s="904"/>
    </row>
    <row r="112" spans="1:44" ht="86.25" hidden="1" customHeight="1" outlineLevel="3" x14ac:dyDescent="0.2">
      <c r="A112" s="1300" t="s">
        <v>819</v>
      </c>
      <c r="B112" s="940" t="s">
        <v>683</v>
      </c>
      <c r="C112" s="902" t="s">
        <v>147</v>
      </c>
      <c r="D112" s="901" t="s">
        <v>150</v>
      </c>
      <c r="E112" s="902" t="s">
        <v>144</v>
      </c>
      <c r="F112" s="1038">
        <v>1495245</v>
      </c>
      <c r="G112" s="1038"/>
      <c r="H112" s="1038">
        <f t="shared" si="116"/>
        <v>1495245</v>
      </c>
      <c r="I112" s="1038">
        <v>1495245</v>
      </c>
      <c r="J112" s="1038"/>
      <c r="K112" s="1038"/>
      <c r="L112" s="1038"/>
      <c r="M112" s="1018">
        <f t="shared" si="117"/>
        <v>1495245</v>
      </c>
      <c r="N112" s="1039">
        <v>432151.73</v>
      </c>
      <c r="O112" s="1041"/>
      <c r="P112" s="1019"/>
      <c r="Q112" s="1019"/>
      <c r="R112" s="1018">
        <f t="shared" si="118"/>
        <v>432151.73</v>
      </c>
      <c r="S112" s="1018">
        <f t="shared" si="119"/>
        <v>0</v>
      </c>
      <c r="T112" s="1018"/>
      <c r="U112" s="1018"/>
      <c r="V112" s="1018">
        <f t="shared" si="120"/>
        <v>0</v>
      </c>
      <c r="W112" s="1018">
        <f t="shared" si="121"/>
        <v>0</v>
      </c>
      <c r="X112" s="1235">
        <v>1</v>
      </c>
      <c r="Y112" s="1235"/>
      <c r="Z112" s="1019">
        <f t="shared" si="122"/>
        <v>0</v>
      </c>
      <c r="AA112" s="1019">
        <f t="shared" si="123"/>
        <v>0</v>
      </c>
      <c r="AB112" s="1018">
        <f t="shared" si="124"/>
        <v>0</v>
      </c>
      <c r="AC112" s="1019">
        <f t="shared" si="125"/>
        <v>0</v>
      </c>
      <c r="AD112" s="1019">
        <f t="shared" si="125"/>
        <v>0</v>
      </c>
      <c r="AE112" s="1020">
        <f t="shared" si="126"/>
        <v>0</v>
      </c>
      <c r="AF112" s="1071"/>
      <c r="AG112" s="906"/>
      <c r="AH112" s="903"/>
      <c r="AI112" s="907">
        <f t="shared" si="127"/>
        <v>0</v>
      </c>
      <c r="AJ112" s="904"/>
    </row>
    <row r="113" spans="1:37" ht="57" hidden="1" outlineLevel="3" x14ac:dyDescent="0.2">
      <c r="A113" s="1300" t="s">
        <v>820</v>
      </c>
      <c r="B113" s="915" t="s">
        <v>684</v>
      </c>
      <c r="C113" s="902" t="s">
        <v>149</v>
      </c>
      <c r="D113" s="901" t="s">
        <v>143</v>
      </c>
      <c r="E113" s="902" t="s">
        <v>144</v>
      </c>
      <c r="F113" s="1038">
        <v>1008000</v>
      </c>
      <c r="G113" s="1038"/>
      <c r="H113" s="1038">
        <f t="shared" si="116"/>
        <v>1008000</v>
      </c>
      <c r="I113" s="1038">
        <v>1008000</v>
      </c>
      <c r="J113" s="1038"/>
      <c r="K113" s="1038"/>
      <c r="L113" s="1038"/>
      <c r="M113" s="1018">
        <f t="shared" si="117"/>
        <v>1008000</v>
      </c>
      <c r="N113" s="1039">
        <v>291329.48</v>
      </c>
      <c r="O113" s="1041"/>
      <c r="P113" s="1019"/>
      <c r="Q113" s="1019"/>
      <c r="R113" s="1018">
        <f t="shared" si="118"/>
        <v>291329.48</v>
      </c>
      <c r="S113" s="1018">
        <f t="shared" si="119"/>
        <v>0</v>
      </c>
      <c r="T113" s="1018"/>
      <c r="U113" s="1018"/>
      <c r="V113" s="1018">
        <f t="shared" si="120"/>
        <v>0</v>
      </c>
      <c r="W113" s="1018">
        <f t="shared" si="121"/>
        <v>0</v>
      </c>
      <c r="X113" s="1235">
        <v>1</v>
      </c>
      <c r="Y113" s="1235"/>
      <c r="Z113" s="1019">
        <f t="shared" si="122"/>
        <v>0</v>
      </c>
      <c r="AA113" s="1019">
        <f t="shared" si="123"/>
        <v>0</v>
      </c>
      <c r="AB113" s="1018">
        <f t="shared" si="124"/>
        <v>0</v>
      </c>
      <c r="AC113" s="1019">
        <f t="shared" si="125"/>
        <v>0</v>
      </c>
      <c r="AD113" s="1019">
        <f t="shared" si="125"/>
        <v>0</v>
      </c>
      <c r="AE113" s="1020">
        <f t="shared" si="126"/>
        <v>0</v>
      </c>
      <c r="AF113" s="981"/>
      <c r="AG113" s="906"/>
      <c r="AH113" s="903"/>
      <c r="AI113" s="907">
        <f t="shared" si="127"/>
        <v>0</v>
      </c>
      <c r="AJ113" s="904"/>
    </row>
    <row r="114" spans="1:37" ht="48" hidden="1" customHeight="1" outlineLevel="3" x14ac:dyDescent="0.2">
      <c r="A114" s="1300" t="s">
        <v>821</v>
      </c>
      <c r="B114" s="914" t="s">
        <v>685</v>
      </c>
      <c r="C114" s="902" t="s">
        <v>38</v>
      </c>
      <c r="D114" s="901" t="s">
        <v>116</v>
      </c>
      <c r="E114" s="902" t="s">
        <v>64</v>
      </c>
      <c r="F114" s="1032">
        <v>1965</v>
      </c>
      <c r="G114" s="1038"/>
      <c r="H114" s="1038">
        <f t="shared" si="116"/>
        <v>1965</v>
      </c>
      <c r="I114" s="1038">
        <v>1965</v>
      </c>
      <c r="J114" s="1038"/>
      <c r="K114" s="1038"/>
      <c r="L114" s="1038"/>
      <c r="M114" s="1018">
        <f t="shared" si="117"/>
        <v>1965</v>
      </c>
      <c r="N114" s="1039">
        <v>792.85</v>
      </c>
      <c r="O114" s="1041"/>
      <c r="P114" s="1019"/>
      <c r="Q114" s="1019"/>
      <c r="R114" s="1018">
        <f t="shared" si="118"/>
        <v>792.85</v>
      </c>
      <c r="S114" s="1018">
        <f t="shared" si="119"/>
        <v>0</v>
      </c>
      <c r="T114" s="1018"/>
      <c r="U114" s="1018"/>
      <c r="V114" s="1018">
        <f t="shared" si="120"/>
        <v>0</v>
      </c>
      <c r="W114" s="1018">
        <f t="shared" si="121"/>
        <v>0</v>
      </c>
      <c r="X114" s="1235">
        <v>1</v>
      </c>
      <c r="Y114" s="1235"/>
      <c r="Z114" s="1019">
        <f t="shared" si="122"/>
        <v>0</v>
      </c>
      <c r="AA114" s="1019">
        <f t="shared" si="123"/>
        <v>0</v>
      </c>
      <c r="AB114" s="1018">
        <f t="shared" si="124"/>
        <v>0</v>
      </c>
      <c r="AC114" s="1019">
        <f t="shared" si="125"/>
        <v>0</v>
      </c>
      <c r="AD114" s="1019">
        <f t="shared" si="125"/>
        <v>0</v>
      </c>
      <c r="AE114" s="1020">
        <f t="shared" si="126"/>
        <v>0</v>
      </c>
      <c r="AF114" s="981"/>
      <c r="AG114" s="906"/>
      <c r="AH114" s="903"/>
      <c r="AI114" s="907">
        <f t="shared" si="127"/>
        <v>0</v>
      </c>
      <c r="AJ114" s="904"/>
    </row>
    <row r="115" spans="1:37" ht="63.75" hidden="1" outlineLevel="3" x14ac:dyDescent="0.2">
      <c r="A115" s="1300" t="s">
        <v>822</v>
      </c>
      <c r="B115" s="905" t="s">
        <v>686</v>
      </c>
      <c r="C115" s="902" t="s">
        <v>154</v>
      </c>
      <c r="D115" s="901" t="s">
        <v>143</v>
      </c>
      <c r="E115" s="902" t="s">
        <v>144</v>
      </c>
      <c r="F115" s="1038">
        <v>729280</v>
      </c>
      <c r="G115" s="1038"/>
      <c r="H115" s="1038">
        <f t="shared" si="116"/>
        <v>729280</v>
      </c>
      <c r="I115" s="1038">
        <v>729280</v>
      </c>
      <c r="J115" s="1038"/>
      <c r="K115" s="1038"/>
      <c r="L115" s="1038"/>
      <c r="M115" s="1018">
        <f t="shared" si="117"/>
        <v>729280</v>
      </c>
      <c r="N115" s="1039">
        <v>210774.57</v>
      </c>
      <c r="O115" s="1041"/>
      <c r="P115" s="1019"/>
      <c r="Q115" s="1019"/>
      <c r="R115" s="1018">
        <f t="shared" si="118"/>
        <v>210774.57</v>
      </c>
      <c r="S115" s="1018">
        <f t="shared" si="119"/>
        <v>0</v>
      </c>
      <c r="T115" s="1018"/>
      <c r="U115" s="1018"/>
      <c r="V115" s="1018">
        <f t="shared" si="120"/>
        <v>0</v>
      </c>
      <c r="W115" s="1018">
        <f t="shared" si="121"/>
        <v>0</v>
      </c>
      <c r="X115" s="1235">
        <v>1</v>
      </c>
      <c r="Y115" s="1235"/>
      <c r="Z115" s="1019">
        <f t="shared" si="122"/>
        <v>0</v>
      </c>
      <c r="AA115" s="1019">
        <f t="shared" si="123"/>
        <v>0</v>
      </c>
      <c r="AB115" s="1018">
        <f t="shared" si="124"/>
        <v>0</v>
      </c>
      <c r="AC115" s="1019">
        <f t="shared" si="125"/>
        <v>0</v>
      </c>
      <c r="AD115" s="1019">
        <f t="shared" si="125"/>
        <v>0</v>
      </c>
      <c r="AE115" s="1020">
        <f t="shared" si="126"/>
        <v>0</v>
      </c>
      <c r="AG115" s="906"/>
      <c r="AH115" s="903"/>
      <c r="AI115" s="907">
        <f t="shared" si="127"/>
        <v>0</v>
      </c>
      <c r="AJ115" s="904"/>
    </row>
    <row r="116" spans="1:37" ht="57.75" hidden="1" outlineLevel="3" thickBot="1" x14ac:dyDescent="0.25">
      <c r="A116" s="1300" t="s">
        <v>823</v>
      </c>
      <c r="B116" s="940" t="s">
        <v>687</v>
      </c>
      <c r="C116" s="902" t="s">
        <v>151</v>
      </c>
      <c r="D116" s="901" t="s">
        <v>150</v>
      </c>
      <c r="E116" s="902" t="s">
        <v>144</v>
      </c>
      <c r="F116" s="1038">
        <v>49500</v>
      </c>
      <c r="G116" s="1038"/>
      <c r="H116" s="1038">
        <f t="shared" si="116"/>
        <v>49500</v>
      </c>
      <c r="I116" s="1038">
        <v>49500</v>
      </c>
      <c r="J116" s="1038"/>
      <c r="K116" s="1038"/>
      <c r="L116" s="1038"/>
      <c r="M116" s="1018">
        <f t="shared" si="117"/>
        <v>49500</v>
      </c>
      <c r="N116" s="1039">
        <v>14306.36</v>
      </c>
      <c r="O116" s="1041"/>
      <c r="P116" s="1019"/>
      <c r="Q116" s="1019"/>
      <c r="R116" s="1018">
        <f t="shared" si="118"/>
        <v>14306.36</v>
      </c>
      <c r="S116" s="1018">
        <f t="shared" si="119"/>
        <v>0</v>
      </c>
      <c r="T116" s="1018"/>
      <c r="U116" s="1018"/>
      <c r="V116" s="1018">
        <f t="shared" si="120"/>
        <v>0</v>
      </c>
      <c r="W116" s="1018">
        <f t="shared" si="121"/>
        <v>0</v>
      </c>
      <c r="X116" s="1235">
        <v>1</v>
      </c>
      <c r="Y116" s="1235"/>
      <c r="Z116" s="1019">
        <f t="shared" si="122"/>
        <v>0</v>
      </c>
      <c r="AA116" s="1019">
        <f t="shared" si="123"/>
        <v>0</v>
      </c>
      <c r="AB116" s="1018">
        <f t="shared" si="124"/>
        <v>0</v>
      </c>
      <c r="AC116" s="1019">
        <f t="shared" si="125"/>
        <v>0</v>
      </c>
      <c r="AD116" s="1019">
        <f t="shared" si="125"/>
        <v>0</v>
      </c>
      <c r="AE116" s="1020">
        <f t="shared" si="126"/>
        <v>0</v>
      </c>
      <c r="AG116" s="906"/>
      <c r="AH116" s="903"/>
      <c r="AI116" s="907">
        <f t="shared" si="127"/>
        <v>0</v>
      </c>
      <c r="AJ116" s="904"/>
    </row>
    <row r="117" spans="1:37" ht="89.25" hidden="1" outlineLevel="3" x14ac:dyDescent="0.2">
      <c r="A117" s="1300" t="s">
        <v>824</v>
      </c>
      <c r="B117" s="905" t="s">
        <v>688</v>
      </c>
      <c r="C117" s="902" t="s">
        <v>39</v>
      </c>
      <c r="D117" s="901" t="s">
        <v>117</v>
      </c>
      <c r="E117" s="902" t="s">
        <v>67</v>
      </c>
      <c r="F117" s="1038">
        <v>204584</v>
      </c>
      <c r="G117" s="1038"/>
      <c r="H117" s="1038">
        <f t="shared" si="116"/>
        <v>204584</v>
      </c>
      <c r="I117" s="1038">
        <v>204584</v>
      </c>
      <c r="J117" s="1038"/>
      <c r="K117" s="1038"/>
      <c r="L117" s="1038"/>
      <c r="M117" s="1018">
        <f t="shared" ref="M117:M122" si="128">I117+J117+K117+L117</f>
        <v>204584</v>
      </c>
      <c r="N117" s="1039">
        <v>86036.36</v>
      </c>
      <c r="O117" s="1019"/>
      <c r="P117" s="1019"/>
      <c r="Q117" s="1019"/>
      <c r="R117" s="1018">
        <f t="shared" si="118"/>
        <v>86036.36</v>
      </c>
      <c r="S117" s="1018">
        <f t="shared" si="119"/>
        <v>0</v>
      </c>
      <c r="T117" s="1018"/>
      <c r="U117" s="1018"/>
      <c r="V117" s="1018">
        <f t="shared" ref="V117:V122" si="129">T117+U117</f>
        <v>0</v>
      </c>
      <c r="W117" s="1018">
        <f t="shared" si="121"/>
        <v>0</v>
      </c>
      <c r="X117" s="1235">
        <v>1</v>
      </c>
      <c r="Y117" s="1235"/>
      <c r="Z117" s="1019">
        <f>S117*X117</f>
        <v>0</v>
      </c>
      <c r="AA117" s="1019">
        <f t="shared" si="123"/>
        <v>0</v>
      </c>
      <c r="AB117" s="1018">
        <f t="shared" si="124"/>
        <v>0</v>
      </c>
      <c r="AC117" s="1019">
        <f t="shared" si="125"/>
        <v>0</v>
      </c>
      <c r="AD117" s="1019">
        <f t="shared" si="125"/>
        <v>0</v>
      </c>
      <c r="AE117" s="1020">
        <f t="shared" si="126"/>
        <v>0</v>
      </c>
      <c r="AG117" s="912"/>
      <c r="AH117" s="1052"/>
      <c r="AI117" s="913">
        <f t="shared" si="127"/>
        <v>0</v>
      </c>
      <c r="AJ117" s="904"/>
      <c r="AK117" s="698"/>
    </row>
    <row r="118" spans="1:37" ht="102" hidden="1" outlineLevel="3" x14ac:dyDescent="0.2">
      <c r="A118" s="1300" t="s">
        <v>825</v>
      </c>
      <c r="B118" s="905" t="s">
        <v>689</v>
      </c>
      <c r="C118" s="902" t="s">
        <v>152</v>
      </c>
      <c r="D118" s="901" t="s">
        <v>153</v>
      </c>
      <c r="E118" s="902" t="s">
        <v>144</v>
      </c>
      <c r="F118" s="1038">
        <v>1750100</v>
      </c>
      <c r="G118" s="1038"/>
      <c r="H118" s="1038">
        <f>F118+G118</f>
        <v>1750100</v>
      </c>
      <c r="I118" s="1038">
        <v>1750100</v>
      </c>
      <c r="J118" s="1038"/>
      <c r="K118" s="1038"/>
      <c r="L118" s="1038"/>
      <c r="M118" s="1018">
        <f t="shared" si="128"/>
        <v>1750100</v>
      </c>
      <c r="N118" s="1039">
        <v>505809.24</v>
      </c>
      <c r="O118" s="1041"/>
      <c r="P118" s="1019"/>
      <c r="Q118" s="1019"/>
      <c r="R118" s="1018">
        <f>N118+O118+P118+Q118</f>
        <v>505809.24</v>
      </c>
      <c r="S118" s="1018">
        <f>H118-M118</f>
        <v>0</v>
      </c>
      <c r="T118" s="1018"/>
      <c r="U118" s="1018"/>
      <c r="V118" s="1018">
        <f t="shared" si="129"/>
        <v>0</v>
      </c>
      <c r="W118" s="1018">
        <f>+S118+V118</f>
        <v>0</v>
      </c>
      <c r="X118" s="1235">
        <v>1</v>
      </c>
      <c r="Y118" s="1235"/>
      <c r="Z118" s="1019">
        <f>W118*X118</f>
        <v>0</v>
      </c>
      <c r="AA118" s="1019">
        <f>S118*Y118</f>
        <v>0</v>
      </c>
      <c r="AB118" s="1018">
        <f>Z118+AA118</f>
        <v>0</v>
      </c>
      <c r="AC118" s="1019">
        <f t="shared" si="125"/>
        <v>0</v>
      </c>
      <c r="AD118" s="1019">
        <f t="shared" si="125"/>
        <v>0</v>
      </c>
      <c r="AE118" s="1020">
        <f>AC118+AD118</f>
        <v>0</v>
      </c>
      <c r="AG118" s="906"/>
      <c r="AH118" s="903"/>
      <c r="AI118" s="907">
        <f>AG118+AH118</f>
        <v>0</v>
      </c>
      <c r="AJ118" s="904"/>
    </row>
    <row r="119" spans="1:37" ht="51" hidden="1" outlineLevel="3" x14ac:dyDescent="0.2">
      <c r="A119" s="1311" t="s">
        <v>826</v>
      </c>
      <c r="B119" s="914" t="s">
        <v>696</v>
      </c>
      <c r="C119" s="902" t="s">
        <v>430</v>
      </c>
      <c r="D119" s="901" t="s">
        <v>446</v>
      </c>
      <c r="E119" s="902" t="s">
        <v>144</v>
      </c>
      <c r="F119" s="1032">
        <v>315000</v>
      </c>
      <c r="G119" s="1038"/>
      <c r="H119" s="1038">
        <f>F119+G119</f>
        <v>315000</v>
      </c>
      <c r="I119" s="1038">
        <v>315000</v>
      </c>
      <c r="J119" s="1038"/>
      <c r="K119" s="1038"/>
      <c r="L119" s="1038"/>
      <c r="M119" s="1018">
        <f t="shared" si="128"/>
        <v>315000</v>
      </c>
      <c r="N119" s="1036">
        <v>91040.46</v>
      </c>
      <c r="O119" s="1035"/>
      <c r="P119" s="1013"/>
      <c r="Q119" s="1013"/>
      <c r="R119" s="1018">
        <f>N119+O119+P119+Q119</f>
        <v>91040.46</v>
      </c>
      <c r="S119" s="1018">
        <f>H119-M119</f>
        <v>0</v>
      </c>
      <c r="T119" s="1018"/>
      <c r="U119" s="1018"/>
      <c r="V119" s="1018">
        <f t="shared" si="129"/>
        <v>0</v>
      </c>
      <c r="W119" s="1018">
        <f>+S119+V119</f>
        <v>0</v>
      </c>
      <c r="X119" s="1235">
        <v>1</v>
      </c>
      <c r="Y119" s="1235"/>
      <c r="Z119" s="1019">
        <f>W119*X119</f>
        <v>0</v>
      </c>
      <c r="AA119" s="1013">
        <f>S119*Y119</f>
        <v>0</v>
      </c>
      <c r="AB119" s="1012">
        <f>Z119+AA119</f>
        <v>0</v>
      </c>
      <c r="AC119" s="1013">
        <f>ROUND(Z119/$AF$2,2)</f>
        <v>0</v>
      </c>
      <c r="AD119" s="1013">
        <f>ROUND(AA119/$AF$2,2)</f>
        <v>0</v>
      </c>
      <c r="AE119" s="1014">
        <f>AC119+AD119</f>
        <v>0</v>
      </c>
      <c r="AG119" s="908">
        <f>AI119*X119</f>
        <v>0</v>
      </c>
      <c r="AH119" s="903">
        <f>AI119*Y119</f>
        <v>0</v>
      </c>
      <c r="AI119" s="909"/>
      <c r="AJ119" s="904"/>
    </row>
    <row r="120" spans="1:37" ht="51" hidden="1" outlineLevel="3" x14ac:dyDescent="0.2">
      <c r="A120" s="1300" t="s">
        <v>827</v>
      </c>
      <c r="B120" s="914" t="s">
        <v>690</v>
      </c>
      <c r="C120" s="902" t="s">
        <v>431</v>
      </c>
      <c r="D120" s="901" t="s">
        <v>432</v>
      </c>
      <c r="E120" s="902" t="s">
        <v>144</v>
      </c>
      <c r="F120" s="1038">
        <v>211500</v>
      </c>
      <c r="G120" s="1038"/>
      <c r="H120" s="1038">
        <f>F120+G120</f>
        <v>211500</v>
      </c>
      <c r="I120" s="1040">
        <v>211500</v>
      </c>
      <c r="J120" s="1038"/>
      <c r="K120" s="1038"/>
      <c r="L120" s="1038"/>
      <c r="M120" s="1018">
        <f t="shared" si="128"/>
        <v>211500</v>
      </c>
      <c r="N120" s="1039">
        <v>61127.17</v>
      </c>
      <c r="O120" s="1041"/>
      <c r="P120" s="1019"/>
      <c r="Q120" s="1019"/>
      <c r="R120" s="1018">
        <f>N120+O120+P120+Q120</f>
        <v>61127.17</v>
      </c>
      <c r="S120" s="1018">
        <f>H120-M120</f>
        <v>0</v>
      </c>
      <c r="T120" s="1018"/>
      <c r="U120" s="1018"/>
      <c r="V120" s="1018">
        <f t="shared" si="129"/>
        <v>0</v>
      </c>
      <c r="W120" s="1018">
        <f>+S120+V120</f>
        <v>0</v>
      </c>
      <c r="X120" s="1235">
        <v>1</v>
      </c>
      <c r="Y120" s="1235"/>
      <c r="Z120" s="1019">
        <f>W120*X120</f>
        <v>0</v>
      </c>
      <c r="AA120" s="1019">
        <f>S120*Y120</f>
        <v>0</v>
      </c>
      <c r="AB120" s="1018">
        <f>Z120+AA120</f>
        <v>0</v>
      </c>
      <c r="AC120" s="1019">
        <f t="shared" si="125"/>
        <v>0</v>
      </c>
      <c r="AD120" s="1019">
        <f t="shared" si="125"/>
        <v>0</v>
      </c>
      <c r="AE120" s="1020">
        <f>AC120+AD120</f>
        <v>0</v>
      </c>
      <c r="AG120" s="906"/>
      <c r="AH120" s="903"/>
      <c r="AI120" s="907">
        <f>AG120+AH120</f>
        <v>0</v>
      </c>
      <c r="AJ120" s="904"/>
    </row>
    <row r="121" spans="1:37" ht="51" hidden="1" outlineLevel="3" x14ac:dyDescent="0.2">
      <c r="A121" s="1300" t="s">
        <v>828</v>
      </c>
      <c r="B121" s="914" t="s">
        <v>691</v>
      </c>
      <c r="C121" s="902" t="s">
        <v>414</v>
      </c>
      <c r="D121" s="901" t="s">
        <v>420</v>
      </c>
      <c r="E121" s="902" t="s">
        <v>144</v>
      </c>
      <c r="F121" s="1032">
        <f>355920</f>
        <v>355920</v>
      </c>
      <c r="G121" s="1038"/>
      <c r="H121" s="1038">
        <f>F121+G121</f>
        <v>355920</v>
      </c>
      <c r="I121" s="1038">
        <v>355920</v>
      </c>
      <c r="J121" s="1038"/>
      <c r="K121" s="1038"/>
      <c r="L121" s="1038"/>
      <c r="M121" s="1018">
        <f t="shared" si="128"/>
        <v>355920</v>
      </c>
      <c r="N121" s="1038">
        <v>102867.05</v>
      </c>
      <c r="O121" s="1045"/>
      <c r="P121" s="1027"/>
      <c r="Q121" s="1027"/>
      <c r="R121" s="1018">
        <f>N121+O121+P121+Q121</f>
        <v>102867.05</v>
      </c>
      <c r="S121" s="1018">
        <f>H121-M121</f>
        <v>0</v>
      </c>
      <c r="T121" s="1018"/>
      <c r="U121" s="1018"/>
      <c r="V121" s="1018">
        <f t="shared" si="129"/>
        <v>0</v>
      </c>
      <c r="W121" s="1018">
        <f>+S121+V121</f>
        <v>0</v>
      </c>
      <c r="X121" s="1235">
        <v>1</v>
      </c>
      <c r="Y121" s="1235"/>
      <c r="Z121" s="1019">
        <f>W121*X121</f>
        <v>0</v>
      </c>
      <c r="AA121" s="1019">
        <f>S121*Y121</f>
        <v>0</v>
      </c>
      <c r="AB121" s="1018">
        <f>Z121+AA121</f>
        <v>0</v>
      </c>
      <c r="AC121" s="1019">
        <f t="shared" si="125"/>
        <v>0</v>
      </c>
      <c r="AD121" s="1019">
        <f t="shared" si="125"/>
        <v>0</v>
      </c>
      <c r="AE121" s="1020">
        <f>AC121+AD121</f>
        <v>0</v>
      </c>
      <c r="AG121" s="906"/>
      <c r="AH121" s="903"/>
      <c r="AI121" s="907"/>
      <c r="AJ121" s="904"/>
    </row>
    <row r="122" spans="1:37" ht="51" hidden="1" outlineLevel="3" x14ac:dyDescent="0.2">
      <c r="A122" s="1300" t="s">
        <v>829</v>
      </c>
      <c r="B122" s="914" t="s">
        <v>692</v>
      </c>
      <c r="C122" s="902" t="s">
        <v>415</v>
      </c>
      <c r="D122" s="901" t="s">
        <v>419</v>
      </c>
      <c r="E122" s="902" t="s">
        <v>144</v>
      </c>
      <c r="F122" s="1032">
        <v>639975</v>
      </c>
      <c r="G122" s="1038"/>
      <c r="H122" s="1038">
        <f>F122+G122</f>
        <v>639975</v>
      </c>
      <c r="I122" s="1038">
        <v>639975</v>
      </c>
      <c r="J122" s="1038"/>
      <c r="K122" s="1038"/>
      <c r="L122" s="1038"/>
      <c r="M122" s="1018">
        <f t="shared" si="128"/>
        <v>639975</v>
      </c>
      <c r="N122" s="1036">
        <v>184963.87</v>
      </c>
      <c r="O122" s="1035"/>
      <c r="P122" s="1013"/>
      <c r="Q122" s="1013"/>
      <c r="R122" s="1018">
        <f>N122+O122+P122+Q122</f>
        <v>184963.87</v>
      </c>
      <c r="S122" s="1018">
        <f>H122-M122</f>
        <v>0</v>
      </c>
      <c r="T122" s="1018"/>
      <c r="U122" s="1018"/>
      <c r="V122" s="1018">
        <f t="shared" si="129"/>
        <v>0</v>
      </c>
      <c r="W122" s="1018">
        <f>+S122+V122</f>
        <v>0</v>
      </c>
      <c r="X122" s="1235">
        <v>1</v>
      </c>
      <c r="Y122" s="1235"/>
      <c r="Z122" s="1019">
        <f>W122*X122</f>
        <v>0</v>
      </c>
      <c r="AA122" s="1013">
        <f>S122*Y122</f>
        <v>0</v>
      </c>
      <c r="AB122" s="1012">
        <f>Z122+AA122</f>
        <v>0</v>
      </c>
      <c r="AC122" s="1013">
        <f t="shared" si="125"/>
        <v>0</v>
      </c>
      <c r="AD122" s="1013">
        <f t="shared" si="125"/>
        <v>0</v>
      </c>
      <c r="AE122" s="1014">
        <f>AC122+AD122</f>
        <v>0</v>
      </c>
      <c r="AG122" s="908"/>
      <c r="AH122" s="903"/>
      <c r="AI122" s="909">
        <f>AG122+AH122</f>
        <v>0</v>
      </c>
      <c r="AJ122" s="904"/>
    </row>
    <row r="123" spans="1:37" ht="30.75" customHeight="1" outlineLevel="2" collapsed="1" x14ac:dyDescent="0.2">
      <c r="A123" s="1296"/>
      <c r="B123" s="967" t="s">
        <v>674</v>
      </c>
      <c r="C123" s="1111"/>
      <c r="D123" s="968"/>
      <c r="E123" s="967"/>
      <c r="F123" s="990">
        <f>SUBTOTAL(9,F124:F135)</f>
        <v>16170188.460000001</v>
      </c>
      <c r="G123" s="990">
        <f t="shared" ref="G123:V123" si="130">SUBTOTAL(9,G124:G135)</f>
        <v>110295.48999999999</v>
      </c>
      <c r="H123" s="990">
        <f t="shared" si="130"/>
        <v>16280483.949999999</v>
      </c>
      <c r="I123" s="990">
        <f t="shared" si="130"/>
        <v>5502856.2000000002</v>
      </c>
      <c r="J123" s="990">
        <f t="shared" si="130"/>
        <v>139140.50999999998</v>
      </c>
      <c r="K123" s="990">
        <f>SUBTOTAL(9,K124:K135)</f>
        <v>0</v>
      </c>
      <c r="L123" s="990">
        <f t="shared" si="130"/>
        <v>0</v>
      </c>
      <c r="M123" s="990">
        <f t="shared" si="130"/>
        <v>5641996.7100000009</v>
      </c>
      <c r="N123" s="990">
        <f t="shared" si="130"/>
        <v>1572953.91</v>
      </c>
      <c r="O123" s="990">
        <f>SUBTOTAL(9,O124:O135)</f>
        <v>39646.949999999997</v>
      </c>
      <c r="P123" s="990">
        <f t="shared" si="130"/>
        <v>0</v>
      </c>
      <c r="Q123" s="990">
        <f t="shared" si="130"/>
        <v>0</v>
      </c>
      <c r="R123" s="990">
        <f t="shared" si="130"/>
        <v>1612600.86</v>
      </c>
      <c r="S123" s="990">
        <f t="shared" si="130"/>
        <v>10638487.239999998</v>
      </c>
      <c r="T123" s="990">
        <f t="shared" si="130"/>
        <v>3561773.7055555554</v>
      </c>
      <c r="U123" s="990">
        <f t="shared" si="130"/>
        <v>339999.77055555553</v>
      </c>
      <c r="V123" s="990">
        <f t="shared" si="130"/>
        <v>3901773.4761111112</v>
      </c>
      <c r="W123" s="990">
        <f>SUBTOTAL(9,W124:W135)</f>
        <v>14540260.716111109</v>
      </c>
      <c r="X123" s="1230"/>
      <c r="Y123" s="1230"/>
      <c r="Z123" s="990">
        <f t="shared" ref="Z123:AE123" si="131">SUBTOTAL(9,Z124:Z135)</f>
        <v>14540260.716111109</v>
      </c>
      <c r="AA123" s="990">
        <f t="shared" si="131"/>
        <v>0</v>
      </c>
      <c r="AB123" s="990">
        <f t="shared" si="131"/>
        <v>14540260.716111109</v>
      </c>
      <c r="AC123" s="990">
        <f t="shared" si="131"/>
        <v>4366444.68</v>
      </c>
      <c r="AD123" s="990">
        <f t="shared" si="131"/>
        <v>0</v>
      </c>
      <c r="AE123" s="990">
        <f t="shared" si="131"/>
        <v>4366444.68</v>
      </c>
      <c r="AF123" s="893"/>
      <c r="AG123" s="990">
        <f>SUBTOTAL(9,AG124:AG135)</f>
        <v>0</v>
      </c>
      <c r="AH123" s="990">
        <f>SUBTOTAL(9,AH124:AH135)</f>
        <v>0</v>
      </c>
      <c r="AI123" s="990">
        <f>SUBTOTAL(9,AI124:AI135)</f>
        <v>0</v>
      </c>
      <c r="AJ123" s="904"/>
    </row>
    <row r="124" spans="1:37" ht="114.75" customHeight="1" outlineLevel="3" x14ac:dyDescent="0.2">
      <c r="A124" s="1298" t="s">
        <v>349</v>
      </c>
      <c r="B124" s="905" t="s">
        <v>693</v>
      </c>
      <c r="C124" s="1108" t="s">
        <v>136</v>
      </c>
      <c r="D124" s="901" t="s">
        <v>102</v>
      </c>
      <c r="E124" s="902" t="s">
        <v>1</v>
      </c>
      <c r="F124" s="1038">
        <v>404440</v>
      </c>
      <c r="G124" s="1038">
        <v>42137.9</v>
      </c>
      <c r="H124" s="1038">
        <f t="shared" si="116"/>
        <v>446577.9</v>
      </c>
      <c r="I124" s="1038">
        <v>398696.00000000006</v>
      </c>
      <c r="J124" s="1038">
        <v>44334.76</v>
      </c>
      <c r="K124" s="1038"/>
      <c r="L124" s="1038"/>
      <c r="M124" s="1018">
        <f t="shared" ref="M124:M135" si="132">I124+J124+K124+L124</f>
        <v>443030.76000000007</v>
      </c>
      <c r="N124" s="1039">
        <v>110039.14</v>
      </c>
      <c r="O124" s="1038">
        <v>12813.53</v>
      </c>
      <c r="P124" s="1019"/>
      <c r="Q124" s="1019"/>
      <c r="R124" s="1018">
        <f t="shared" si="118"/>
        <v>122852.67</v>
      </c>
      <c r="S124" s="1018">
        <f t="shared" si="119"/>
        <v>3547.1399999999558</v>
      </c>
      <c r="T124" s="1018">
        <f>(404440)</f>
        <v>404440</v>
      </c>
      <c r="U124" s="1018">
        <f>T124*0.06</f>
        <v>24266.399999999998</v>
      </c>
      <c r="V124" s="1018">
        <f t="shared" ref="V124:V135" si="133">T124+U124</f>
        <v>428706.4</v>
      </c>
      <c r="W124" s="1018">
        <f t="shared" si="121"/>
        <v>432253.54</v>
      </c>
      <c r="X124" s="1235">
        <v>1</v>
      </c>
      <c r="Y124" s="1235"/>
      <c r="Z124" s="1019">
        <f t="shared" ref="Z124:Z141" si="134">W124*X124</f>
        <v>432253.54</v>
      </c>
      <c r="AA124" s="1019">
        <f t="shared" si="123"/>
        <v>0</v>
      </c>
      <c r="AB124" s="1018">
        <f t="shared" si="124"/>
        <v>432253.54</v>
      </c>
      <c r="AC124" s="1019">
        <f t="shared" si="125"/>
        <v>129805.87</v>
      </c>
      <c r="AD124" s="1019">
        <f t="shared" si="125"/>
        <v>0</v>
      </c>
      <c r="AE124" s="1020">
        <f t="shared" si="126"/>
        <v>129805.87</v>
      </c>
      <c r="AG124" s="906"/>
      <c r="AH124" s="903"/>
      <c r="AI124" s="907">
        <f t="shared" si="127"/>
        <v>0</v>
      </c>
      <c r="AJ124" s="904"/>
      <c r="AK124" s="763"/>
    </row>
    <row r="125" spans="1:37" ht="71.25" outlineLevel="3" x14ac:dyDescent="0.2">
      <c r="A125" s="1298" t="s">
        <v>350</v>
      </c>
      <c r="B125" s="940" t="s">
        <v>694</v>
      </c>
      <c r="C125" s="902" t="s">
        <v>757</v>
      </c>
      <c r="D125" s="901" t="s">
        <v>101</v>
      </c>
      <c r="E125" s="902" t="s">
        <v>4</v>
      </c>
      <c r="F125" s="1038">
        <v>2493626.6</v>
      </c>
      <c r="G125" s="1038">
        <v>68157.59</v>
      </c>
      <c r="H125" s="1038">
        <f t="shared" si="116"/>
        <v>2561784.19</v>
      </c>
      <c r="I125" s="1038">
        <v>2157913</v>
      </c>
      <c r="J125" s="1038">
        <v>94805.749999999985</v>
      </c>
      <c r="K125" s="1038"/>
      <c r="L125" s="1038"/>
      <c r="M125" s="1018">
        <f t="shared" si="132"/>
        <v>2252718.75</v>
      </c>
      <c r="N125" s="1039">
        <v>638226.5</v>
      </c>
      <c r="O125" s="1038">
        <v>26833.419999999995</v>
      </c>
      <c r="P125" s="1019"/>
      <c r="Q125" s="1019"/>
      <c r="R125" s="1018">
        <f t="shared" si="118"/>
        <v>665059.92000000004</v>
      </c>
      <c r="S125" s="1018">
        <f t="shared" si="119"/>
        <v>309065.43999999994</v>
      </c>
      <c r="T125" s="1018">
        <f>(2493626.6/36)*(12+7)</f>
        <v>1316080.7055555554</v>
      </c>
      <c r="U125" s="1018">
        <f>T125*0.1</f>
        <v>131608.07055555555</v>
      </c>
      <c r="V125" s="1018">
        <f t="shared" si="133"/>
        <v>1447688.776111111</v>
      </c>
      <c r="W125" s="1018">
        <f t="shared" si="121"/>
        <v>1756754.216111111</v>
      </c>
      <c r="X125" s="1235">
        <v>1</v>
      </c>
      <c r="Y125" s="1235"/>
      <c r="Z125" s="1019">
        <f t="shared" si="134"/>
        <v>1756754.216111111</v>
      </c>
      <c r="AA125" s="1019">
        <f t="shared" si="123"/>
        <v>0</v>
      </c>
      <c r="AB125" s="1018">
        <f t="shared" si="124"/>
        <v>1756754.216111111</v>
      </c>
      <c r="AC125" s="1019">
        <f t="shared" si="125"/>
        <v>527553.81999999995</v>
      </c>
      <c r="AD125" s="1019">
        <f t="shared" si="125"/>
        <v>0</v>
      </c>
      <c r="AE125" s="1020">
        <f t="shared" si="126"/>
        <v>527553.81999999995</v>
      </c>
      <c r="AG125" s="906"/>
      <c r="AH125" s="903"/>
      <c r="AI125" s="907">
        <f t="shared" si="127"/>
        <v>0</v>
      </c>
      <c r="AJ125" s="904"/>
    </row>
    <row r="126" spans="1:37" ht="145.5" customHeight="1" outlineLevel="3" x14ac:dyDescent="0.2">
      <c r="A126" s="1298" t="s">
        <v>351</v>
      </c>
      <c r="B126" s="905" t="s">
        <v>732</v>
      </c>
      <c r="C126" s="902" t="s">
        <v>20</v>
      </c>
      <c r="D126" s="901" t="s">
        <v>95</v>
      </c>
      <c r="E126" s="902" t="s">
        <v>135</v>
      </c>
      <c r="F126" s="1038">
        <v>2652007.2000000002</v>
      </c>
      <c r="G126" s="1038"/>
      <c r="H126" s="1038">
        <f t="shared" si="116"/>
        <v>2652007.2000000002</v>
      </c>
      <c r="I126" s="1038">
        <v>915823.62</v>
      </c>
      <c r="J126" s="1038"/>
      <c r="K126" s="1038"/>
      <c r="L126" s="1038"/>
      <c r="M126" s="1018">
        <f t="shared" si="132"/>
        <v>915823.62</v>
      </c>
      <c r="N126" s="1068">
        <v>261439.11</v>
      </c>
      <c r="O126" s="1041"/>
      <c r="P126" s="1019"/>
      <c r="Q126" s="1019"/>
      <c r="R126" s="1018">
        <f t="shared" si="118"/>
        <v>261439.11</v>
      </c>
      <c r="S126" s="1018">
        <f t="shared" si="119"/>
        <v>1736183.58</v>
      </c>
      <c r="T126" s="1018">
        <f>(2652007.2/24)*(10)</f>
        <v>1105003</v>
      </c>
      <c r="U126" s="1018">
        <f>T126*0.1</f>
        <v>110500.3</v>
      </c>
      <c r="V126" s="1018">
        <f t="shared" si="133"/>
        <v>1215503.3</v>
      </c>
      <c r="W126" s="1018">
        <f t="shared" si="121"/>
        <v>2951686.88</v>
      </c>
      <c r="X126" s="1235">
        <v>1</v>
      </c>
      <c r="Y126" s="1235"/>
      <c r="Z126" s="1019">
        <f t="shared" si="134"/>
        <v>2951686.88</v>
      </c>
      <c r="AA126" s="1019">
        <f t="shared" si="123"/>
        <v>0</v>
      </c>
      <c r="AB126" s="1018">
        <f t="shared" si="124"/>
        <v>2951686.88</v>
      </c>
      <c r="AC126" s="1019">
        <f t="shared" si="125"/>
        <v>886392.46</v>
      </c>
      <c r="AD126" s="1019">
        <f t="shared" si="125"/>
        <v>0</v>
      </c>
      <c r="AE126" s="1020">
        <f t="shared" si="126"/>
        <v>886392.46</v>
      </c>
      <c r="AG126" s="906"/>
      <c r="AH126" s="903"/>
      <c r="AI126" s="907">
        <f t="shared" si="127"/>
        <v>0</v>
      </c>
      <c r="AJ126" s="904"/>
    </row>
    <row r="127" spans="1:37" ht="63.75" outlineLevel="3" x14ac:dyDescent="0.2">
      <c r="A127" s="1300" t="s">
        <v>830</v>
      </c>
      <c r="B127" s="905" t="s">
        <v>695</v>
      </c>
      <c r="C127" s="902" t="s">
        <v>19</v>
      </c>
      <c r="D127" s="901" t="s">
        <v>100</v>
      </c>
      <c r="E127" s="902" t="s">
        <v>129</v>
      </c>
      <c r="F127" s="1038">
        <v>3102464.71</v>
      </c>
      <c r="G127" s="1038"/>
      <c r="H127" s="1038">
        <f t="shared" si="116"/>
        <v>3102464.71</v>
      </c>
      <c r="I127" s="1038">
        <v>1941773.58</v>
      </c>
      <c r="J127" s="1038"/>
      <c r="K127" s="1038"/>
      <c r="L127" s="1038"/>
      <c r="M127" s="1018">
        <f t="shared" si="132"/>
        <v>1941773.58</v>
      </c>
      <c r="N127" s="1068">
        <v>537627.7699999999</v>
      </c>
      <c r="O127" s="1041"/>
      <c r="P127" s="1019"/>
      <c r="Q127" s="1019"/>
      <c r="R127" s="1018">
        <f t="shared" si="118"/>
        <v>537627.7699999999</v>
      </c>
      <c r="S127" s="1018">
        <f t="shared" si="119"/>
        <v>1160691.1299999999</v>
      </c>
      <c r="T127" s="1018"/>
      <c r="U127" s="1018"/>
      <c r="V127" s="1018">
        <f t="shared" si="133"/>
        <v>0</v>
      </c>
      <c r="W127" s="1018">
        <f t="shared" si="121"/>
        <v>1160691.1299999999</v>
      </c>
      <c r="X127" s="1235">
        <v>1</v>
      </c>
      <c r="Y127" s="1235"/>
      <c r="Z127" s="1019">
        <f t="shared" si="134"/>
        <v>1160691.1299999999</v>
      </c>
      <c r="AA127" s="1019">
        <f t="shared" si="123"/>
        <v>0</v>
      </c>
      <c r="AB127" s="1018">
        <f t="shared" si="124"/>
        <v>1160691.1299999999</v>
      </c>
      <c r="AC127" s="1019">
        <f t="shared" si="125"/>
        <v>348555.89</v>
      </c>
      <c r="AD127" s="1019">
        <f t="shared" si="125"/>
        <v>0</v>
      </c>
      <c r="AE127" s="1020">
        <f t="shared" si="126"/>
        <v>348555.89</v>
      </c>
      <c r="AG127" s="906"/>
      <c r="AH127" s="903"/>
      <c r="AI127" s="907">
        <f t="shared" si="127"/>
        <v>0</v>
      </c>
      <c r="AJ127" s="904"/>
    </row>
    <row r="128" spans="1:37" ht="57" customHeight="1" outlineLevel="3" x14ac:dyDescent="0.2">
      <c r="A128" s="1300" t="s">
        <v>831</v>
      </c>
      <c r="B128" s="914" t="s">
        <v>756</v>
      </c>
      <c r="C128" s="902" t="s">
        <v>700</v>
      </c>
      <c r="D128" s="901" t="s">
        <v>444</v>
      </c>
      <c r="E128" s="902" t="s">
        <v>144</v>
      </c>
      <c r="F128" s="1032">
        <v>531900</v>
      </c>
      <c r="G128" s="1038"/>
      <c r="H128" s="1038">
        <f t="shared" si="116"/>
        <v>531900</v>
      </c>
      <c r="I128" s="1038">
        <v>88650</v>
      </c>
      <c r="J128" s="1038"/>
      <c r="K128" s="1038"/>
      <c r="L128" s="1038"/>
      <c r="M128" s="1018">
        <f t="shared" si="132"/>
        <v>88650</v>
      </c>
      <c r="N128" s="1040">
        <v>25621.39</v>
      </c>
      <c r="O128" s="1041"/>
      <c r="P128" s="1019"/>
      <c r="Q128" s="1019"/>
      <c r="R128" s="1018">
        <f t="shared" si="118"/>
        <v>25621.39</v>
      </c>
      <c r="S128" s="1018">
        <f t="shared" si="119"/>
        <v>443250</v>
      </c>
      <c r="T128" s="1018"/>
      <c r="U128" s="1018"/>
      <c r="V128" s="1018">
        <f t="shared" si="133"/>
        <v>0</v>
      </c>
      <c r="W128" s="1018">
        <f t="shared" si="121"/>
        <v>443250</v>
      </c>
      <c r="X128" s="1235">
        <v>1</v>
      </c>
      <c r="Y128" s="1235"/>
      <c r="Z128" s="1019">
        <f t="shared" si="134"/>
        <v>443250</v>
      </c>
      <c r="AA128" s="1019">
        <f t="shared" si="123"/>
        <v>0</v>
      </c>
      <c r="AB128" s="1018">
        <f t="shared" si="124"/>
        <v>443250</v>
      </c>
      <c r="AC128" s="1019">
        <f t="shared" ref="AC128:AD141" si="135">ROUND(Z128/$AF$2,2)</f>
        <v>133108.10999999999</v>
      </c>
      <c r="AD128" s="1019">
        <f t="shared" si="135"/>
        <v>0</v>
      </c>
      <c r="AE128" s="1020">
        <f t="shared" si="126"/>
        <v>133108.10999999999</v>
      </c>
      <c r="AG128" s="906"/>
      <c r="AH128" s="903"/>
      <c r="AI128" s="907">
        <f t="shared" si="127"/>
        <v>0</v>
      </c>
      <c r="AJ128" s="904"/>
    </row>
    <row r="129" spans="1:36" ht="66" customHeight="1" outlineLevel="3" x14ac:dyDescent="0.2">
      <c r="A129" s="1298" t="s">
        <v>659</v>
      </c>
      <c r="B129" s="914" t="s">
        <v>697</v>
      </c>
      <c r="C129" s="902" t="s">
        <v>448</v>
      </c>
      <c r="D129" s="901" t="s">
        <v>449</v>
      </c>
      <c r="E129" s="902"/>
      <c r="F129" s="1032">
        <v>465000</v>
      </c>
      <c r="G129" s="1038"/>
      <c r="H129" s="1038">
        <f t="shared" si="116"/>
        <v>465000</v>
      </c>
      <c r="I129" s="1038"/>
      <c r="J129" s="1038"/>
      <c r="K129" s="1038"/>
      <c r="L129" s="1038"/>
      <c r="M129" s="1018">
        <f t="shared" si="132"/>
        <v>0</v>
      </c>
      <c r="N129" s="1036"/>
      <c r="O129" s="1035"/>
      <c r="P129" s="1013"/>
      <c r="Q129" s="1013"/>
      <c r="R129" s="1018">
        <f t="shared" si="118"/>
        <v>0</v>
      </c>
      <c r="S129" s="1018">
        <f t="shared" si="119"/>
        <v>465000</v>
      </c>
      <c r="T129" s="1018">
        <f>(S129/12)*(12+7)</f>
        <v>736250</v>
      </c>
      <c r="U129" s="1018">
        <f>T129*0.1</f>
        <v>73625</v>
      </c>
      <c r="V129" s="1018">
        <f t="shared" si="133"/>
        <v>809875</v>
      </c>
      <c r="W129" s="1018">
        <f t="shared" si="121"/>
        <v>1274875</v>
      </c>
      <c r="X129" s="1235">
        <v>1</v>
      </c>
      <c r="Y129" s="1235"/>
      <c r="Z129" s="1019">
        <f t="shared" si="134"/>
        <v>1274875</v>
      </c>
      <c r="AA129" s="1013">
        <f t="shared" si="123"/>
        <v>0</v>
      </c>
      <c r="AB129" s="1012">
        <f t="shared" si="124"/>
        <v>1274875</v>
      </c>
      <c r="AC129" s="1013">
        <f t="shared" si="135"/>
        <v>382845.35</v>
      </c>
      <c r="AD129" s="1013">
        <f t="shared" si="135"/>
        <v>0</v>
      </c>
      <c r="AE129" s="1014">
        <f t="shared" si="126"/>
        <v>382845.35</v>
      </c>
      <c r="AG129" s="908"/>
      <c r="AH129" s="903"/>
      <c r="AI129" s="907">
        <f t="shared" si="127"/>
        <v>0</v>
      </c>
      <c r="AJ129" s="904"/>
    </row>
    <row r="130" spans="1:36" ht="51.75" customHeight="1" outlineLevel="3" x14ac:dyDescent="0.2">
      <c r="A130" s="1306" t="s">
        <v>833</v>
      </c>
      <c r="B130" s="914" t="s">
        <v>730</v>
      </c>
      <c r="C130" s="902" t="s">
        <v>749</v>
      </c>
      <c r="D130" s="971"/>
      <c r="E130" s="902" t="s">
        <v>144</v>
      </c>
      <c r="F130" s="1046">
        <v>1350000</v>
      </c>
      <c r="G130" s="1046"/>
      <c r="H130" s="1046">
        <f t="shared" si="116"/>
        <v>1350000</v>
      </c>
      <c r="I130" s="1046"/>
      <c r="J130" s="1046"/>
      <c r="K130" s="1046"/>
      <c r="L130" s="1046"/>
      <c r="M130" s="1024">
        <f t="shared" si="132"/>
        <v>0</v>
      </c>
      <c r="N130" s="1033"/>
      <c r="O130" s="1034"/>
      <c r="P130" s="1025"/>
      <c r="Q130" s="1025"/>
      <c r="R130" s="1024">
        <f t="shared" ref="R130:R135" si="136">N130+O130+P130+Q130</f>
        <v>0</v>
      </c>
      <c r="S130" s="1018">
        <f t="shared" si="119"/>
        <v>1350000</v>
      </c>
      <c r="T130" s="1024"/>
      <c r="U130" s="1024"/>
      <c r="V130" s="1024">
        <f t="shared" si="133"/>
        <v>0</v>
      </c>
      <c r="W130" s="1076">
        <f t="shared" ref="W130:W135" si="137">+S130+V130</f>
        <v>1350000</v>
      </c>
      <c r="X130" s="1244">
        <v>1</v>
      </c>
      <c r="Y130" s="1244"/>
      <c r="Z130" s="1025">
        <f t="shared" ref="Z130:Z135" si="138">W130*X130</f>
        <v>1350000</v>
      </c>
      <c r="AA130" s="1025">
        <f t="shared" ref="AA130:AA135" si="139">S130*Y130</f>
        <v>0</v>
      </c>
      <c r="AB130" s="1024">
        <f t="shared" ref="AB130:AB135" si="140">Z130+AA130</f>
        <v>1350000</v>
      </c>
      <c r="AC130" s="1025">
        <f t="shared" si="135"/>
        <v>405405.41</v>
      </c>
      <c r="AD130" s="1025">
        <f t="shared" si="135"/>
        <v>0</v>
      </c>
      <c r="AE130" s="1026">
        <f t="shared" ref="AE130:AE135" si="141">AC130+AD130</f>
        <v>405405.41</v>
      </c>
      <c r="AG130" s="921"/>
      <c r="AH130" s="903"/>
      <c r="AI130" s="907">
        <f t="shared" si="127"/>
        <v>0</v>
      </c>
      <c r="AJ130" s="904"/>
    </row>
    <row r="131" spans="1:36" ht="46.5" customHeight="1" outlineLevel="3" x14ac:dyDescent="0.2">
      <c r="A131" s="1306" t="s">
        <v>834</v>
      </c>
      <c r="B131" s="905" t="s">
        <v>752</v>
      </c>
      <c r="C131" s="902"/>
      <c r="D131" s="971"/>
      <c r="E131" s="902" t="s">
        <v>144</v>
      </c>
      <c r="F131" s="1046">
        <v>120000</v>
      </c>
      <c r="G131" s="1046"/>
      <c r="H131" s="1046">
        <f t="shared" si="116"/>
        <v>120000</v>
      </c>
      <c r="I131" s="1046"/>
      <c r="J131" s="1046"/>
      <c r="K131" s="1046"/>
      <c r="L131" s="1046"/>
      <c r="M131" s="1024">
        <f t="shared" si="132"/>
        <v>0</v>
      </c>
      <c r="N131" s="1033"/>
      <c r="O131" s="1034"/>
      <c r="P131" s="1025"/>
      <c r="Q131" s="1025"/>
      <c r="R131" s="1024">
        <f t="shared" si="136"/>
        <v>0</v>
      </c>
      <c r="S131" s="1018">
        <f t="shared" si="119"/>
        <v>120000</v>
      </c>
      <c r="T131" s="1024"/>
      <c r="U131" s="1024"/>
      <c r="V131" s="1024">
        <f t="shared" si="133"/>
        <v>0</v>
      </c>
      <c r="W131" s="1076">
        <f t="shared" si="137"/>
        <v>120000</v>
      </c>
      <c r="X131" s="1244">
        <v>1</v>
      </c>
      <c r="Y131" s="1244"/>
      <c r="Z131" s="1025">
        <f t="shared" si="138"/>
        <v>120000</v>
      </c>
      <c r="AA131" s="1025">
        <f t="shared" si="139"/>
        <v>0</v>
      </c>
      <c r="AB131" s="1024">
        <f t="shared" si="140"/>
        <v>120000</v>
      </c>
      <c r="AC131" s="1025">
        <f t="shared" si="135"/>
        <v>36036.04</v>
      </c>
      <c r="AD131" s="1025">
        <f t="shared" si="135"/>
        <v>0</v>
      </c>
      <c r="AE131" s="1026">
        <f t="shared" si="141"/>
        <v>36036.04</v>
      </c>
      <c r="AG131" s="921"/>
      <c r="AH131" s="903"/>
      <c r="AI131" s="907"/>
      <c r="AJ131" s="904"/>
    </row>
    <row r="132" spans="1:36" ht="152.25" customHeight="1" outlineLevel="3" x14ac:dyDescent="0.2">
      <c r="A132" s="1312" t="s">
        <v>836</v>
      </c>
      <c r="B132" s="1105" t="s">
        <v>726</v>
      </c>
      <c r="C132" s="972" t="s">
        <v>746</v>
      </c>
      <c r="D132" s="971" t="s">
        <v>753</v>
      </c>
      <c r="E132" s="972"/>
      <c r="F132" s="1046">
        <f>435000</f>
        <v>435000</v>
      </c>
      <c r="G132" s="1046"/>
      <c r="H132" s="1046">
        <f t="shared" si="116"/>
        <v>435000</v>
      </c>
      <c r="I132" s="1046"/>
      <c r="J132" s="1046"/>
      <c r="K132" s="1046"/>
      <c r="L132" s="1046"/>
      <c r="M132" s="1024">
        <f t="shared" si="132"/>
        <v>0</v>
      </c>
      <c r="N132" s="1033"/>
      <c r="O132" s="1034"/>
      <c r="P132" s="1025"/>
      <c r="Q132" s="1025"/>
      <c r="R132" s="1024">
        <f t="shared" si="136"/>
        <v>0</v>
      </c>
      <c r="S132" s="1018">
        <f t="shared" si="119"/>
        <v>435000</v>
      </c>
      <c r="T132" s="1024"/>
      <c r="U132" s="1024"/>
      <c r="V132" s="1024">
        <f t="shared" si="133"/>
        <v>0</v>
      </c>
      <c r="W132" s="1076">
        <f t="shared" si="137"/>
        <v>435000</v>
      </c>
      <c r="X132" s="1244">
        <v>1</v>
      </c>
      <c r="Y132" s="1244"/>
      <c r="Z132" s="1025">
        <f t="shared" si="138"/>
        <v>435000</v>
      </c>
      <c r="AA132" s="1025">
        <f t="shared" si="139"/>
        <v>0</v>
      </c>
      <c r="AB132" s="1024">
        <f t="shared" si="140"/>
        <v>435000</v>
      </c>
      <c r="AC132" s="1025">
        <f t="shared" si="135"/>
        <v>130630.63</v>
      </c>
      <c r="AD132" s="1025">
        <f t="shared" si="135"/>
        <v>0</v>
      </c>
      <c r="AE132" s="1026">
        <f t="shared" si="141"/>
        <v>130630.63</v>
      </c>
      <c r="AG132" s="921"/>
      <c r="AH132" s="903"/>
      <c r="AI132" s="907"/>
      <c r="AJ132" s="904"/>
    </row>
    <row r="133" spans="1:36" ht="54.75" customHeight="1" outlineLevel="3" x14ac:dyDescent="0.2">
      <c r="A133" s="1306" t="s">
        <v>835</v>
      </c>
      <c r="B133" s="905" t="s">
        <v>750</v>
      </c>
      <c r="C133" s="1113" t="s">
        <v>856</v>
      </c>
      <c r="D133" s="971"/>
      <c r="E133" s="902" t="s">
        <v>144</v>
      </c>
      <c r="F133" s="1046">
        <v>2696400</v>
      </c>
      <c r="G133" s="1046"/>
      <c r="H133" s="1046">
        <f t="shared" si="116"/>
        <v>2696400</v>
      </c>
      <c r="I133" s="1046"/>
      <c r="J133" s="1046"/>
      <c r="K133" s="1046"/>
      <c r="L133" s="1046"/>
      <c r="M133" s="1024">
        <f t="shared" si="132"/>
        <v>0</v>
      </c>
      <c r="N133" s="1033"/>
      <c r="O133" s="1034"/>
      <c r="P133" s="1025"/>
      <c r="Q133" s="1025"/>
      <c r="R133" s="1024">
        <f t="shared" si="136"/>
        <v>0</v>
      </c>
      <c r="S133" s="1018">
        <f t="shared" si="119"/>
        <v>2696400</v>
      </c>
      <c r="T133" s="1024"/>
      <c r="U133" s="1024"/>
      <c r="V133" s="1024">
        <f t="shared" si="133"/>
        <v>0</v>
      </c>
      <c r="W133" s="1076">
        <f t="shared" si="137"/>
        <v>2696400</v>
      </c>
      <c r="X133" s="1244">
        <v>1</v>
      </c>
      <c r="Y133" s="1244"/>
      <c r="Z133" s="1025">
        <f t="shared" si="138"/>
        <v>2696400</v>
      </c>
      <c r="AA133" s="1025">
        <f t="shared" si="139"/>
        <v>0</v>
      </c>
      <c r="AB133" s="1024">
        <f t="shared" si="140"/>
        <v>2696400</v>
      </c>
      <c r="AC133" s="1025">
        <f t="shared" si="135"/>
        <v>809729.73</v>
      </c>
      <c r="AD133" s="1025">
        <f t="shared" si="135"/>
        <v>0</v>
      </c>
      <c r="AE133" s="1026">
        <f t="shared" si="141"/>
        <v>809729.73</v>
      </c>
      <c r="AG133" s="921"/>
      <c r="AH133" s="903"/>
      <c r="AI133" s="907"/>
      <c r="AJ133" s="904"/>
    </row>
    <row r="134" spans="1:36" ht="54.75" customHeight="1" outlineLevel="3" x14ac:dyDescent="0.2">
      <c r="A134" s="1306" t="s">
        <v>832</v>
      </c>
      <c r="B134" s="905" t="s">
        <v>751</v>
      </c>
      <c r="C134" s="1113" t="s">
        <v>856</v>
      </c>
      <c r="D134" s="971"/>
      <c r="E134" s="902" t="s">
        <v>144</v>
      </c>
      <c r="F134" s="1046">
        <v>1250000</v>
      </c>
      <c r="G134" s="1046"/>
      <c r="H134" s="1046">
        <f t="shared" si="116"/>
        <v>1250000</v>
      </c>
      <c r="I134" s="1046"/>
      <c r="J134" s="1046"/>
      <c r="K134" s="1046"/>
      <c r="L134" s="1046"/>
      <c r="M134" s="1024">
        <f t="shared" si="132"/>
        <v>0</v>
      </c>
      <c r="N134" s="1033"/>
      <c r="O134" s="1034"/>
      <c r="P134" s="1025"/>
      <c r="Q134" s="1025"/>
      <c r="R134" s="1024">
        <f t="shared" si="136"/>
        <v>0</v>
      </c>
      <c r="S134" s="1018">
        <f t="shared" si="119"/>
        <v>1250000</v>
      </c>
      <c r="T134" s="1024"/>
      <c r="U134" s="1024"/>
      <c r="V134" s="1024">
        <f t="shared" si="133"/>
        <v>0</v>
      </c>
      <c r="W134" s="1076">
        <f t="shared" si="137"/>
        <v>1250000</v>
      </c>
      <c r="X134" s="1244">
        <v>1</v>
      </c>
      <c r="Y134" s="1244"/>
      <c r="Z134" s="1025">
        <f t="shared" si="138"/>
        <v>1250000</v>
      </c>
      <c r="AA134" s="1025">
        <f t="shared" si="139"/>
        <v>0</v>
      </c>
      <c r="AB134" s="1024">
        <f t="shared" si="140"/>
        <v>1250000</v>
      </c>
      <c r="AC134" s="1025">
        <f t="shared" si="135"/>
        <v>375375.38</v>
      </c>
      <c r="AD134" s="1025">
        <f t="shared" si="135"/>
        <v>0</v>
      </c>
      <c r="AE134" s="1026">
        <f t="shared" si="141"/>
        <v>375375.38</v>
      </c>
      <c r="AG134" s="921"/>
      <c r="AH134" s="903"/>
      <c r="AI134" s="907"/>
      <c r="AJ134" s="904"/>
    </row>
    <row r="135" spans="1:36" ht="77.25" customHeight="1" outlineLevel="3" x14ac:dyDescent="0.2">
      <c r="A135" s="1306" t="s">
        <v>837</v>
      </c>
      <c r="B135" s="1106" t="s">
        <v>754</v>
      </c>
      <c r="C135" s="1114" t="s">
        <v>747</v>
      </c>
      <c r="D135" s="971" t="s">
        <v>748</v>
      </c>
      <c r="E135" s="901"/>
      <c r="F135" s="1046">
        <v>669349.94999999995</v>
      </c>
      <c r="G135" s="1046"/>
      <c r="H135" s="1046">
        <f t="shared" si="116"/>
        <v>669349.94999999995</v>
      </c>
      <c r="I135" s="1046"/>
      <c r="J135" s="1046"/>
      <c r="K135" s="1046"/>
      <c r="L135" s="1046"/>
      <c r="M135" s="1024">
        <f t="shared" si="132"/>
        <v>0</v>
      </c>
      <c r="N135" s="1033"/>
      <c r="O135" s="1034"/>
      <c r="P135" s="1025"/>
      <c r="Q135" s="1025"/>
      <c r="R135" s="1024">
        <f t="shared" si="136"/>
        <v>0</v>
      </c>
      <c r="S135" s="1018">
        <f t="shared" si="119"/>
        <v>669349.94999999995</v>
      </c>
      <c r="T135" s="1024"/>
      <c r="U135" s="1024"/>
      <c r="V135" s="1024">
        <f t="shared" si="133"/>
        <v>0</v>
      </c>
      <c r="W135" s="1076">
        <f t="shared" si="137"/>
        <v>669349.94999999995</v>
      </c>
      <c r="X135" s="1244">
        <v>1</v>
      </c>
      <c r="Y135" s="1244"/>
      <c r="Z135" s="1025">
        <f t="shared" si="138"/>
        <v>669349.94999999995</v>
      </c>
      <c r="AA135" s="1025">
        <f t="shared" si="139"/>
        <v>0</v>
      </c>
      <c r="AB135" s="1024">
        <f t="shared" si="140"/>
        <v>669349.94999999995</v>
      </c>
      <c r="AC135" s="1025">
        <f t="shared" si="135"/>
        <v>201005.99</v>
      </c>
      <c r="AD135" s="1025">
        <f t="shared" si="135"/>
        <v>0</v>
      </c>
      <c r="AE135" s="1026">
        <f t="shared" si="141"/>
        <v>201005.99</v>
      </c>
      <c r="AG135" s="921"/>
      <c r="AH135" s="903"/>
      <c r="AI135" s="907"/>
      <c r="AJ135" s="904"/>
    </row>
    <row r="136" spans="1:36" ht="37.5" customHeight="1" outlineLevel="2" x14ac:dyDescent="0.2">
      <c r="A136" s="1297"/>
      <c r="B136" s="1059" t="s">
        <v>712</v>
      </c>
      <c r="C136" s="964"/>
      <c r="D136" s="963"/>
      <c r="E136" s="964"/>
      <c r="F136" s="997">
        <f t="shared" ref="F136:W136" si="142">SUBTOTAL(9,F137:F142)</f>
        <v>0</v>
      </c>
      <c r="G136" s="997">
        <f t="shared" si="142"/>
        <v>0</v>
      </c>
      <c r="H136" s="997">
        <f t="shared" si="142"/>
        <v>0</v>
      </c>
      <c r="I136" s="997">
        <f t="shared" si="142"/>
        <v>0</v>
      </c>
      <c r="J136" s="997">
        <f t="shared" si="142"/>
        <v>0</v>
      </c>
      <c r="K136" s="997">
        <f t="shared" si="142"/>
        <v>0</v>
      </c>
      <c r="L136" s="997">
        <f t="shared" si="142"/>
        <v>0</v>
      </c>
      <c r="M136" s="997">
        <f t="shared" si="142"/>
        <v>0</v>
      </c>
      <c r="N136" s="997">
        <f t="shared" si="142"/>
        <v>0</v>
      </c>
      <c r="O136" s="997">
        <f t="shared" si="142"/>
        <v>0</v>
      </c>
      <c r="P136" s="997">
        <f t="shared" si="142"/>
        <v>0</v>
      </c>
      <c r="Q136" s="997">
        <f t="shared" si="142"/>
        <v>0</v>
      </c>
      <c r="R136" s="997">
        <f t="shared" si="142"/>
        <v>0</v>
      </c>
      <c r="S136" s="991">
        <f t="shared" si="142"/>
        <v>4594260</v>
      </c>
      <c r="T136" s="991">
        <f t="shared" si="142"/>
        <v>0</v>
      </c>
      <c r="U136" s="991">
        <f t="shared" si="142"/>
        <v>0</v>
      </c>
      <c r="V136" s="991">
        <f t="shared" si="142"/>
        <v>0</v>
      </c>
      <c r="W136" s="991">
        <f t="shared" si="142"/>
        <v>4594260</v>
      </c>
      <c r="X136" s="1232"/>
      <c r="Y136" s="1232"/>
      <c r="Z136" s="991">
        <f t="shared" ref="Z136:AE136" si="143">SUBTOTAL(9,Z137:Z142)</f>
        <v>4594260</v>
      </c>
      <c r="AA136" s="991">
        <f t="shared" si="143"/>
        <v>0</v>
      </c>
      <c r="AB136" s="991">
        <f t="shared" si="143"/>
        <v>4594260</v>
      </c>
      <c r="AC136" s="991">
        <f t="shared" si="143"/>
        <v>1379657.6600000001</v>
      </c>
      <c r="AD136" s="991">
        <f t="shared" si="143"/>
        <v>0</v>
      </c>
      <c r="AE136" s="1017">
        <f t="shared" si="143"/>
        <v>1379657.6600000001</v>
      </c>
      <c r="AG136" s="920">
        <f>SUBTOTAL(9,AG137:AG142)</f>
        <v>1379657.6576576577</v>
      </c>
      <c r="AH136" s="1056">
        <f>SUBTOTAL(9,AH137:AH142)</f>
        <v>0</v>
      </c>
      <c r="AI136" s="917">
        <f>SUBTOTAL(9,AI137:AI142)</f>
        <v>1379657.6576576577</v>
      </c>
      <c r="AJ136" s="904"/>
    </row>
    <row r="137" spans="1:36" ht="18" customHeight="1" outlineLevel="3" x14ac:dyDescent="0.2">
      <c r="A137" s="1307" t="s">
        <v>841</v>
      </c>
      <c r="B137" s="905" t="s">
        <v>665</v>
      </c>
      <c r="C137" s="1108"/>
      <c r="D137" s="1107"/>
      <c r="E137" s="1108"/>
      <c r="F137" s="1081"/>
      <c r="G137" s="1046"/>
      <c r="H137" s="1046">
        <f t="shared" ref="H137:H142" si="144">F137+G137</f>
        <v>0</v>
      </c>
      <c r="I137" s="1046"/>
      <c r="J137" s="1046"/>
      <c r="K137" s="1046"/>
      <c r="L137" s="1046"/>
      <c r="M137" s="1024">
        <f>I137+J137+K137+L137</f>
        <v>0</v>
      </c>
      <c r="N137" s="1033"/>
      <c r="O137" s="1034"/>
      <c r="P137" s="1025"/>
      <c r="Q137" s="1025"/>
      <c r="R137" s="1024"/>
      <c r="S137" s="1062">
        <f t="shared" ref="S137:S142" si="145">AI137*$AF$2</f>
        <v>1883640</v>
      </c>
      <c r="T137" s="1024"/>
      <c r="U137" s="1024"/>
      <c r="V137" s="1024"/>
      <c r="W137" s="1076">
        <f t="shared" si="121"/>
        <v>1883640</v>
      </c>
      <c r="X137" s="1244">
        <v>1</v>
      </c>
      <c r="Y137" s="1244"/>
      <c r="Z137" s="1025">
        <f t="shared" si="134"/>
        <v>1883640</v>
      </c>
      <c r="AA137" s="1025">
        <f t="shared" si="123"/>
        <v>0</v>
      </c>
      <c r="AB137" s="1024">
        <f t="shared" ref="AB137:AB142" si="146">Z137+AA137</f>
        <v>1883640</v>
      </c>
      <c r="AC137" s="1025">
        <f t="shared" si="135"/>
        <v>565657.66</v>
      </c>
      <c r="AD137" s="1025">
        <f t="shared" si="135"/>
        <v>0</v>
      </c>
      <c r="AE137" s="1026">
        <f t="shared" ref="AE137:AE142" si="147">AC137+AD137</f>
        <v>565657.66</v>
      </c>
      <c r="AG137" s="921">
        <f t="shared" ref="AG137:AG142" si="148">AI137*X137</f>
        <v>565657.65765765763</v>
      </c>
      <c r="AH137" s="903">
        <f t="shared" ref="AH137:AH142" si="149">AI137*Y137</f>
        <v>0</v>
      </c>
      <c r="AI137" s="922">
        <f>1883640/AF2</f>
        <v>565657.65765765763</v>
      </c>
      <c r="AJ137" s="904"/>
    </row>
    <row r="138" spans="1:36" ht="59.25" customHeight="1" outlineLevel="3" x14ac:dyDescent="0.2">
      <c r="A138" s="1313" t="s">
        <v>840</v>
      </c>
      <c r="B138" s="905" t="s">
        <v>396</v>
      </c>
      <c r="C138" s="1108"/>
      <c r="D138" s="1107"/>
      <c r="E138" s="1108"/>
      <c r="F138" s="1081"/>
      <c r="G138" s="1046"/>
      <c r="H138" s="1046">
        <f t="shared" si="144"/>
        <v>0</v>
      </c>
      <c r="I138" s="1046"/>
      <c r="J138" s="1046"/>
      <c r="K138" s="1046"/>
      <c r="L138" s="1046"/>
      <c r="M138" s="1024">
        <f>I138+J138+K138+L138</f>
        <v>0</v>
      </c>
      <c r="N138" s="1033"/>
      <c r="O138" s="1034"/>
      <c r="P138" s="1025"/>
      <c r="Q138" s="1025"/>
      <c r="R138" s="1024">
        <f>N138+O138+P138+Q138</f>
        <v>0</v>
      </c>
      <c r="S138" s="1062">
        <f t="shared" si="145"/>
        <v>1332000</v>
      </c>
      <c r="T138" s="1024"/>
      <c r="U138" s="1024"/>
      <c r="V138" s="1024">
        <f>T138+U138</f>
        <v>0</v>
      </c>
      <c r="W138" s="1062">
        <f t="shared" si="121"/>
        <v>1332000</v>
      </c>
      <c r="X138" s="1244">
        <v>1</v>
      </c>
      <c r="Y138" s="1244"/>
      <c r="Z138" s="1025">
        <f t="shared" si="134"/>
        <v>1332000</v>
      </c>
      <c r="AA138" s="1025">
        <f t="shared" si="123"/>
        <v>0</v>
      </c>
      <c r="AB138" s="1024">
        <f t="shared" si="146"/>
        <v>1332000</v>
      </c>
      <c r="AC138" s="1025">
        <f t="shared" si="135"/>
        <v>400000</v>
      </c>
      <c r="AD138" s="1025">
        <f t="shared" si="135"/>
        <v>0</v>
      </c>
      <c r="AE138" s="1026">
        <f t="shared" si="147"/>
        <v>400000</v>
      </c>
      <c r="AG138" s="921">
        <f t="shared" si="148"/>
        <v>400000</v>
      </c>
      <c r="AH138" s="903">
        <f t="shared" si="149"/>
        <v>0</v>
      </c>
      <c r="AI138" s="922">
        <v>400000</v>
      </c>
      <c r="AJ138" s="904"/>
    </row>
    <row r="139" spans="1:36" ht="50.25" customHeight="1" outlineLevel="3" x14ac:dyDescent="0.2">
      <c r="A139" s="1313" t="s">
        <v>839</v>
      </c>
      <c r="B139" s="905" t="s">
        <v>755</v>
      </c>
      <c r="C139" s="1108"/>
      <c r="D139" s="1107"/>
      <c r="E139" s="1108"/>
      <c r="F139" s="1081"/>
      <c r="G139" s="1046"/>
      <c r="H139" s="1046">
        <f t="shared" si="144"/>
        <v>0</v>
      </c>
      <c r="I139" s="1046"/>
      <c r="J139" s="1046"/>
      <c r="K139" s="1046"/>
      <c r="L139" s="1046"/>
      <c r="M139" s="1024">
        <f>I139+J139+K139+L139</f>
        <v>0</v>
      </c>
      <c r="N139" s="1033"/>
      <c r="O139" s="1034"/>
      <c r="P139" s="1025"/>
      <c r="Q139" s="1025"/>
      <c r="R139" s="1024">
        <f>N139+O139+P139+Q139</f>
        <v>0</v>
      </c>
      <c r="S139" s="1062">
        <f t="shared" si="145"/>
        <v>646020</v>
      </c>
      <c r="T139" s="1024"/>
      <c r="U139" s="1024"/>
      <c r="V139" s="1024">
        <f>T139+U139</f>
        <v>0</v>
      </c>
      <c r="W139" s="1062">
        <f t="shared" si="121"/>
        <v>646020</v>
      </c>
      <c r="X139" s="1244">
        <v>1</v>
      </c>
      <c r="Y139" s="1244"/>
      <c r="Z139" s="1025">
        <f t="shared" si="134"/>
        <v>646020</v>
      </c>
      <c r="AA139" s="1025">
        <f t="shared" si="123"/>
        <v>0</v>
      </c>
      <c r="AB139" s="1024">
        <f t="shared" si="146"/>
        <v>646020</v>
      </c>
      <c r="AC139" s="1025">
        <f t="shared" si="135"/>
        <v>194000</v>
      </c>
      <c r="AD139" s="1025">
        <f t="shared" si="135"/>
        <v>0</v>
      </c>
      <c r="AE139" s="1026">
        <f t="shared" si="147"/>
        <v>194000</v>
      </c>
      <c r="AG139" s="921">
        <f t="shared" si="148"/>
        <v>194000</v>
      </c>
      <c r="AH139" s="903">
        <f t="shared" si="149"/>
        <v>0</v>
      </c>
      <c r="AI139" s="922">
        <v>194000</v>
      </c>
      <c r="AJ139" s="904"/>
    </row>
    <row r="140" spans="1:36" ht="25.5" customHeight="1" outlineLevel="3" x14ac:dyDescent="0.2">
      <c r="A140" s="1307" t="s">
        <v>369</v>
      </c>
      <c r="B140" s="905" t="s">
        <v>386</v>
      </c>
      <c r="C140" s="1108"/>
      <c r="D140" s="1107"/>
      <c r="E140" s="1108"/>
      <c r="F140" s="1081"/>
      <c r="G140" s="1046"/>
      <c r="H140" s="1046">
        <f t="shared" si="144"/>
        <v>0</v>
      </c>
      <c r="I140" s="1046"/>
      <c r="J140" s="1046"/>
      <c r="K140" s="1046"/>
      <c r="L140" s="1046"/>
      <c r="M140" s="1024">
        <f>I140+J140+K140+L140</f>
        <v>0</v>
      </c>
      <c r="N140" s="1033"/>
      <c r="O140" s="1034"/>
      <c r="P140" s="1025"/>
      <c r="Q140" s="1025"/>
      <c r="R140" s="1024">
        <f>N140+O140+P140+Q140</f>
        <v>0</v>
      </c>
      <c r="S140" s="1062">
        <f t="shared" si="145"/>
        <v>333000</v>
      </c>
      <c r="T140" s="1024"/>
      <c r="U140" s="1024"/>
      <c r="V140" s="1024">
        <f>T140+U140</f>
        <v>0</v>
      </c>
      <c r="W140" s="1076">
        <f t="shared" si="121"/>
        <v>333000</v>
      </c>
      <c r="X140" s="1244">
        <v>1</v>
      </c>
      <c r="Y140" s="1244"/>
      <c r="Z140" s="1025">
        <f t="shared" si="134"/>
        <v>333000</v>
      </c>
      <c r="AA140" s="1025">
        <f t="shared" si="123"/>
        <v>0</v>
      </c>
      <c r="AB140" s="1024">
        <f t="shared" si="146"/>
        <v>333000</v>
      </c>
      <c r="AC140" s="1025">
        <f t="shared" si="135"/>
        <v>100000</v>
      </c>
      <c r="AD140" s="1025">
        <f t="shared" si="135"/>
        <v>0</v>
      </c>
      <c r="AE140" s="1026">
        <f t="shared" si="147"/>
        <v>100000</v>
      </c>
      <c r="AG140" s="921">
        <f t="shared" si="148"/>
        <v>100000</v>
      </c>
      <c r="AH140" s="903">
        <f t="shared" si="149"/>
        <v>0</v>
      </c>
      <c r="AI140" s="922">
        <v>100000</v>
      </c>
      <c r="AJ140" s="904"/>
    </row>
    <row r="141" spans="1:36" ht="47.25" customHeight="1" outlineLevel="3" x14ac:dyDescent="0.2">
      <c r="A141" s="1313" t="s">
        <v>838</v>
      </c>
      <c r="B141" s="905" t="s">
        <v>714</v>
      </c>
      <c r="C141" s="1108"/>
      <c r="D141" s="1107"/>
      <c r="E141" s="1108"/>
      <c r="F141" s="1081"/>
      <c r="G141" s="1046"/>
      <c r="H141" s="1046">
        <f t="shared" si="144"/>
        <v>0</v>
      </c>
      <c r="I141" s="1046"/>
      <c r="J141" s="1046"/>
      <c r="K141" s="1046"/>
      <c r="L141" s="1046"/>
      <c r="M141" s="1024">
        <f>I141+J141+K141+L141</f>
        <v>0</v>
      </c>
      <c r="N141" s="1033"/>
      <c r="O141" s="1034"/>
      <c r="P141" s="1025"/>
      <c r="Q141" s="1025"/>
      <c r="R141" s="1024">
        <f>N141+O141+P141+Q141</f>
        <v>0</v>
      </c>
      <c r="S141" s="1062">
        <f t="shared" si="145"/>
        <v>333000</v>
      </c>
      <c r="T141" s="1024"/>
      <c r="U141" s="1024"/>
      <c r="V141" s="1024">
        <f>T141+U141</f>
        <v>0</v>
      </c>
      <c r="W141" s="1062">
        <f t="shared" si="121"/>
        <v>333000</v>
      </c>
      <c r="X141" s="1244">
        <v>1</v>
      </c>
      <c r="Y141" s="1244"/>
      <c r="Z141" s="1025">
        <f t="shared" si="134"/>
        <v>333000</v>
      </c>
      <c r="AA141" s="1025">
        <f t="shared" si="123"/>
        <v>0</v>
      </c>
      <c r="AB141" s="1024">
        <f t="shared" si="146"/>
        <v>333000</v>
      </c>
      <c r="AC141" s="1025">
        <f t="shared" si="135"/>
        <v>100000</v>
      </c>
      <c r="AD141" s="1025">
        <f t="shared" si="135"/>
        <v>0</v>
      </c>
      <c r="AE141" s="1026">
        <f t="shared" si="147"/>
        <v>100000</v>
      </c>
      <c r="AG141" s="921">
        <f t="shared" si="148"/>
        <v>100000</v>
      </c>
      <c r="AH141" s="903">
        <f t="shared" si="149"/>
        <v>0</v>
      </c>
      <c r="AI141" s="922">
        <v>100000</v>
      </c>
      <c r="AJ141" s="904"/>
    </row>
    <row r="142" spans="1:36" ht="18.75" customHeight="1" outlineLevel="3" x14ac:dyDescent="0.2">
      <c r="A142" s="1295" t="s">
        <v>842</v>
      </c>
      <c r="B142" s="905" t="s">
        <v>397</v>
      </c>
      <c r="C142" s="902"/>
      <c r="D142" s="901"/>
      <c r="E142" s="902"/>
      <c r="F142" s="1032"/>
      <c r="G142" s="1038"/>
      <c r="H142" s="1038">
        <f t="shared" si="144"/>
        <v>0</v>
      </c>
      <c r="I142" s="1038"/>
      <c r="J142" s="1038"/>
      <c r="K142" s="1038"/>
      <c r="L142" s="1038"/>
      <c r="M142" s="1018"/>
      <c r="N142" s="1039"/>
      <c r="O142" s="1041"/>
      <c r="P142" s="1019"/>
      <c r="Q142" s="1019"/>
      <c r="R142" s="1018">
        <f>N142+O142+P142+Q142</f>
        <v>0</v>
      </c>
      <c r="S142" s="1062">
        <f t="shared" si="145"/>
        <v>66600</v>
      </c>
      <c r="T142" s="1043"/>
      <c r="U142" s="1043"/>
      <c r="V142" s="1018">
        <f>T142+U142</f>
        <v>0</v>
      </c>
      <c r="W142" s="1062">
        <f>+S142+V142</f>
        <v>66600</v>
      </c>
      <c r="X142" s="1235">
        <v>1</v>
      </c>
      <c r="Y142" s="1235"/>
      <c r="Z142" s="1019">
        <f>W142*X142</f>
        <v>66600</v>
      </c>
      <c r="AA142" s="1027">
        <f>S142*Y142</f>
        <v>0</v>
      </c>
      <c r="AB142" s="1028">
        <f t="shared" si="146"/>
        <v>66600</v>
      </c>
      <c r="AC142" s="1027">
        <f>ROUND(Z142/$AF$2,2)</f>
        <v>20000</v>
      </c>
      <c r="AD142" s="1027">
        <f>ROUND(AA142/$AF$2,2)</f>
        <v>0</v>
      </c>
      <c r="AE142" s="1029">
        <f t="shared" si="147"/>
        <v>20000</v>
      </c>
      <c r="AG142" s="921">
        <f t="shared" si="148"/>
        <v>20000</v>
      </c>
      <c r="AH142" s="903">
        <f t="shared" si="149"/>
        <v>0</v>
      </c>
      <c r="AI142" s="922">
        <v>20000</v>
      </c>
      <c r="AJ142" s="904"/>
    </row>
    <row r="143" spans="1:36" ht="33" customHeight="1" x14ac:dyDescent="0.2">
      <c r="A143" s="1295"/>
      <c r="B143" s="926" t="s">
        <v>220</v>
      </c>
      <c r="C143" s="930"/>
      <c r="D143" s="929"/>
      <c r="E143" s="930"/>
      <c r="F143" s="993">
        <f t="shared" ref="F143:N143" si="150">F144</f>
        <v>2098615.96</v>
      </c>
      <c r="G143" s="993">
        <f t="shared" si="150"/>
        <v>0</v>
      </c>
      <c r="H143" s="993">
        <f t="shared" si="150"/>
        <v>2098615.96</v>
      </c>
      <c r="I143" s="993">
        <f t="shared" si="150"/>
        <v>151587.35999999999</v>
      </c>
      <c r="J143" s="993">
        <f t="shared" si="150"/>
        <v>0</v>
      </c>
      <c r="K143" s="993">
        <f t="shared" si="150"/>
        <v>0</v>
      </c>
      <c r="L143" s="993">
        <f t="shared" si="150"/>
        <v>0</v>
      </c>
      <c r="M143" s="993">
        <f t="shared" si="150"/>
        <v>151587.35999999999</v>
      </c>
      <c r="N143" s="993">
        <f t="shared" si="150"/>
        <v>43811.369999999995</v>
      </c>
      <c r="O143" s="993">
        <f t="shared" ref="O143:AI143" si="151">O144</f>
        <v>0</v>
      </c>
      <c r="P143" s="993">
        <f t="shared" si="151"/>
        <v>0</v>
      </c>
      <c r="Q143" s="993">
        <f t="shared" si="151"/>
        <v>0</v>
      </c>
      <c r="R143" s="993">
        <f t="shared" si="151"/>
        <v>43811.369999999995</v>
      </c>
      <c r="S143" s="993">
        <f t="shared" si="151"/>
        <v>1947028.6</v>
      </c>
      <c r="T143" s="993">
        <f t="shared" si="151"/>
        <v>0</v>
      </c>
      <c r="U143" s="993">
        <f t="shared" si="151"/>
        <v>194702.86000000002</v>
      </c>
      <c r="V143" s="993">
        <f t="shared" si="151"/>
        <v>194702.86000000002</v>
      </c>
      <c r="W143" s="993">
        <f t="shared" si="151"/>
        <v>2141731.46</v>
      </c>
      <c r="X143" s="1239"/>
      <c r="Y143" s="1239"/>
      <c r="Z143" s="993">
        <f t="shared" si="151"/>
        <v>2141731.46</v>
      </c>
      <c r="AA143" s="993">
        <f t="shared" si="151"/>
        <v>0</v>
      </c>
      <c r="AB143" s="993">
        <f>AB144</f>
        <v>2141731.46</v>
      </c>
      <c r="AC143" s="993">
        <f>AC144</f>
        <v>643162.6</v>
      </c>
      <c r="AD143" s="993">
        <f t="shared" si="151"/>
        <v>0</v>
      </c>
      <c r="AE143" s="1060">
        <f t="shared" si="151"/>
        <v>643162.6</v>
      </c>
      <c r="AG143" s="931">
        <f>AG144</f>
        <v>0</v>
      </c>
      <c r="AH143" s="1057">
        <f t="shared" si="151"/>
        <v>0</v>
      </c>
      <c r="AI143" s="932">
        <f t="shared" si="151"/>
        <v>0</v>
      </c>
      <c r="AJ143" s="904"/>
    </row>
    <row r="144" spans="1:36" ht="30.75" customHeight="1" outlineLevel="1" x14ac:dyDescent="0.2">
      <c r="A144" s="1295"/>
      <c r="B144" s="926" t="s">
        <v>221</v>
      </c>
      <c r="C144" s="1112"/>
      <c r="D144" s="929"/>
      <c r="E144" s="930"/>
      <c r="F144" s="994">
        <f>+F145</f>
        <v>2098615.96</v>
      </c>
      <c r="G144" s="994">
        <f>+G145</f>
        <v>0</v>
      </c>
      <c r="H144" s="994">
        <f>+H145</f>
        <v>2098615.96</v>
      </c>
      <c r="I144" s="994">
        <f t="shared" ref="I144:R144" si="152">+I145</f>
        <v>151587.35999999999</v>
      </c>
      <c r="J144" s="994">
        <f t="shared" si="152"/>
        <v>0</v>
      </c>
      <c r="K144" s="994">
        <f t="shared" si="152"/>
        <v>0</v>
      </c>
      <c r="L144" s="994">
        <f t="shared" si="152"/>
        <v>0</v>
      </c>
      <c r="M144" s="994">
        <f t="shared" si="152"/>
        <v>151587.35999999999</v>
      </c>
      <c r="N144" s="994">
        <f t="shared" si="152"/>
        <v>43811.369999999995</v>
      </c>
      <c r="O144" s="994">
        <f t="shared" si="152"/>
        <v>0</v>
      </c>
      <c r="P144" s="994">
        <f t="shared" si="152"/>
        <v>0</v>
      </c>
      <c r="Q144" s="994">
        <f t="shared" si="152"/>
        <v>0</v>
      </c>
      <c r="R144" s="994">
        <f t="shared" si="152"/>
        <v>43811.369999999995</v>
      </c>
      <c r="S144" s="994">
        <f>+S145</f>
        <v>1947028.6</v>
      </c>
      <c r="T144" s="994">
        <f>+T145</f>
        <v>0</v>
      </c>
      <c r="U144" s="994">
        <f>+U145</f>
        <v>194702.86000000002</v>
      </c>
      <c r="V144" s="994">
        <f>+V145</f>
        <v>194702.86000000002</v>
      </c>
      <c r="W144" s="994">
        <f>+W145</f>
        <v>2141731.46</v>
      </c>
      <c r="X144" s="1240"/>
      <c r="Y144" s="1240"/>
      <c r="Z144" s="994">
        <f t="shared" ref="Z144:AE144" si="153">+Z145</f>
        <v>2141731.46</v>
      </c>
      <c r="AA144" s="994">
        <f t="shared" si="153"/>
        <v>0</v>
      </c>
      <c r="AB144" s="994">
        <f t="shared" si="153"/>
        <v>2141731.46</v>
      </c>
      <c r="AC144" s="994">
        <f t="shared" si="153"/>
        <v>643162.6</v>
      </c>
      <c r="AD144" s="994">
        <f t="shared" si="153"/>
        <v>0</v>
      </c>
      <c r="AE144" s="1021">
        <f t="shared" si="153"/>
        <v>643162.6</v>
      </c>
      <c r="AG144" s="927">
        <f>+AG145</f>
        <v>0</v>
      </c>
      <c r="AH144" s="942">
        <f>+AH145</f>
        <v>0</v>
      </c>
      <c r="AI144" s="928">
        <f>+AI145</f>
        <v>0</v>
      </c>
      <c r="AJ144" s="904"/>
    </row>
    <row r="145" spans="1:36" ht="16.5" outlineLevel="2" thickBot="1" x14ac:dyDescent="0.25">
      <c r="A145" s="1296"/>
      <c r="B145" s="967" t="s">
        <v>674</v>
      </c>
      <c r="C145" s="1111"/>
      <c r="D145" s="968"/>
      <c r="E145" s="967"/>
      <c r="F145" s="990">
        <f>SUBTOTAL(9,F146)</f>
        <v>2098615.96</v>
      </c>
      <c r="G145" s="990">
        <f t="shared" ref="G145:W145" si="154">SUBTOTAL(9,G146)</f>
        <v>0</v>
      </c>
      <c r="H145" s="990">
        <f t="shared" si="154"/>
        <v>2098615.96</v>
      </c>
      <c r="I145" s="990">
        <f t="shared" si="154"/>
        <v>151587.35999999999</v>
      </c>
      <c r="J145" s="990">
        <f t="shared" si="154"/>
        <v>0</v>
      </c>
      <c r="K145" s="990">
        <f t="shared" si="154"/>
        <v>0</v>
      </c>
      <c r="L145" s="990">
        <f t="shared" si="154"/>
        <v>0</v>
      </c>
      <c r="M145" s="990">
        <f t="shared" si="154"/>
        <v>151587.35999999999</v>
      </c>
      <c r="N145" s="990">
        <f t="shared" si="154"/>
        <v>43811.369999999995</v>
      </c>
      <c r="O145" s="990">
        <f t="shared" si="154"/>
        <v>0</v>
      </c>
      <c r="P145" s="990">
        <f t="shared" si="154"/>
        <v>0</v>
      </c>
      <c r="Q145" s="990">
        <f t="shared" si="154"/>
        <v>0</v>
      </c>
      <c r="R145" s="990">
        <f t="shared" si="154"/>
        <v>43811.369999999995</v>
      </c>
      <c r="S145" s="990">
        <f t="shared" si="154"/>
        <v>1947028.6</v>
      </c>
      <c r="T145" s="990">
        <f t="shared" si="154"/>
        <v>0</v>
      </c>
      <c r="U145" s="990">
        <f t="shared" si="154"/>
        <v>194702.86000000002</v>
      </c>
      <c r="V145" s="990">
        <f t="shared" si="154"/>
        <v>194702.86000000002</v>
      </c>
      <c r="W145" s="990">
        <f t="shared" si="154"/>
        <v>2141731.46</v>
      </c>
      <c r="X145" s="1230"/>
      <c r="Y145" s="1230"/>
      <c r="Z145" s="990">
        <f t="shared" ref="Z145:AE145" si="155">SUBTOTAL(9,Z146)</f>
        <v>2141731.46</v>
      </c>
      <c r="AA145" s="990">
        <f t="shared" si="155"/>
        <v>0</v>
      </c>
      <c r="AB145" s="990">
        <f t="shared" si="155"/>
        <v>2141731.46</v>
      </c>
      <c r="AC145" s="990">
        <f t="shared" si="155"/>
        <v>643162.6</v>
      </c>
      <c r="AD145" s="990">
        <f t="shared" si="155"/>
        <v>0</v>
      </c>
      <c r="AE145" s="1016">
        <f t="shared" si="155"/>
        <v>643162.6</v>
      </c>
      <c r="AF145" s="893"/>
      <c r="AG145" s="934">
        <f>SUBTOTAL(9,AG146)</f>
        <v>0</v>
      </c>
      <c r="AH145" s="942">
        <f>SUBTOTAL(9,AH146)</f>
        <v>0</v>
      </c>
      <c r="AI145" s="911">
        <f>SUBTOTAL(9,AI146)</f>
        <v>0</v>
      </c>
      <c r="AJ145" s="904"/>
    </row>
    <row r="146" spans="1:36" ht="45" customHeight="1" outlineLevel="3" x14ac:dyDescent="0.2">
      <c r="A146" s="1295" t="s">
        <v>398</v>
      </c>
      <c r="B146" s="941" t="s">
        <v>698</v>
      </c>
      <c r="C146" s="1115" t="s">
        <v>416</v>
      </c>
      <c r="D146" s="901" t="s">
        <v>421</v>
      </c>
      <c r="E146" s="902" t="s">
        <v>722</v>
      </c>
      <c r="F146" s="1038">
        <v>2098615.96</v>
      </c>
      <c r="G146" s="1047"/>
      <c r="H146" s="1038">
        <f>F146+G146</f>
        <v>2098615.96</v>
      </c>
      <c r="I146" s="1038">
        <v>151587.35999999999</v>
      </c>
      <c r="J146" s="1038"/>
      <c r="K146" s="1038"/>
      <c r="L146" s="1038"/>
      <c r="M146" s="1018">
        <f>I146+J146+K146+L146</f>
        <v>151587.35999999999</v>
      </c>
      <c r="N146" s="1038">
        <v>43811.369999999995</v>
      </c>
      <c r="O146" s="1047"/>
      <c r="P146" s="1047"/>
      <c r="Q146" s="1047"/>
      <c r="R146" s="1018">
        <f>N146+O146+P146+Q146</f>
        <v>43811.369999999995</v>
      </c>
      <c r="S146" s="1018">
        <f>H146-M146</f>
        <v>1947028.6</v>
      </c>
      <c r="T146" s="1018"/>
      <c r="U146" s="1018">
        <f>S146*0.1</f>
        <v>194702.86000000002</v>
      </c>
      <c r="V146" s="1018">
        <f>T146+U146</f>
        <v>194702.86000000002</v>
      </c>
      <c r="W146" s="1018">
        <f>+S146+V146</f>
        <v>2141731.46</v>
      </c>
      <c r="X146" s="1235">
        <v>1</v>
      </c>
      <c r="Y146" s="1235"/>
      <c r="Z146" s="1019">
        <f>W146*X146</f>
        <v>2141731.46</v>
      </c>
      <c r="AA146" s="1013">
        <f>S146*Y146</f>
        <v>0</v>
      </c>
      <c r="AB146" s="1012">
        <f>Z146+AA146</f>
        <v>2141731.46</v>
      </c>
      <c r="AC146" s="1013">
        <f>ROUND(Z146/$AF$2,2)</f>
        <v>643162.6</v>
      </c>
      <c r="AD146" s="1013">
        <f>ROUND(AA146/$AF$2,2)</f>
        <v>0</v>
      </c>
      <c r="AE146" s="1014">
        <f>AC146+AD146</f>
        <v>643162.6</v>
      </c>
      <c r="AG146" s="943">
        <f>AI146*X146</f>
        <v>0</v>
      </c>
      <c r="AH146" s="1052">
        <f>AI146*Y146</f>
        <v>0</v>
      </c>
      <c r="AI146" s="944"/>
      <c r="AJ146" s="904"/>
    </row>
    <row r="147" spans="1:36" ht="34.5" customHeight="1" x14ac:dyDescent="0.2">
      <c r="A147" s="1298"/>
      <c r="B147" s="926" t="s">
        <v>222</v>
      </c>
      <c r="C147" s="1116"/>
      <c r="D147" s="933"/>
      <c r="E147" s="933"/>
      <c r="F147" s="993">
        <f t="shared" ref="F147:I148" si="156">F148</f>
        <v>25000000</v>
      </c>
      <c r="G147" s="993">
        <f t="shared" si="156"/>
        <v>0</v>
      </c>
      <c r="H147" s="993">
        <f t="shared" si="156"/>
        <v>25000000</v>
      </c>
      <c r="I147" s="993">
        <f t="shared" si="156"/>
        <v>0</v>
      </c>
      <c r="J147" s="993">
        <f t="shared" ref="J147:M148" si="157">J148</f>
        <v>0</v>
      </c>
      <c r="K147" s="993">
        <f t="shared" si="157"/>
        <v>24032396.210000001</v>
      </c>
      <c r="L147" s="993">
        <f t="shared" si="157"/>
        <v>0</v>
      </c>
      <c r="M147" s="993">
        <f t="shared" si="157"/>
        <v>24032396.210000001</v>
      </c>
      <c r="N147" s="993">
        <f>N148</f>
        <v>0</v>
      </c>
      <c r="O147" s="993">
        <f t="shared" ref="O147:W148" si="158">O148</f>
        <v>0</v>
      </c>
      <c r="P147" s="993">
        <f t="shared" si="158"/>
        <v>8132049.4900000002</v>
      </c>
      <c r="Q147" s="993">
        <f t="shared" si="158"/>
        <v>0</v>
      </c>
      <c r="R147" s="993">
        <f t="shared" si="158"/>
        <v>8132049.4900000002</v>
      </c>
      <c r="S147" s="993">
        <f t="shared" si="158"/>
        <v>967603.78999999911</v>
      </c>
      <c r="T147" s="993">
        <f t="shared" si="158"/>
        <v>12000000</v>
      </c>
      <c r="U147" s="993">
        <f t="shared" si="158"/>
        <v>0</v>
      </c>
      <c r="V147" s="993">
        <f t="shared" si="158"/>
        <v>12000000</v>
      </c>
      <c r="W147" s="993">
        <f>W148</f>
        <v>12967603.789999999</v>
      </c>
      <c r="X147" s="1239"/>
      <c r="Y147" s="1239"/>
      <c r="Z147" s="993"/>
      <c r="AA147" s="993">
        <f>AA148</f>
        <v>12967603.789999999</v>
      </c>
      <c r="AB147" s="993">
        <f>Z147+AA147</f>
        <v>12967603.789999999</v>
      </c>
      <c r="AC147" s="993"/>
      <c r="AD147" s="993">
        <f>AD148</f>
        <v>3894175.3000000003</v>
      </c>
      <c r="AE147" s="1060">
        <f>AC147+AD147</f>
        <v>3894175.3000000003</v>
      </c>
      <c r="AG147" s="931"/>
      <c r="AH147" s="1057">
        <f>AH148</f>
        <v>0</v>
      </c>
      <c r="AI147" s="932">
        <f>AG147+AH147</f>
        <v>0</v>
      </c>
      <c r="AJ147" s="904"/>
    </row>
    <row r="148" spans="1:36" ht="34.5" customHeight="1" outlineLevel="1" thickBot="1" x14ac:dyDescent="0.25">
      <c r="A148" s="1298"/>
      <c r="B148" s="926" t="s">
        <v>223</v>
      </c>
      <c r="C148" s="1116"/>
      <c r="D148" s="933"/>
      <c r="E148" s="933"/>
      <c r="F148" s="994">
        <f t="shared" si="156"/>
        <v>25000000</v>
      </c>
      <c r="G148" s="994">
        <f t="shared" si="156"/>
        <v>0</v>
      </c>
      <c r="H148" s="994">
        <f t="shared" si="156"/>
        <v>25000000</v>
      </c>
      <c r="I148" s="994">
        <f t="shared" si="156"/>
        <v>0</v>
      </c>
      <c r="J148" s="994">
        <f t="shared" si="157"/>
        <v>0</v>
      </c>
      <c r="K148" s="994">
        <f t="shared" si="157"/>
        <v>24032396.210000001</v>
      </c>
      <c r="L148" s="994">
        <f t="shared" si="157"/>
        <v>0</v>
      </c>
      <c r="M148" s="994">
        <f t="shared" si="157"/>
        <v>24032396.210000001</v>
      </c>
      <c r="N148" s="994">
        <f>N149</f>
        <v>0</v>
      </c>
      <c r="O148" s="994">
        <f t="shared" si="158"/>
        <v>0</v>
      </c>
      <c r="P148" s="994">
        <f t="shared" si="158"/>
        <v>8132049.4900000002</v>
      </c>
      <c r="Q148" s="994">
        <f t="shared" si="158"/>
        <v>0</v>
      </c>
      <c r="R148" s="994">
        <f t="shared" si="158"/>
        <v>8132049.4900000002</v>
      </c>
      <c r="S148" s="994">
        <f t="shared" si="158"/>
        <v>967603.78999999911</v>
      </c>
      <c r="T148" s="994">
        <f t="shared" si="158"/>
        <v>12000000</v>
      </c>
      <c r="U148" s="994">
        <f t="shared" si="158"/>
        <v>0</v>
      </c>
      <c r="V148" s="994">
        <f t="shared" si="158"/>
        <v>12000000</v>
      </c>
      <c r="W148" s="994">
        <f t="shared" si="158"/>
        <v>12967603.789999999</v>
      </c>
      <c r="X148" s="1240"/>
      <c r="Y148" s="1240"/>
      <c r="Z148" s="994"/>
      <c r="AA148" s="994">
        <f>AA149</f>
        <v>12967603.789999999</v>
      </c>
      <c r="AB148" s="994">
        <f>Z148+AA148</f>
        <v>12967603.789999999</v>
      </c>
      <c r="AC148" s="994"/>
      <c r="AD148" s="994">
        <f>AD149</f>
        <v>3894175.3000000003</v>
      </c>
      <c r="AE148" s="1021">
        <f>AC148+AD148</f>
        <v>3894175.3000000003</v>
      </c>
      <c r="AF148" s="1260"/>
      <c r="AG148" s="927"/>
      <c r="AH148" s="942">
        <f>AH149</f>
        <v>0</v>
      </c>
      <c r="AI148" s="928">
        <f>AG148+AH148</f>
        <v>0</v>
      </c>
      <c r="AJ148" s="904"/>
    </row>
    <row r="149" spans="1:36" ht="59.25" customHeight="1" outlineLevel="1" thickBot="1" x14ac:dyDescent="0.25">
      <c r="A149" s="1298" t="s">
        <v>406</v>
      </c>
      <c r="B149" s="905" t="s">
        <v>699</v>
      </c>
      <c r="C149" s="902" t="s">
        <v>17</v>
      </c>
      <c r="D149" s="901"/>
      <c r="E149" s="902" t="s">
        <v>70</v>
      </c>
      <c r="F149" s="1038">
        <v>25000000</v>
      </c>
      <c r="G149" s="1038"/>
      <c r="H149" s="1038">
        <f>F149+G149</f>
        <v>25000000</v>
      </c>
      <c r="I149" s="1038"/>
      <c r="J149" s="1038"/>
      <c r="K149" s="1038">
        <v>24032396.210000001</v>
      </c>
      <c r="L149" s="1038"/>
      <c r="M149" s="1018">
        <f>I149+J149+K149+L149</f>
        <v>24032396.210000001</v>
      </c>
      <c r="N149" s="1019"/>
      <c r="O149" s="1019"/>
      <c r="P149" s="1039">
        <v>8132049.4900000002</v>
      </c>
      <c r="Q149" s="1039"/>
      <c r="R149" s="1018">
        <f>N149+O149+P149+Q149</f>
        <v>8132049.4900000002</v>
      </c>
      <c r="S149" s="1018">
        <f>H149-M149</f>
        <v>967603.78999999911</v>
      </c>
      <c r="T149" s="1018">
        <f>12000000</f>
        <v>12000000</v>
      </c>
      <c r="U149" s="1018"/>
      <c r="V149" s="1018">
        <f>T149+U149</f>
        <v>12000000</v>
      </c>
      <c r="W149" s="1018">
        <f>+S149+V149</f>
        <v>12967603.789999999</v>
      </c>
      <c r="X149" s="1235"/>
      <c r="Y149" s="1235">
        <v>1</v>
      </c>
      <c r="Z149" s="1019">
        <f>W149*X149</f>
        <v>0</v>
      </c>
      <c r="AA149" s="1013">
        <f>W149*Y149</f>
        <v>12967603.789999999</v>
      </c>
      <c r="AB149" s="1018">
        <f>Z149+AA149</f>
        <v>12967603.789999999</v>
      </c>
      <c r="AC149" s="1019">
        <f>ROUND(Z149/$AF$2,2)</f>
        <v>0</v>
      </c>
      <c r="AD149" s="1019">
        <f>ROUND(AA149/$AF$2,2)-0.01</f>
        <v>3894175.3000000003</v>
      </c>
      <c r="AE149" s="1020">
        <f>AC149+AD149</f>
        <v>3894175.3000000003</v>
      </c>
      <c r="AF149" s="1260"/>
      <c r="AG149" s="945">
        <f>AI149*X149</f>
        <v>0</v>
      </c>
      <c r="AH149" s="1058">
        <f>AI149*Y149</f>
        <v>0</v>
      </c>
      <c r="AI149" s="946"/>
      <c r="AJ149" s="904"/>
    </row>
    <row r="150" spans="1:36" ht="35.25" customHeight="1" thickBot="1" x14ac:dyDescent="0.25">
      <c r="A150" s="1298"/>
      <c r="B150" s="926" t="s">
        <v>407</v>
      </c>
      <c r="C150" s="1116"/>
      <c r="D150" s="933"/>
      <c r="E150" s="933"/>
      <c r="F150" s="993">
        <f t="shared" ref="F150:W150" si="159">SUM(F151:F151)</f>
        <v>0</v>
      </c>
      <c r="G150" s="993">
        <f t="shared" si="159"/>
        <v>0</v>
      </c>
      <c r="H150" s="993">
        <f t="shared" si="159"/>
        <v>0</v>
      </c>
      <c r="I150" s="993">
        <f t="shared" si="159"/>
        <v>0</v>
      </c>
      <c r="J150" s="993">
        <f t="shared" si="159"/>
        <v>0</v>
      </c>
      <c r="K150" s="993">
        <f t="shared" si="159"/>
        <v>0</v>
      </c>
      <c r="L150" s="993">
        <f t="shared" si="159"/>
        <v>0</v>
      </c>
      <c r="M150" s="993">
        <f t="shared" si="159"/>
        <v>0</v>
      </c>
      <c r="N150" s="993">
        <f t="shared" si="159"/>
        <v>0</v>
      </c>
      <c r="O150" s="993">
        <f t="shared" si="159"/>
        <v>0</v>
      </c>
      <c r="P150" s="993">
        <f t="shared" si="159"/>
        <v>0</v>
      </c>
      <c r="Q150" s="993">
        <f t="shared" si="159"/>
        <v>0</v>
      </c>
      <c r="R150" s="993">
        <f t="shared" si="159"/>
        <v>0</v>
      </c>
      <c r="S150" s="993">
        <f t="shared" si="159"/>
        <v>0</v>
      </c>
      <c r="T150" s="993">
        <f t="shared" si="159"/>
        <v>0</v>
      </c>
      <c r="U150" s="993">
        <f t="shared" si="159"/>
        <v>0</v>
      </c>
      <c r="V150" s="993">
        <f t="shared" si="159"/>
        <v>0</v>
      </c>
      <c r="W150" s="993">
        <f t="shared" si="159"/>
        <v>0</v>
      </c>
      <c r="X150" s="1239"/>
      <c r="Y150" s="1239"/>
      <c r="Z150" s="993">
        <f t="shared" ref="Z150:AE150" si="160">SUM(Z151:Z151)</f>
        <v>0</v>
      </c>
      <c r="AA150" s="993">
        <f t="shared" si="160"/>
        <v>0</v>
      </c>
      <c r="AB150" s="993">
        <f t="shared" si="160"/>
        <v>0</v>
      </c>
      <c r="AC150" s="993">
        <f t="shared" si="160"/>
        <v>0</v>
      </c>
      <c r="AD150" s="993">
        <f t="shared" si="160"/>
        <v>0</v>
      </c>
      <c r="AE150" s="1060">
        <f t="shared" si="160"/>
        <v>0</v>
      </c>
      <c r="AF150" s="1260"/>
      <c r="AG150" s="931">
        <f>SUM(AG151:AG151)</f>
        <v>0</v>
      </c>
      <c r="AH150" s="1057">
        <f>SUM(AH151:AH151)</f>
        <v>0</v>
      </c>
      <c r="AI150" s="932">
        <f>SUM(AI151:AI151)</f>
        <v>0</v>
      </c>
      <c r="AJ150" s="904"/>
    </row>
    <row r="151" spans="1:36" ht="29.25" customHeight="1" outlineLevel="1" x14ac:dyDescent="0.2">
      <c r="A151" s="1305" t="s">
        <v>410</v>
      </c>
      <c r="B151" s="980" t="s">
        <v>408</v>
      </c>
      <c r="C151" s="972"/>
      <c r="D151" s="971"/>
      <c r="E151" s="972"/>
      <c r="F151" s="1046"/>
      <c r="G151" s="1046"/>
      <c r="H151" s="1046">
        <f>+F151+G151</f>
        <v>0</v>
      </c>
      <c r="I151" s="1046"/>
      <c r="J151" s="1046"/>
      <c r="K151" s="1046"/>
      <c r="L151" s="1046"/>
      <c r="M151" s="1024"/>
      <c r="N151" s="1025"/>
      <c r="O151" s="1025"/>
      <c r="P151" s="1033"/>
      <c r="Q151" s="1033"/>
      <c r="R151" s="1024"/>
      <c r="S151" s="1018">
        <f>H151-M151</f>
        <v>0</v>
      </c>
      <c r="T151" s="1024">
        <f>AJ151*$AF$2</f>
        <v>0</v>
      </c>
      <c r="U151" s="1024">
        <f>AK151*$AF$2</f>
        <v>0</v>
      </c>
      <c r="V151" s="1024">
        <f>T151+U151</f>
        <v>0</v>
      </c>
      <c r="W151" s="1062">
        <f>+S151+V151</f>
        <v>0</v>
      </c>
      <c r="X151" s="1244"/>
      <c r="Y151" s="1244"/>
      <c r="Z151" s="1025">
        <f>S151*X151</f>
        <v>0</v>
      </c>
      <c r="AA151" s="1025">
        <f>W151*Y151</f>
        <v>0</v>
      </c>
      <c r="AB151" s="1024">
        <f>Z151+AA151</f>
        <v>0</v>
      </c>
      <c r="AC151" s="1076">
        <f>ROUND(Z151/$AF$2,2)</f>
        <v>0</v>
      </c>
      <c r="AD151" s="1076">
        <f>ROUND(AA151/$AF$2,2)</f>
        <v>0</v>
      </c>
      <c r="AE151" s="1077">
        <f>AC151+AD151</f>
        <v>0</v>
      </c>
      <c r="AF151" s="1260"/>
      <c r="AG151" s="947">
        <f>AI151*X151</f>
        <v>0</v>
      </c>
      <c r="AH151" s="1052">
        <f>AI151*Y151</f>
        <v>0</v>
      </c>
      <c r="AI151" s="948"/>
      <c r="AJ151" s="904"/>
    </row>
    <row r="152" spans="1:36" s="951" customFormat="1" ht="25.5" customHeight="1" thickBot="1" x14ac:dyDescent="0.3">
      <c r="A152" s="1308"/>
      <c r="B152" s="949" t="s">
        <v>0</v>
      </c>
      <c r="C152" s="1117"/>
      <c r="D152" s="949"/>
      <c r="E152" s="949"/>
      <c r="F152" s="1030">
        <f t="shared" ref="F152:AE152" si="161">F7+F73+F143+F147+F150</f>
        <v>708497979</v>
      </c>
      <c r="G152" s="1030">
        <f t="shared" si="161"/>
        <v>57186218.319999993</v>
      </c>
      <c r="H152" s="1030">
        <f t="shared" si="161"/>
        <v>765684197.32000005</v>
      </c>
      <c r="I152" s="1030">
        <f t="shared" si="161"/>
        <v>396272307.2899999</v>
      </c>
      <c r="J152" s="1030">
        <f t="shared" si="161"/>
        <v>47345012.909999996</v>
      </c>
      <c r="K152" s="1030">
        <f t="shared" si="161"/>
        <v>90374825.060000002</v>
      </c>
      <c r="L152" s="1030">
        <f t="shared" si="161"/>
        <v>9358103.3699999955</v>
      </c>
      <c r="M152" s="1030">
        <f t="shared" si="161"/>
        <v>543350248.63</v>
      </c>
      <c r="N152" s="1030">
        <f t="shared" si="161"/>
        <v>157211061.50000003</v>
      </c>
      <c r="O152" s="1030">
        <f t="shared" si="161"/>
        <v>15734109.189999994</v>
      </c>
      <c r="P152" s="1030">
        <f t="shared" si="161"/>
        <v>31715215.949999996</v>
      </c>
      <c r="Q152" s="1030">
        <f t="shared" si="161"/>
        <v>3069654.1699999995</v>
      </c>
      <c r="R152" s="1030">
        <f t="shared" si="161"/>
        <v>207730040.81</v>
      </c>
      <c r="S152" s="1030">
        <f t="shared" si="161"/>
        <v>337143313.35681254</v>
      </c>
      <c r="T152" s="1030">
        <f t="shared" si="161"/>
        <v>87734114.502555564</v>
      </c>
      <c r="U152" s="1030">
        <f t="shared" si="161"/>
        <v>53728652.276455551</v>
      </c>
      <c r="V152" s="1030">
        <f t="shared" si="161"/>
        <v>141462766.77901113</v>
      </c>
      <c r="W152" s="1030">
        <f t="shared" si="161"/>
        <v>478606080.13582361</v>
      </c>
      <c r="X152" s="1245">
        <f t="shared" si="161"/>
        <v>0</v>
      </c>
      <c r="Y152" s="1245">
        <f t="shared" si="161"/>
        <v>0</v>
      </c>
      <c r="Z152" s="1030">
        <f t="shared" si="161"/>
        <v>286562581.55962354</v>
      </c>
      <c r="AA152" s="1030">
        <f t="shared" si="161"/>
        <v>192043498.57620004</v>
      </c>
      <c r="AB152" s="998">
        <f t="shared" si="161"/>
        <v>478606080.13582361</v>
      </c>
      <c r="AC152" s="998">
        <f t="shared" si="161"/>
        <v>86054829.310000002</v>
      </c>
      <c r="AD152" s="998">
        <f t="shared" si="161"/>
        <v>57670720.279999994</v>
      </c>
      <c r="AE152" s="1031">
        <f t="shared" si="161"/>
        <v>143725549.59</v>
      </c>
      <c r="AF152" s="1269">
        <f>W152/AF2</f>
        <v>143725549.59033743</v>
      </c>
      <c r="AG152" s="950">
        <f>AG7+AG73+AG143+AG147+AG150</f>
        <v>55225712.850183941</v>
      </c>
      <c r="AH152" s="950">
        <f>AH7+AH73+AH143+AH147+AH150</f>
        <v>16760814.365075078</v>
      </c>
      <c r="AI152" s="1083">
        <f>AI7+AI73+AI143+AI147+AI150</f>
        <v>83264987.215259016</v>
      </c>
      <c r="AJ152" s="904"/>
    </row>
    <row r="153" spans="1:36" ht="15" customHeight="1" x14ac:dyDescent="0.2">
      <c r="C153" s="1118"/>
      <c r="D153" s="888"/>
      <c r="E153" s="888"/>
      <c r="F153" s="888"/>
      <c r="G153" s="888"/>
      <c r="H153" s="888"/>
      <c r="I153" s="888"/>
      <c r="J153" s="888"/>
      <c r="K153" s="888"/>
      <c r="L153" s="888"/>
      <c r="M153" s="888"/>
      <c r="O153" s="888"/>
      <c r="P153" s="888"/>
      <c r="Q153" s="888"/>
      <c r="R153" s="888"/>
      <c r="S153" s="888"/>
      <c r="T153" s="888"/>
      <c r="U153" s="888"/>
      <c r="V153" s="888"/>
      <c r="W153" s="1285"/>
      <c r="AB153" s="952"/>
      <c r="AC153" s="953"/>
      <c r="AD153" s="953"/>
      <c r="AE153" s="953"/>
      <c r="AF153" s="1259">
        <f>AB152/3.33</f>
        <v>143725549.59033743</v>
      </c>
    </row>
    <row r="154" spans="1:36" ht="23.25" customHeight="1" x14ac:dyDescent="0.2">
      <c r="A154" s="1292"/>
      <c r="C154" s="1118"/>
      <c r="D154" s="888"/>
      <c r="E154" s="888"/>
      <c r="F154" s="1120"/>
      <c r="G154" s="888"/>
      <c r="H154" s="888"/>
      <c r="I154" s="888"/>
      <c r="J154" s="888"/>
      <c r="K154" s="888"/>
      <c r="L154" s="888"/>
      <c r="M154" s="888"/>
      <c r="O154" s="888"/>
      <c r="P154" s="888"/>
      <c r="Q154" s="888"/>
      <c r="R154" s="888"/>
      <c r="S154" s="888"/>
      <c r="T154" s="888"/>
      <c r="U154" s="888"/>
      <c r="V154" s="888"/>
      <c r="W154" s="1285"/>
      <c r="AB154" s="1560" t="s">
        <v>672</v>
      </c>
      <c r="AC154" s="1560"/>
      <c r="AD154" s="1560"/>
      <c r="AE154" s="1560"/>
      <c r="AF154" s="1259">
        <f>AF153-AE152</f>
        <v>3.3742189407348633E-4</v>
      </c>
    </row>
    <row r="155" spans="1:36" ht="23.25" customHeight="1" x14ac:dyDescent="0.2">
      <c r="A155" s="1292"/>
      <c r="C155" s="1118"/>
      <c r="D155" s="888"/>
      <c r="E155" s="888"/>
      <c r="F155" s="1120"/>
      <c r="G155" s="1066"/>
      <c r="H155" s="888"/>
      <c r="I155" s="1069">
        <v>396272307.29000014</v>
      </c>
      <c r="J155" s="1069">
        <v>47345012.909999996</v>
      </c>
      <c r="K155" s="1069">
        <v>90374825.060000002</v>
      </c>
      <c r="L155" s="1069">
        <v>9358103.3700000029</v>
      </c>
      <c r="M155" s="1069">
        <f>+I155+J155+K155+L155</f>
        <v>543350248.63000011</v>
      </c>
      <c r="N155" s="1070">
        <v>157211061.50000039</v>
      </c>
      <c r="O155" s="1070">
        <v>15734109.189999998</v>
      </c>
      <c r="P155" s="1070">
        <v>31715215.950000022</v>
      </c>
      <c r="Q155" s="1070">
        <v>3069654.17</v>
      </c>
      <c r="R155" s="1070">
        <f>+N155+O155+P155+Q155</f>
        <v>207730040.81000039</v>
      </c>
      <c r="S155" s="888"/>
      <c r="T155" s="888"/>
      <c r="W155" s="1286">
        <f>W152-AB152</f>
        <v>0</v>
      </c>
      <c r="X155" s="982"/>
      <c r="Z155" s="698">
        <f>W152-AB152</f>
        <v>0</v>
      </c>
      <c r="AB155" s="954" t="s">
        <v>672</v>
      </c>
      <c r="AC155" s="954" t="s">
        <v>86</v>
      </c>
      <c r="AD155" s="954" t="s">
        <v>87</v>
      </c>
      <c r="AE155" s="954" t="s">
        <v>92</v>
      </c>
      <c r="AF155" s="1260"/>
      <c r="AI155" s="698"/>
    </row>
    <row r="156" spans="1:36" ht="23.25" customHeight="1" x14ac:dyDescent="0.2">
      <c r="A156" s="1292"/>
      <c r="C156" s="1118"/>
      <c r="D156" s="888"/>
      <c r="E156" s="888"/>
      <c r="F156" s="1120"/>
      <c r="G156" s="888"/>
      <c r="H156" s="888"/>
      <c r="I156" s="1069"/>
      <c r="J156" s="1069"/>
      <c r="K156" s="1069"/>
      <c r="L156" s="1069"/>
      <c r="M156" s="1069"/>
      <c r="N156" s="1070"/>
      <c r="O156" s="1070"/>
      <c r="P156" s="1070"/>
      <c r="Q156" s="1070"/>
      <c r="R156" s="1070"/>
      <c r="T156" s="888"/>
      <c r="W156" s="1286"/>
      <c r="X156" s="982"/>
      <c r="AB156" s="1093" t="s">
        <v>744</v>
      </c>
      <c r="AC156" s="1094">
        <v>259000000</v>
      </c>
      <c r="AD156" s="1094">
        <v>111000000</v>
      </c>
      <c r="AE156" s="1094">
        <f>+AD156+AC156</f>
        <v>370000000</v>
      </c>
      <c r="AF156" s="1260"/>
      <c r="AI156" s="698"/>
    </row>
    <row r="157" spans="1:36" ht="23.25" customHeight="1" x14ac:dyDescent="0.2">
      <c r="A157" s="1292"/>
      <c r="C157" s="1118"/>
      <c r="D157" s="888"/>
      <c r="E157" s="888"/>
      <c r="F157" s="1121"/>
      <c r="G157" s="888"/>
      <c r="H157" s="888"/>
      <c r="I157" s="986">
        <f>I152-I155</f>
        <v>0</v>
      </c>
      <c r="J157" s="986">
        <f>J152-J155</f>
        <v>0</v>
      </c>
      <c r="K157" s="986">
        <f t="shared" ref="K157:R157" si="162">K152-K155</f>
        <v>0</v>
      </c>
      <c r="L157" s="986">
        <f t="shared" si="162"/>
        <v>0</v>
      </c>
      <c r="M157" s="986">
        <f t="shared" si="162"/>
        <v>0</v>
      </c>
      <c r="N157" s="986">
        <f t="shared" si="162"/>
        <v>-3.5762786865234375E-7</v>
      </c>
      <c r="O157" s="986">
        <f t="shared" si="162"/>
        <v>0</v>
      </c>
      <c r="P157" s="986">
        <f t="shared" si="162"/>
        <v>0</v>
      </c>
      <c r="Q157" s="986">
        <f t="shared" si="162"/>
        <v>0</v>
      </c>
      <c r="R157" s="986">
        <f t="shared" si="162"/>
        <v>-3.8743019104003906E-7</v>
      </c>
      <c r="T157" s="888"/>
      <c r="U157" s="888"/>
      <c r="V157" s="888"/>
      <c r="W157" s="1285"/>
      <c r="X157" s="982"/>
      <c r="AB157" s="955" t="s">
        <v>669</v>
      </c>
      <c r="AC157" s="1063">
        <f>N152+O152</f>
        <v>172945170.69000003</v>
      </c>
      <c r="AD157" s="1063">
        <f>P152+Q152</f>
        <v>34784870.119999997</v>
      </c>
      <c r="AE157" s="956">
        <f>+AC157+AD157</f>
        <v>207730040.81000003</v>
      </c>
      <c r="AF157" s="1261"/>
      <c r="AI157" s="698"/>
    </row>
    <row r="158" spans="1:36" ht="23.25" customHeight="1" x14ac:dyDescent="0.2">
      <c r="A158" s="1292"/>
      <c r="C158" s="1118"/>
      <c r="D158" s="888"/>
      <c r="E158" s="888"/>
      <c r="F158" s="1121"/>
      <c r="H158" s="888"/>
      <c r="I158" s="888"/>
      <c r="J158" s="888"/>
      <c r="K158" s="888"/>
      <c r="L158" s="888"/>
      <c r="M158" s="888"/>
      <c r="O158" s="888"/>
      <c r="P158" s="888"/>
      <c r="Q158" s="888"/>
      <c r="R158" s="888"/>
      <c r="S158" s="888"/>
      <c r="T158" s="888"/>
      <c r="U158" s="888"/>
      <c r="V158" s="888"/>
      <c r="W158" s="1285"/>
      <c r="X158" s="982"/>
      <c r="AB158" s="957" t="s">
        <v>733</v>
      </c>
      <c r="AC158" s="956">
        <f>AC152</f>
        <v>86054829.310000002</v>
      </c>
      <c r="AD158" s="956">
        <f>AD152</f>
        <v>57670720.279999994</v>
      </c>
      <c r="AE158" s="956">
        <f>+AD158+AC158</f>
        <v>143725549.59</v>
      </c>
      <c r="AF158" s="1260"/>
      <c r="AI158" s="698"/>
    </row>
    <row r="159" spans="1:36" ht="23.25" customHeight="1" x14ac:dyDescent="0.2">
      <c r="A159" s="1292"/>
      <c r="C159" s="1118"/>
      <c r="D159" s="888"/>
      <c r="E159" s="888"/>
      <c r="F159" s="1121"/>
      <c r="G159" s="888"/>
      <c r="H159" s="888"/>
      <c r="I159" s="888"/>
      <c r="J159" s="888"/>
      <c r="K159" s="888"/>
      <c r="L159" s="888"/>
      <c r="M159" s="888"/>
      <c r="O159" s="888"/>
      <c r="P159" s="888"/>
      <c r="Q159" s="888"/>
      <c r="R159" s="1066">
        <f>S152+V152</f>
        <v>478606080.13582367</v>
      </c>
      <c r="S159" s="888"/>
      <c r="T159" s="888"/>
      <c r="U159" s="888"/>
      <c r="V159" s="888"/>
      <c r="W159" s="1285"/>
      <c r="X159" s="983"/>
      <c r="AB159" s="957" t="s">
        <v>673</v>
      </c>
      <c r="AC159" s="958">
        <f>+AC157+AC152</f>
        <v>259000000.00000003</v>
      </c>
      <c r="AD159" s="958">
        <f>AD157+AD152</f>
        <v>92455590.399999991</v>
      </c>
      <c r="AE159" s="958">
        <f>AD159+AC159</f>
        <v>351455590.40000004</v>
      </c>
      <c r="AF159" s="1260"/>
      <c r="AH159" s="665"/>
      <c r="AI159" s="763"/>
    </row>
    <row r="160" spans="1:36" s="1254" customFormat="1" ht="23.25" customHeight="1" x14ac:dyDescent="0.2">
      <c r="A160" s="1310"/>
      <c r="B160" s="1251"/>
      <c r="C160" s="1279"/>
      <c r="G160" s="1251"/>
      <c r="H160" s="1251"/>
      <c r="I160" s="1255"/>
      <c r="J160" s="1255"/>
      <c r="K160" s="1251"/>
      <c r="L160" s="1251"/>
      <c r="M160" s="1251"/>
      <c r="N160" s="1251"/>
      <c r="O160" s="1251"/>
      <c r="P160" s="1251"/>
      <c r="Q160" s="1251"/>
      <c r="R160" s="1256">
        <f>R159-W152</f>
        <v>0</v>
      </c>
      <c r="S160" s="1251"/>
      <c r="T160" s="1251"/>
      <c r="U160" s="1251"/>
      <c r="V160" s="1251"/>
      <c r="W160" s="1287"/>
      <c r="X160" s="1257"/>
      <c r="Y160" s="1258"/>
      <c r="Z160" s="1259"/>
      <c r="AA160" s="1259"/>
      <c r="AB160" s="985" t="s">
        <v>91</v>
      </c>
      <c r="AC160" s="1289">
        <f>+AC156-AC159</f>
        <v>0</v>
      </c>
      <c r="AD160" s="1290">
        <f>+AD156-AD159</f>
        <v>18544409.600000009</v>
      </c>
      <c r="AE160" s="1291">
        <f>+AD160+AC160</f>
        <v>18544409.600000009</v>
      </c>
      <c r="AF160" s="1260"/>
      <c r="AG160" s="1259"/>
      <c r="AH160" s="1259"/>
    </row>
    <row r="161" spans="1:38" s="1254" customFormat="1" x14ac:dyDescent="0.2">
      <c r="A161" s="1279"/>
      <c r="B161" s="1251"/>
      <c r="C161" s="1280"/>
      <c r="D161" s="1251"/>
      <c r="E161" s="1251"/>
      <c r="F161" s="1251"/>
      <c r="G161" s="1251"/>
      <c r="H161" s="1251"/>
      <c r="I161" s="1251"/>
      <c r="J161" s="1251"/>
      <c r="K161" s="1251"/>
      <c r="L161" s="1251"/>
      <c r="M161" s="1251"/>
      <c r="N161" s="1251"/>
      <c r="O161" s="1251"/>
      <c r="P161" s="1251"/>
      <c r="Q161" s="1251"/>
      <c r="R161" s="1251"/>
      <c r="S161" s="1251"/>
      <c r="T161" s="1251"/>
      <c r="U161" s="1251"/>
      <c r="V161" s="1251"/>
      <c r="W161" s="1287"/>
      <c r="X161" s="1258"/>
      <c r="Y161" s="1258"/>
      <c r="Z161" s="1259"/>
      <c r="AA161" s="1259"/>
      <c r="AC161" s="1259"/>
      <c r="AD161" s="1259"/>
      <c r="AF161" s="1260"/>
      <c r="AG161" s="1259"/>
      <c r="AH161" s="1259"/>
      <c r="AI161" s="1261"/>
    </row>
    <row r="162" spans="1:38" s="1254" customFormat="1" ht="18" x14ac:dyDescent="0.25">
      <c r="A162" s="1310"/>
      <c r="B162" s="1251"/>
      <c r="C162" s="1279"/>
      <c r="H162" s="1259"/>
      <c r="N162" s="1251"/>
      <c r="S162" s="1262"/>
      <c r="T162" s="1251"/>
      <c r="V162" s="1263"/>
      <c r="W162" s="1264"/>
      <c r="X162" s="1258"/>
      <c r="Y162" s="1258"/>
      <c r="Z162" s="1259"/>
      <c r="AA162" s="1259"/>
      <c r="AC162" s="1259"/>
      <c r="AD162" s="1259"/>
      <c r="AE162" s="1261"/>
      <c r="AF162" s="1260"/>
      <c r="AG162" s="1259"/>
      <c r="AH162" s="1259"/>
    </row>
    <row r="163" spans="1:38" s="1254" customFormat="1" ht="18" x14ac:dyDescent="0.25">
      <c r="A163" s="1310"/>
      <c r="B163" s="1251"/>
      <c r="C163" s="1279"/>
      <c r="H163" s="1259"/>
      <c r="N163" s="1251"/>
      <c r="S163" s="1265"/>
      <c r="T163" s="1251"/>
      <c r="W163" s="1264"/>
      <c r="X163" s="1258"/>
      <c r="Y163" s="1258"/>
      <c r="Z163" s="1259"/>
      <c r="AA163" s="1259"/>
      <c r="AB163" s="1259"/>
      <c r="AC163" s="1259"/>
      <c r="AD163" s="1267"/>
      <c r="AE163" s="1259"/>
      <c r="AF163" s="1259"/>
      <c r="AG163" s="1259"/>
      <c r="AH163" s="1259"/>
      <c r="AI163" s="1259"/>
      <c r="AJ163" s="1259"/>
      <c r="AK163" s="1259"/>
    </row>
    <row r="164" spans="1:38" s="1254" customFormat="1" ht="18" x14ac:dyDescent="0.25">
      <c r="A164" s="1310"/>
      <c r="B164" s="1251"/>
      <c r="C164" s="1279"/>
      <c r="H164" s="1259"/>
      <c r="N164" s="1251"/>
      <c r="S164" s="1262"/>
      <c r="T164" s="1251"/>
      <c r="W164" s="1264"/>
      <c r="X164" s="1258"/>
      <c r="Y164" s="1258"/>
      <c r="Z164" s="1259"/>
      <c r="AA164" s="1259"/>
      <c r="AC164" s="1259"/>
      <c r="AD164" s="1259"/>
      <c r="AE164" s="1259"/>
      <c r="AF164" s="1259"/>
      <c r="AG164" s="1259"/>
      <c r="AH164" s="1259"/>
      <c r="AI164" s="1259"/>
      <c r="AJ164" s="1259"/>
      <c r="AK164" s="1259"/>
    </row>
    <row r="165" spans="1:38" s="1254" customFormat="1" x14ac:dyDescent="0.25">
      <c r="A165" s="1310"/>
      <c r="B165" s="1251"/>
      <c r="C165" s="1279"/>
      <c r="H165" s="1259"/>
      <c r="N165" s="1251"/>
      <c r="W165" s="1264"/>
      <c r="X165" s="1258"/>
      <c r="Y165" s="1258"/>
      <c r="Z165" s="1259"/>
      <c r="AA165" s="1259"/>
      <c r="AC165" s="1259"/>
      <c r="AD165" s="1259"/>
      <c r="AE165" s="1259"/>
      <c r="AF165" s="1259"/>
      <c r="AG165" s="1259"/>
      <c r="AH165" s="1259"/>
      <c r="AI165" s="1259"/>
      <c r="AJ165" s="1259"/>
      <c r="AK165" s="1259"/>
      <c r="AL165" s="1268"/>
    </row>
    <row r="166" spans="1:38" s="1254" customFormat="1" x14ac:dyDescent="0.25">
      <c r="A166" s="1310"/>
      <c r="B166" s="1251"/>
      <c r="C166" s="1279"/>
      <c r="H166" s="1259"/>
      <c r="N166" s="1251"/>
      <c r="W166" s="1264"/>
      <c r="X166" s="1258"/>
      <c r="Y166" s="1258"/>
      <c r="Z166" s="1259"/>
      <c r="AA166" s="1259"/>
      <c r="AB166" s="1259"/>
      <c r="AC166" s="1259"/>
      <c r="AD166" s="1259"/>
      <c r="AE166" s="1259"/>
      <c r="AF166" s="1260"/>
      <c r="AG166" s="1259"/>
      <c r="AH166" s="1259"/>
    </row>
    <row r="167" spans="1:38" s="1254" customFormat="1" x14ac:dyDescent="0.25">
      <c r="A167" s="1310"/>
      <c r="B167" s="1251"/>
      <c r="C167" s="1279"/>
      <c r="H167" s="1259"/>
      <c r="N167" s="1251"/>
      <c r="W167" s="1264"/>
      <c r="X167" s="1258"/>
      <c r="Y167" s="1258"/>
      <c r="Z167" s="1259"/>
      <c r="AA167" s="1259"/>
      <c r="AC167" s="1259"/>
      <c r="AD167" s="1259"/>
      <c r="AE167" s="1259"/>
      <c r="AF167" s="1260"/>
      <c r="AG167" s="1259"/>
      <c r="AH167" s="1259"/>
    </row>
    <row r="168" spans="1:38" s="1254" customFormat="1" x14ac:dyDescent="0.25">
      <c r="A168" s="1310"/>
      <c r="B168" s="1251"/>
      <c r="C168" s="1279"/>
      <c r="H168" s="1259"/>
      <c r="N168" s="1251"/>
      <c r="W168" s="1264"/>
      <c r="X168" s="1258"/>
      <c r="Y168" s="1258"/>
      <c r="Z168" s="1259"/>
      <c r="AA168" s="1259"/>
      <c r="AC168" s="1259"/>
      <c r="AD168" s="1259"/>
      <c r="AF168" s="1260"/>
      <c r="AG168" s="1259"/>
      <c r="AH168" s="1259"/>
    </row>
    <row r="169" spans="1:38" s="1254" customFormat="1" x14ac:dyDescent="0.25">
      <c r="A169" s="1310"/>
      <c r="B169" s="1251"/>
      <c r="C169" s="1279"/>
      <c r="H169" s="1259"/>
      <c r="N169" s="1251"/>
      <c r="W169" s="1264"/>
      <c r="X169" s="1258"/>
      <c r="Y169" s="1258"/>
      <c r="Z169" s="1259"/>
      <c r="AA169" s="1259"/>
      <c r="AC169" s="1259"/>
      <c r="AD169" s="1259"/>
      <c r="AF169" s="1260"/>
      <c r="AG169" s="1259"/>
      <c r="AH169" s="1259"/>
    </row>
    <row r="170" spans="1:38" s="1254" customFormat="1" x14ac:dyDescent="0.25">
      <c r="A170" s="1310"/>
      <c r="B170" s="1251"/>
      <c r="C170" s="1279"/>
      <c r="H170" s="1259"/>
      <c r="N170" s="1251"/>
      <c r="W170" s="1264"/>
      <c r="X170" s="1258"/>
      <c r="Y170" s="1258"/>
      <c r="Z170" s="1259"/>
      <c r="AA170" s="1259"/>
      <c r="AC170" s="1259"/>
      <c r="AD170" s="1259"/>
      <c r="AF170" s="1260"/>
      <c r="AG170" s="1259"/>
      <c r="AH170" s="1259"/>
    </row>
    <row r="171" spans="1:38" s="1254" customFormat="1" x14ac:dyDescent="0.25">
      <c r="A171" s="1310"/>
      <c r="B171" s="1251"/>
      <c r="C171" s="1279"/>
      <c r="H171" s="1259"/>
      <c r="N171" s="1251"/>
      <c r="W171" s="1264"/>
      <c r="X171" s="1258"/>
      <c r="Y171" s="1258"/>
      <c r="Z171" s="1259"/>
      <c r="AA171" s="1259"/>
      <c r="AC171" s="1259"/>
      <c r="AD171" s="1259"/>
      <c r="AF171" s="1260"/>
      <c r="AG171" s="1259"/>
      <c r="AH171" s="1259"/>
    </row>
    <row r="172" spans="1:38" s="1254" customFormat="1" x14ac:dyDescent="0.25">
      <c r="A172" s="1310"/>
      <c r="B172" s="1251"/>
      <c r="C172" s="1279"/>
      <c r="H172" s="1259"/>
      <c r="N172" s="1251"/>
      <c r="W172" s="1264"/>
      <c r="X172" s="1258"/>
      <c r="Y172" s="1258"/>
      <c r="Z172" s="1259"/>
      <c r="AA172" s="1259"/>
      <c r="AC172" s="1259"/>
      <c r="AD172" s="1259"/>
      <c r="AF172" s="1260"/>
      <c r="AG172" s="1259"/>
      <c r="AH172" s="1259"/>
    </row>
    <row r="173" spans="1:38" x14ac:dyDescent="0.25">
      <c r="C173" s="1109"/>
      <c r="D173" s="665"/>
      <c r="E173" s="665"/>
    </row>
    <row r="174" spans="1:38" x14ac:dyDescent="0.25">
      <c r="C174" s="1109"/>
      <c r="D174" s="665"/>
      <c r="E174" s="665"/>
    </row>
    <row r="175" spans="1:38" x14ac:dyDescent="0.25">
      <c r="C175" s="1109"/>
      <c r="D175" s="665"/>
      <c r="E175" s="665"/>
    </row>
    <row r="176" spans="1:38" x14ac:dyDescent="0.25">
      <c r="C176" s="1109"/>
      <c r="D176" s="665"/>
      <c r="E176" s="665"/>
    </row>
    <row r="177" spans="3:5" x14ac:dyDescent="0.25">
      <c r="C177" s="1109"/>
      <c r="D177" s="665"/>
      <c r="E177" s="665"/>
    </row>
    <row r="178" spans="3:5" x14ac:dyDescent="0.25">
      <c r="C178" s="1109"/>
      <c r="D178" s="665"/>
      <c r="E178" s="665"/>
    </row>
    <row r="179" spans="3:5" x14ac:dyDescent="0.25">
      <c r="C179" s="1109"/>
      <c r="D179" s="665"/>
      <c r="E179" s="665"/>
    </row>
    <row r="180" spans="3:5" x14ac:dyDescent="0.25">
      <c r="C180" s="1109"/>
      <c r="D180" s="665"/>
      <c r="E180" s="665"/>
    </row>
    <row r="181" spans="3:5" x14ac:dyDescent="0.25">
      <c r="C181" s="1109"/>
      <c r="D181" s="665"/>
      <c r="E181" s="665"/>
    </row>
    <row r="182" spans="3:5" x14ac:dyDescent="0.25">
      <c r="C182" s="1109"/>
      <c r="D182" s="665"/>
      <c r="E182" s="665"/>
    </row>
    <row r="183" spans="3:5" x14ac:dyDescent="0.25">
      <c r="C183" s="1109"/>
      <c r="D183" s="665"/>
      <c r="E183" s="665"/>
    </row>
    <row r="184" spans="3:5" x14ac:dyDescent="0.25">
      <c r="C184" s="1109"/>
      <c r="D184" s="665"/>
      <c r="E184" s="665"/>
    </row>
    <row r="185" spans="3:5" x14ac:dyDescent="0.25">
      <c r="C185" s="1109"/>
      <c r="D185" s="665"/>
      <c r="E185" s="665"/>
    </row>
    <row r="186" spans="3:5" x14ac:dyDescent="0.25">
      <c r="C186" s="1109"/>
      <c r="D186" s="665"/>
      <c r="E186" s="665"/>
    </row>
    <row r="187" spans="3:5" x14ac:dyDescent="0.25">
      <c r="C187" s="1109"/>
      <c r="D187" s="665"/>
      <c r="E187" s="665"/>
    </row>
    <row r="188" spans="3:5" x14ac:dyDescent="0.25">
      <c r="C188" s="1109"/>
      <c r="D188" s="665"/>
      <c r="E188" s="665"/>
    </row>
    <row r="189" spans="3:5" x14ac:dyDescent="0.25">
      <c r="C189" s="1109"/>
      <c r="D189" s="665"/>
      <c r="E189" s="665"/>
    </row>
    <row r="190" spans="3:5" x14ac:dyDescent="0.25">
      <c r="C190" s="1109"/>
      <c r="D190" s="665"/>
      <c r="E190" s="665"/>
    </row>
    <row r="191" spans="3:5" x14ac:dyDescent="0.25">
      <c r="C191" s="1109"/>
      <c r="D191" s="665"/>
      <c r="E191" s="665"/>
    </row>
    <row r="192" spans="3:5" x14ac:dyDescent="0.25">
      <c r="C192" s="1109"/>
      <c r="D192" s="665"/>
      <c r="E192" s="665"/>
    </row>
    <row r="193" spans="3:5" x14ac:dyDescent="0.25">
      <c r="C193" s="1109"/>
      <c r="D193" s="665"/>
      <c r="E193" s="665"/>
    </row>
    <row r="194" spans="3:5" x14ac:dyDescent="0.25">
      <c r="C194" s="1109"/>
      <c r="D194" s="665"/>
      <c r="E194" s="665"/>
    </row>
    <row r="195" spans="3:5" x14ac:dyDescent="0.25">
      <c r="C195" s="1109"/>
      <c r="D195" s="665"/>
      <c r="E195" s="665"/>
    </row>
    <row r="196" spans="3:5" x14ac:dyDescent="0.25">
      <c r="C196" s="1109"/>
      <c r="D196" s="665"/>
      <c r="E196" s="665"/>
    </row>
    <row r="197" spans="3:5" x14ac:dyDescent="0.25">
      <c r="C197" s="1109"/>
      <c r="D197" s="665"/>
      <c r="E197" s="665"/>
    </row>
    <row r="198" spans="3:5" x14ac:dyDescent="0.25">
      <c r="C198" s="1109"/>
      <c r="D198" s="665"/>
      <c r="E198" s="665"/>
    </row>
    <row r="199" spans="3:5" x14ac:dyDescent="0.25">
      <c r="C199" s="1109"/>
      <c r="D199" s="665"/>
      <c r="E199" s="665"/>
    </row>
    <row r="200" spans="3:5" x14ac:dyDescent="0.25">
      <c r="C200" s="1109"/>
      <c r="D200" s="665"/>
      <c r="E200" s="665"/>
    </row>
    <row r="201" spans="3:5" x14ac:dyDescent="0.25">
      <c r="C201" s="1109"/>
      <c r="D201" s="665"/>
      <c r="E201" s="665"/>
    </row>
    <row r="202" spans="3:5" x14ac:dyDescent="0.25">
      <c r="C202" s="1109"/>
      <c r="D202" s="665"/>
      <c r="E202" s="665"/>
    </row>
    <row r="203" spans="3:5" x14ac:dyDescent="0.25">
      <c r="C203" s="1109"/>
      <c r="D203" s="665"/>
      <c r="E203" s="665"/>
    </row>
    <row r="204" spans="3:5" x14ac:dyDescent="0.25">
      <c r="C204" s="1109"/>
      <c r="D204" s="665"/>
      <c r="E204" s="665"/>
    </row>
    <row r="205" spans="3:5" x14ac:dyDescent="0.25">
      <c r="C205" s="1109"/>
      <c r="D205" s="665"/>
      <c r="E205" s="665"/>
    </row>
    <row r="206" spans="3:5" x14ac:dyDescent="0.25">
      <c r="C206" s="1109"/>
      <c r="D206" s="665"/>
      <c r="E206" s="665"/>
    </row>
    <row r="207" spans="3:5" x14ac:dyDescent="0.25">
      <c r="C207" s="1109"/>
      <c r="D207" s="665"/>
      <c r="E207" s="665"/>
    </row>
    <row r="208" spans="3:5" x14ac:dyDescent="0.25">
      <c r="C208" s="1109"/>
      <c r="D208" s="665"/>
      <c r="E208" s="665"/>
    </row>
    <row r="209" spans="3:5" x14ac:dyDescent="0.25">
      <c r="C209" s="1109"/>
      <c r="D209" s="665"/>
      <c r="E209" s="665"/>
    </row>
    <row r="210" spans="3:5" x14ac:dyDescent="0.25">
      <c r="C210" s="1109"/>
      <c r="D210" s="665"/>
      <c r="E210" s="665"/>
    </row>
    <row r="211" spans="3:5" x14ac:dyDescent="0.25">
      <c r="C211" s="1109"/>
      <c r="D211" s="665"/>
      <c r="E211" s="665"/>
    </row>
    <row r="212" spans="3:5" x14ac:dyDescent="0.25">
      <c r="C212" s="1109"/>
      <c r="D212" s="665"/>
      <c r="E212" s="665"/>
    </row>
    <row r="213" spans="3:5" x14ac:dyDescent="0.25">
      <c r="C213" s="1109"/>
      <c r="D213" s="665"/>
      <c r="E213" s="665"/>
    </row>
    <row r="214" spans="3:5" x14ac:dyDescent="0.25">
      <c r="C214" s="1109"/>
      <c r="D214" s="665"/>
      <c r="E214" s="665"/>
    </row>
    <row r="215" spans="3:5" x14ac:dyDescent="0.25">
      <c r="C215" s="1109"/>
      <c r="D215" s="665"/>
      <c r="E215" s="665"/>
    </row>
    <row r="216" spans="3:5" x14ac:dyDescent="0.25">
      <c r="C216" s="1109"/>
      <c r="D216" s="665"/>
      <c r="E216" s="665"/>
    </row>
    <row r="217" spans="3:5" x14ac:dyDescent="0.25">
      <c r="C217" s="1109"/>
      <c r="D217" s="665"/>
      <c r="E217" s="665"/>
    </row>
    <row r="218" spans="3:5" x14ac:dyDescent="0.25">
      <c r="C218" s="1109"/>
      <c r="D218" s="665"/>
      <c r="E218" s="665"/>
    </row>
    <row r="219" spans="3:5" x14ac:dyDescent="0.25">
      <c r="C219" s="1109"/>
      <c r="D219" s="665"/>
      <c r="E219" s="665"/>
    </row>
    <row r="220" spans="3:5" x14ac:dyDescent="0.25">
      <c r="C220" s="1109"/>
      <c r="D220" s="665"/>
      <c r="E220" s="665"/>
    </row>
    <row r="221" spans="3:5" x14ac:dyDescent="0.25">
      <c r="C221" s="1109"/>
      <c r="D221" s="665"/>
      <c r="E221" s="665"/>
    </row>
    <row r="222" spans="3:5" x14ac:dyDescent="0.25">
      <c r="C222" s="1109"/>
      <c r="D222" s="665"/>
      <c r="E222" s="665"/>
    </row>
    <row r="223" spans="3:5" x14ac:dyDescent="0.25">
      <c r="C223" s="1109"/>
      <c r="D223" s="665"/>
      <c r="E223" s="665"/>
    </row>
    <row r="224" spans="3:5" x14ac:dyDescent="0.25">
      <c r="C224" s="1109"/>
      <c r="D224" s="665"/>
      <c r="E224" s="665"/>
    </row>
    <row r="225" spans="3:5" x14ac:dyDescent="0.25">
      <c r="C225" s="1109"/>
      <c r="D225" s="665"/>
      <c r="E225" s="665"/>
    </row>
    <row r="226" spans="3:5" x14ac:dyDescent="0.25">
      <c r="C226" s="1109"/>
      <c r="D226" s="665"/>
      <c r="E226" s="665"/>
    </row>
    <row r="227" spans="3:5" x14ac:dyDescent="0.25">
      <c r="C227" s="1109"/>
      <c r="D227" s="665"/>
      <c r="E227" s="665"/>
    </row>
    <row r="228" spans="3:5" x14ac:dyDescent="0.25">
      <c r="C228" s="1109"/>
      <c r="D228" s="665"/>
      <c r="E228" s="665"/>
    </row>
    <row r="229" spans="3:5" x14ac:dyDescent="0.25">
      <c r="C229" s="1109"/>
      <c r="D229" s="665"/>
      <c r="E229" s="665"/>
    </row>
    <row r="230" spans="3:5" x14ac:dyDescent="0.25">
      <c r="C230" s="1109"/>
      <c r="D230" s="665"/>
      <c r="E230" s="665"/>
    </row>
    <row r="231" spans="3:5" x14ac:dyDescent="0.25">
      <c r="C231" s="1109"/>
      <c r="D231" s="665"/>
      <c r="E231" s="665"/>
    </row>
    <row r="232" spans="3:5" x14ac:dyDescent="0.25">
      <c r="C232" s="1109"/>
      <c r="D232" s="665"/>
      <c r="E232" s="665"/>
    </row>
    <row r="233" spans="3:5" x14ac:dyDescent="0.25">
      <c r="C233" s="1109"/>
      <c r="D233" s="665"/>
      <c r="E233" s="665"/>
    </row>
    <row r="234" spans="3:5" x14ac:dyDescent="0.25">
      <c r="C234" s="1109"/>
      <c r="D234" s="665"/>
      <c r="E234" s="665"/>
    </row>
    <row r="235" spans="3:5" x14ac:dyDescent="0.25">
      <c r="C235" s="1109"/>
      <c r="D235" s="665"/>
      <c r="E235" s="665"/>
    </row>
    <row r="236" spans="3:5" x14ac:dyDescent="0.25">
      <c r="C236" s="1109"/>
      <c r="D236" s="665"/>
      <c r="E236" s="665"/>
    </row>
    <row r="237" spans="3:5" x14ac:dyDescent="0.25">
      <c r="C237" s="1109"/>
      <c r="D237" s="665"/>
      <c r="E237" s="665"/>
    </row>
    <row r="238" spans="3:5" x14ac:dyDescent="0.25">
      <c r="C238" s="1109"/>
      <c r="D238" s="665"/>
      <c r="E238" s="665"/>
    </row>
    <row r="239" spans="3:5" x14ac:dyDescent="0.25">
      <c r="C239" s="1109"/>
      <c r="D239" s="665"/>
      <c r="E239" s="665"/>
    </row>
    <row r="240" spans="3:5" x14ac:dyDescent="0.25">
      <c r="C240" s="1109"/>
      <c r="D240" s="665"/>
      <c r="E240" s="665"/>
    </row>
    <row r="241" spans="3:5" x14ac:dyDescent="0.25">
      <c r="C241" s="1109"/>
      <c r="D241" s="665"/>
      <c r="E241" s="665"/>
    </row>
    <row r="242" spans="3:5" x14ac:dyDescent="0.25">
      <c r="C242" s="1109"/>
      <c r="D242" s="665"/>
      <c r="E242" s="665"/>
    </row>
    <row r="243" spans="3:5" x14ac:dyDescent="0.25">
      <c r="C243" s="1109"/>
      <c r="D243" s="665"/>
      <c r="E243" s="665"/>
    </row>
    <row r="244" spans="3:5" x14ac:dyDescent="0.25">
      <c r="C244" s="1109"/>
      <c r="D244" s="665"/>
      <c r="E244" s="665"/>
    </row>
    <row r="245" spans="3:5" x14ac:dyDescent="0.25">
      <c r="C245" s="1109"/>
      <c r="D245" s="665"/>
      <c r="E245" s="665"/>
    </row>
    <row r="246" spans="3:5" x14ac:dyDescent="0.25">
      <c r="C246" s="1109"/>
      <c r="D246" s="665"/>
      <c r="E246" s="665"/>
    </row>
    <row r="247" spans="3:5" x14ac:dyDescent="0.25">
      <c r="C247" s="1109"/>
      <c r="D247" s="665"/>
      <c r="E247" s="665"/>
    </row>
    <row r="248" spans="3:5" x14ac:dyDescent="0.25">
      <c r="C248" s="1109"/>
      <c r="D248" s="665"/>
      <c r="E248" s="665"/>
    </row>
    <row r="249" spans="3:5" x14ac:dyDescent="0.25">
      <c r="C249" s="1109"/>
      <c r="D249" s="665"/>
      <c r="E249" s="665"/>
    </row>
    <row r="250" spans="3:5" x14ac:dyDescent="0.25">
      <c r="C250" s="1109"/>
      <c r="D250" s="665"/>
      <c r="E250" s="665"/>
    </row>
    <row r="251" spans="3:5" x14ac:dyDescent="0.25">
      <c r="C251" s="1109"/>
      <c r="D251" s="665"/>
      <c r="E251" s="665"/>
    </row>
    <row r="252" spans="3:5" x14ac:dyDescent="0.25">
      <c r="C252" s="1109"/>
      <c r="D252" s="665"/>
      <c r="E252" s="665"/>
    </row>
    <row r="253" spans="3:5" x14ac:dyDescent="0.25">
      <c r="C253" s="1109"/>
      <c r="D253" s="665"/>
      <c r="E253" s="665"/>
    </row>
    <row r="254" spans="3:5" x14ac:dyDescent="0.25">
      <c r="C254" s="1109"/>
      <c r="D254" s="665"/>
      <c r="E254" s="665"/>
    </row>
    <row r="255" spans="3:5" x14ac:dyDescent="0.25">
      <c r="C255" s="1109"/>
      <c r="D255" s="665"/>
      <c r="E255" s="665"/>
    </row>
    <row r="256" spans="3:5" x14ac:dyDescent="0.25">
      <c r="C256" s="1109"/>
      <c r="D256" s="665"/>
      <c r="E256" s="665"/>
    </row>
    <row r="257" spans="3:5" x14ac:dyDescent="0.25">
      <c r="C257" s="1109"/>
      <c r="D257" s="665"/>
      <c r="E257" s="665"/>
    </row>
    <row r="258" spans="3:5" x14ac:dyDescent="0.25">
      <c r="C258" s="1109"/>
      <c r="D258" s="665"/>
      <c r="E258" s="665"/>
    </row>
    <row r="259" spans="3:5" x14ac:dyDescent="0.25">
      <c r="C259" s="1109"/>
      <c r="D259" s="665"/>
      <c r="E259" s="665"/>
    </row>
    <row r="260" spans="3:5" x14ac:dyDescent="0.25">
      <c r="C260" s="1109"/>
      <c r="D260" s="665"/>
      <c r="E260" s="665"/>
    </row>
    <row r="261" spans="3:5" x14ac:dyDescent="0.25">
      <c r="C261" s="1109"/>
      <c r="D261" s="665"/>
      <c r="E261" s="665"/>
    </row>
    <row r="262" spans="3:5" x14ac:dyDescent="0.25">
      <c r="C262" s="1109"/>
      <c r="D262" s="665"/>
      <c r="E262" s="665"/>
    </row>
    <row r="263" spans="3:5" x14ac:dyDescent="0.25">
      <c r="C263" s="1109"/>
      <c r="D263" s="665"/>
      <c r="E263" s="665"/>
    </row>
    <row r="264" spans="3:5" x14ac:dyDescent="0.25">
      <c r="C264" s="1109"/>
      <c r="D264" s="665"/>
      <c r="E264" s="665"/>
    </row>
    <row r="265" spans="3:5" x14ac:dyDescent="0.25">
      <c r="C265" s="1109"/>
      <c r="D265" s="665"/>
      <c r="E265" s="665"/>
    </row>
    <row r="266" spans="3:5" x14ac:dyDescent="0.25">
      <c r="C266" s="1109"/>
      <c r="D266" s="665"/>
      <c r="E266" s="665"/>
    </row>
    <row r="267" spans="3:5" x14ac:dyDescent="0.25">
      <c r="C267" s="1109"/>
      <c r="D267" s="665"/>
      <c r="E267" s="665"/>
    </row>
    <row r="268" spans="3:5" x14ac:dyDescent="0.25">
      <c r="C268" s="1109"/>
      <c r="D268" s="665"/>
      <c r="E268" s="665"/>
    </row>
    <row r="269" spans="3:5" x14ac:dyDescent="0.25">
      <c r="C269" s="1109"/>
      <c r="D269" s="665"/>
      <c r="E269" s="665"/>
    </row>
    <row r="270" spans="3:5" x14ac:dyDescent="0.25">
      <c r="C270" s="1109"/>
      <c r="D270" s="665"/>
      <c r="E270" s="665"/>
    </row>
    <row r="271" spans="3:5" x14ac:dyDescent="0.25">
      <c r="C271" s="1109"/>
      <c r="D271" s="665"/>
      <c r="E271" s="665"/>
    </row>
    <row r="272" spans="3:5" x14ac:dyDescent="0.25">
      <c r="C272" s="1109"/>
      <c r="D272" s="665"/>
      <c r="E272" s="665"/>
    </row>
    <row r="273" spans="3:5" x14ac:dyDescent="0.25">
      <c r="C273" s="1109"/>
      <c r="D273" s="665"/>
      <c r="E273" s="665"/>
    </row>
    <row r="274" spans="3:5" x14ac:dyDescent="0.25">
      <c r="C274" s="1109"/>
      <c r="D274" s="665"/>
      <c r="E274" s="665"/>
    </row>
    <row r="275" spans="3:5" x14ac:dyDescent="0.25">
      <c r="C275" s="1109"/>
      <c r="D275" s="665"/>
      <c r="E275" s="665"/>
    </row>
    <row r="276" spans="3:5" x14ac:dyDescent="0.25">
      <c r="C276" s="1109"/>
      <c r="D276" s="665"/>
      <c r="E276" s="665"/>
    </row>
    <row r="277" spans="3:5" x14ac:dyDescent="0.25">
      <c r="C277" s="1109"/>
      <c r="D277" s="665"/>
      <c r="E277" s="665"/>
    </row>
    <row r="278" spans="3:5" x14ac:dyDescent="0.25">
      <c r="C278" s="1109"/>
      <c r="D278" s="665"/>
      <c r="E278" s="665"/>
    </row>
    <row r="279" spans="3:5" x14ac:dyDescent="0.25">
      <c r="C279" s="1109"/>
      <c r="D279" s="665"/>
      <c r="E279" s="665"/>
    </row>
    <row r="280" spans="3:5" x14ac:dyDescent="0.25">
      <c r="C280" s="1109"/>
      <c r="D280" s="665"/>
      <c r="E280" s="665"/>
    </row>
    <row r="281" spans="3:5" x14ac:dyDescent="0.25">
      <c r="C281" s="1109"/>
      <c r="D281" s="665"/>
      <c r="E281" s="665"/>
    </row>
    <row r="282" spans="3:5" x14ac:dyDescent="0.25">
      <c r="C282" s="1109"/>
      <c r="D282" s="665"/>
      <c r="E282" s="665"/>
    </row>
    <row r="283" spans="3:5" x14ac:dyDescent="0.25">
      <c r="C283" s="1109"/>
      <c r="D283" s="665"/>
      <c r="E283" s="665"/>
    </row>
    <row r="284" spans="3:5" x14ac:dyDescent="0.25">
      <c r="C284" s="1109"/>
      <c r="D284" s="665"/>
      <c r="E284" s="665"/>
    </row>
    <row r="285" spans="3:5" x14ac:dyDescent="0.25">
      <c r="C285" s="1109"/>
      <c r="D285" s="665"/>
      <c r="E285" s="665"/>
    </row>
    <row r="286" spans="3:5" x14ac:dyDescent="0.25">
      <c r="C286" s="1109"/>
      <c r="D286" s="665"/>
      <c r="E286" s="665"/>
    </row>
    <row r="287" spans="3:5" x14ac:dyDescent="0.25">
      <c r="C287" s="1109"/>
      <c r="D287" s="665"/>
      <c r="E287" s="665"/>
    </row>
    <row r="288" spans="3:5" x14ac:dyDescent="0.25">
      <c r="C288" s="1109"/>
      <c r="D288" s="665"/>
      <c r="E288" s="665"/>
    </row>
    <row r="289" spans="3:5" x14ac:dyDescent="0.25">
      <c r="C289" s="1109"/>
      <c r="D289" s="665"/>
      <c r="E289" s="665"/>
    </row>
    <row r="290" spans="3:5" x14ac:dyDescent="0.25">
      <c r="C290" s="1109"/>
      <c r="D290" s="665"/>
      <c r="E290" s="665"/>
    </row>
    <row r="291" spans="3:5" x14ac:dyDescent="0.25">
      <c r="C291" s="1109"/>
      <c r="D291" s="665"/>
      <c r="E291" s="665"/>
    </row>
    <row r="292" spans="3:5" x14ac:dyDescent="0.25">
      <c r="C292" s="1109"/>
      <c r="D292" s="665"/>
      <c r="E292" s="665"/>
    </row>
    <row r="293" spans="3:5" x14ac:dyDescent="0.25">
      <c r="C293" s="1109"/>
      <c r="D293" s="665"/>
      <c r="E293" s="665"/>
    </row>
    <row r="294" spans="3:5" x14ac:dyDescent="0.25">
      <c r="C294" s="1109"/>
      <c r="D294" s="665"/>
      <c r="E294" s="665"/>
    </row>
    <row r="295" spans="3:5" x14ac:dyDescent="0.25">
      <c r="C295" s="1109"/>
      <c r="D295" s="665"/>
      <c r="E295" s="665"/>
    </row>
    <row r="296" spans="3:5" x14ac:dyDescent="0.25">
      <c r="C296" s="1109"/>
      <c r="D296" s="665"/>
      <c r="E296" s="665"/>
    </row>
    <row r="297" spans="3:5" x14ac:dyDescent="0.25">
      <c r="C297" s="1109"/>
      <c r="D297" s="665"/>
      <c r="E297" s="665"/>
    </row>
    <row r="298" spans="3:5" x14ac:dyDescent="0.25">
      <c r="C298" s="1109"/>
      <c r="D298" s="665"/>
      <c r="E298" s="665"/>
    </row>
    <row r="299" spans="3:5" x14ac:dyDescent="0.25">
      <c r="C299" s="1109"/>
      <c r="D299" s="665"/>
      <c r="E299" s="665"/>
    </row>
    <row r="300" spans="3:5" x14ac:dyDescent="0.25">
      <c r="C300" s="1109"/>
      <c r="D300" s="665"/>
      <c r="E300" s="665"/>
    </row>
    <row r="301" spans="3:5" x14ac:dyDescent="0.25">
      <c r="C301" s="1109"/>
      <c r="D301" s="665"/>
      <c r="E301" s="665"/>
    </row>
    <row r="302" spans="3:5" x14ac:dyDescent="0.25">
      <c r="C302" s="1109"/>
      <c r="D302" s="665"/>
      <c r="E302" s="665"/>
    </row>
    <row r="303" spans="3:5" x14ac:dyDescent="0.25">
      <c r="C303" s="1109"/>
      <c r="D303" s="665"/>
      <c r="E303" s="665"/>
    </row>
    <row r="304" spans="3:5" x14ac:dyDescent="0.25">
      <c r="C304" s="1109"/>
      <c r="D304" s="665"/>
      <c r="E304" s="665"/>
    </row>
    <row r="305" spans="3:5" x14ac:dyDescent="0.25">
      <c r="C305" s="1109"/>
      <c r="D305" s="665"/>
      <c r="E305" s="665"/>
    </row>
    <row r="306" spans="3:5" x14ac:dyDescent="0.25">
      <c r="C306" s="1109"/>
      <c r="D306" s="665"/>
      <c r="E306" s="665"/>
    </row>
    <row r="307" spans="3:5" x14ac:dyDescent="0.25">
      <c r="C307" s="1109"/>
      <c r="D307" s="665"/>
      <c r="E307" s="665"/>
    </row>
    <row r="308" spans="3:5" x14ac:dyDescent="0.25">
      <c r="C308" s="1109"/>
      <c r="D308" s="665"/>
      <c r="E308" s="665"/>
    </row>
    <row r="309" spans="3:5" x14ac:dyDescent="0.25">
      <c r="C309" s="1109"/>
      <c r="D309" s="665"/>
      <c r="E309" s="665"/>
    </row>
    <row r="310" spans="3:5" x14ac:dyDescent="0.25">
      <c r="C310" s="1109"/>
      <c r="D310" s="665"/>
      <c r="E310" s="665"/>
    </row>
    <row r="311" spans="3:5" x14ac:dyDescent="0.25">
      <c r="C311" s="1109"/>
      <c r="D311" s="665"/>
      <c r="E311" s="665"/>
    </row>
    <row r="312" spans="3:5" x14ac:dyDescent="0.25">
      <c r="C312" s="1109"/>
      <c r="D312" s="665"/>
      <c r="E312" s="665"/>
    </row>
    <row r="313" spans="3:5" x14ac:dyDescent="0.25">
      <c r="C313" s="1109"/>
      <c r="D313" s="665"/>
      <c r="E313" s="665"/>
    </row>
    <row r="314" spans="3:5" x14ac:dyDescent="0.25">
      <c r="C314" s="1109"/>
      <c r="D314" s="665"/>
      <c r="E314" s="665"/>
    </row>
    <row r="315" spans="3:5" x14ac:dyDescent="0.25">
      <c r="C315" s="1109"/>
      <c r="D315" s="665"/>
      <c r="E315" s="665"/>
    </row>
    <row r="316" spans="3:5" x14ac:dyDescent="0.25">
      <c r="C316" s="1109"/>
      <c r="D316" s="665"/>
      <c r="E316" s="665"/>
    </row>
    <row r="317" spans="3:5" x14ac:dyDescent="0.25">
      <c r="C317" s="1109"/>
      <c r="D317" s="665"/>
      <c r="E317" s="665"/>
    </row>
    <row r="318" spans="3:5" x14ac:dyDescent="0.25">
      <c r="C318" s="1109"/>
      <c r="D318" s="665"/>
      <c r="E318" s="665"/>
    </row>
    <row r="319" spans="3:5" x14ac:dyDescent="0.25">
      <c r="C319" s="1109"/>
      <c r="D319" s="665"/>
      <c r="E319" s="665"/>
    </row>
    <row r="320" spans="3:5" x14ac:dyDescent="0.25">
      <c r="C320" s="1109"/>
      <c r="D320" s="665"/>
      <c r="E320" s="665"/>
    </row>
    <row r="321" spans="3:5" x14ac:dyDescent="0.25">
      <c r="C321" s="1109"/>
      <c r="D321" s="665"/>
      <c r="E321" s="665"/>
    </row>
    <row r="322" spans="3:5" x14ac:dyDescent="0.25">
      <c r="C322" s="1109"/>
      <c r="D322" s="665"/>
      <c r="E322" s="665"/>
    </row>
    <row r="323" spans="3:5" x14ac:dyDescent="0.25">
      <c r="C323" s="1109"/>
      <c r="D323" s="665"/>
      <c r="E323" s="665"/>
    </row>
    <row r="324" spans="3:5" x14ac:dyDescent="0.25">
      <c r="C324" s="1109"/>
      <c r="D324" s="665"/>
      <c r="E324" s="665"/>
    </row>
    <row r="325" spans="3:5" x14ac:dyDescent="0.25">
      <c r="C325" s="1109"/>
      <c r="D325" s="665"/>
      <c r="E325" s="665"/>
    </row>
    <row r="326" spans="3:5" x14ac:dyDescent="0.25">
      <c r="C326" s="1109"/>
      <c r="D326" s="665"/>
      <c r="E326" s="665"/>
    </row>
    <row r="327" spans="3:5" x14ac:dyDescent="0.25">
      <c r="C327" s="1109"/>
      <c r="D327" s="665"/>
      <c r="E327" s="665"/>
    </row>
    <row r="328" spans="3:5" x14ac:dyDescent="0.25">
      <c r="C328" s="1109"/>
      <c r="D328" s="665"/>
      <c r="E328" s="665"/>
    </row>
    <row r="329" spans="3:5" x14ac:dyDescent="0.25">
      <c r="C329" s="1109"/>
      <c r="D329" s="665"/>
      <c r="E329" s="665"/>
    </row>
    <row r="330" spans="3:5" x14ac:dyDescent="0.25">
      <c r="C330" s="1109"/>
      <c r="D330" s="665"/>
      <c r="E330" s="665"/>
    </row>
    <row r="331" spans="3:5" x14ac:dyDescent="0.25">
      <c r="C331" s="1109"/>
      <c r="D331" s="665"/>
      <c r="E331" s="665"/>
    </row>
    <row r="332" spans="3:5" x14ac:dyDescent="0.25">
      <c r="C332" s="1109"/>
      <c r="D332" s="665"/>
      <c r="E332" s="665"/>
    </row>
    <row r="333" spans="3:5" x14ac:dyDescent="0.25">
      <c r="C333" s="1109"/>
      <c r="D333" s="665"/>
      <c r="E333" s="665"/>
    </row>
    <row r="334" spans="3:5" x14ac:dyDescent="0.25">
      <c r="C334" s="1109"/>
      <c r="D334" s="665"/>
      <c r="E334" s="665"/>
    </row>
    <row r="335" spans="3:5" x14ac:dyDescent="0.25">
      <c r="C335" s="1109"/>
      <c r="D335" s="665"/>
      <c r="E335" s="665"/>
    </row>
    <row r="336" spans="3:5" x14ac:dyDescent="0.25">
      <c r="C336" s="1109"/>
      <c r="D336" s="665"/>
      <c r="E336" s="665"/>
    </row>
    <row r="337" spans="3:5" x14ac:dyDescent="0.25">
      <c r="C337" s="1109"/>
      <c r="D337" s="665"/>
      <c r="E337" s="665"/>
    </row>
    <row r="338" spans="3:5" x14ac:dyDescent="0.25">
      <c r="C338" s="1109"/>
      <c r="D338" s="665"/>
      <c r="E338" s="665"/>
    </row>
    <row r="339" spans="3:5" x14ac:dyDescent="0.25">
      <c r="C339" s="1109"/>
      <c r="D339" s="665"/>
      <c r="E339" s="665"/>
    </row>
    <row r="340" spans="3:5" x14ac:dyDescent="0.25">
      <c r="C340" s="1109"/>
      <c r="D340" s="665"/>
      <c r="E340" s="665"/>
    </row>
    <row r="341" spans="3:5" x14ac:dyDescent="0.25">
      <c r="C341" s="1109"/>
      <c r="D341" s="665"/>
      <c r="E341" s="665"/>
    </row>
    <row r="342" spans="3:5" x14ac:dyDescent="0.25">
      <c r="C342" s="1109"/>
      <c r="D342" s="665"/>
      <c r="E342" s="665"/>
    </row>
    <row r="343" spans="3:5" x14ac:dyDescent="0.25">
      <c r="C343" s="1109"/>
      <c r="D343" s="665"/>
      <c r="E343" s="665"/>
    </row>
    <row r="344" spans="3:5" x14ac:dyDescent="0.25">
      <c r="C344" s="1109"/>
      <c r="D344" s="665"/>
      <c r="E344" s="665"/>
    </row>
    <row r="345" spans="3:5" x14ac:dyDescent="0.25">
      <c r="C345" s="1109"/>
      <c r="D345" s="665"/>
      <c r="E345" s="665"/>
    </row>
    <row r="346" spans="3:5" x14ac:dyDescent="0.25">
      <c r="C346" s="1109"/>
      <c r="D346" s="665"/>
      <c r="E346" s="665"/>
    </row>
    <row r="347" spans="3:5" x14ac:dyDescent="0.25">
      <c r="C347" s="1109"/>
      <c r="D347" s="665"/>
      <c r="E347" s="665"/>
    </row>
    <row r="348" spans="3:5" x14ac:dyDescent="0.25">
      <c r="C348" s="1109"/>
      <c r="D348" s="665"/>
      <c r="E348" s="665"/>
    </row>
    <row r="349" spans="3:5" x14ac:dyDescent="0.25">
      <c r="C349" s="1109"/>
      <c r="D349" s="665"/>
      <c r="E349" s="665"/>
    </row>
    <row r="350" spans="3:5" x14ac:dyDescent="0.25">
      <c r="C350" s="1109"/>
      <c r="D350" s="665"/>
      <c r="E350" s="665"/>
    </row>
    <row r="351" spans="3:5" x14ac:dyDescent="0.25">
      <c r="C351" s="1109"/>
      <c r="D351" s="665"/>
      <c r="E351" s="665"/>
    </row>
    <row r="352" spans="3:5" x14ac:dyDescent="0.25">
      <c r="C352" s="1109"/>
      <c r="D352" s="665"/>
      <c r="E352" s="665"/>
    </row>
    <row r="353" spans="3:5" x14ac:dyDescent="0.25">
      <c r="C353" s="1109"/>
      <c r="D353" s="665"/>
      <c r="E353" s="665"/>
    </row>
    <row r="354" spans="3:5" x14ac:dyDescent="0.25">
      <c r="C354" s="1109"/>
      <c r="D354" s="665"/>
      <c r="E354" s="665"/>
    </row>
    <row r="355" spans="3:5" x14ac:dyDescent="0.25">
      <c r="C355" s="1109"/>
      <c r="D355" s="665"/>
      <c r="E355" s="665"/>
    </row>
    <row r="356" spans="3:5" x14ac:dyDescent="0.25">
      <c r="C356" s="1109"/>
      <c r="D356" s="665"/>
      <c r="E356" s="665"/>
    </row>
    <row r="357" spans="3:5" x14ac:dyDescent="0.25">
      <c r="C357" s="1109"/>
      <c r="D357" s="665"/>
      <c r="E357" s="665"/>
    </row>
    <row r="358" spans="3:5" x14ac:dyDescent="0.25">
      <c r="C358" s="1109"/>
      <c r="D358" s="665"/>
      <c r="E358" s="665"/>
    </row>
    <row r="359" spans="3:5" x14ac:dyDescent="0.25">
      <c r="C359" s="1109"/>
      <c r="D359" s="665"/>
      <c r="E359" s="665"/>
    </row>
    <row r="360" spans="3:5" x14ac:dyDescent="0.25">
      <c r="C360" s="1109"/>
      <c r="D360" s="665"/>
      <c r="E360" s="665"/>
    </row>
    <row r="361" spans="3:5" x14ac:dyDescent="0.25">
      <c r="C361" s="1109"/>
      <c r="D361" s="665"/>
      <c r="E361" s="665"/>
    </row>
    <row r="362" spans="3:5" x14ac:dyDescent="0.25">
      <c r="C362" s="1109"/>
      <c r="D362" s="665"/>
      <c r="E362" s="665"/>
    </row>
    <row r="363" spans="3:5" x14ac:dyDescent="0.25">
      <c r="C363" s="1109"/>
      <c r="D363" s="665"/>
      <c r="E363" s="665"/>
    </row>
    <row r="364" spans="3:5" x14ac:dyDescent="0.25">
      <c r="C364" s="1109"/>
      <c r="D364" s="665"/>
      <c r="E364" s="665"/>
    </row>
    <row r="365" spans="3:5" x14ac:dyDescent="0.25">
      <c r="C365" s="1109"/>
      <c r="D365" s="665"/>
      <c r="E365" s="665"/>
    </row>
    <row r="366" spans="3:5" x14ac:dyDescent="0.25">
      <c r="C366" s="1109"/>
      <c r="D366" s="665"/>
      <c r="E366" s="665"/>
    </row>
    <row r="367" spans="3:5" x14ac:dyDescent="0.25">
      <c r="C367" s="1109"/>
      <c r="D367" s="665"/>
      <c r="E367" s="665"/>
    </row>
    <row r="368" spans="3:5" x14ac:dyDescent="0.25">
      <c r="C368" s="1109"/>
      <c r="D368" s="665"/>
      <c r="E368" s="665"/>
    </row>
    <row r="369" spans="3:5" x14ac:dyDescent="0.25">
      <c r="C369" s="1109"/>
      <c r="D369" s="665"/>
      <c r="E369" s="665"/>
    </row>
    <row r="370" spans="3:5" x14ac:dyDescent="0.25">
      <c r="C370" s="1109"/>
      <c r="D370" s="665"/>
      <c r="E370" s="665"/>
    </row>
    <row r="371" spans="3:5" x14ac:dyDescent="0.25">
      <c r="C371" s="1109"/>
      <c r="D371" s="665"/>
      <c r="E371" s="665"/>
    </row>
    <row r="372" spans="3:5" x14ac:dyDescent="0.25">
      <c r="C372" s="1109"/>
      <c r="D372" s="665"/>
      <c r="E372" s="665"/>
    </row>
    <row r="373" spans="3:5" x14ac:dyDescent="0.25">
      <c r="C373" s="1109"/>
      <c r="D373" s="665"/>
      <c r="E373" s="665"/>
    </row>
    <row r="374" spans="3:5" x14ac:dyDescent="0.25">
      <c r="C374" s="1109"/>
      <c r="D374" s="665"/>
      <c r="E374" s="665"/>
    </row>
    <row r="375" spans="3:5" x14ac:dyDescent="0.25">
      <c r="C375" s="1109"/>
      <c r="D375" s="665"/>
      <c r="E375" s="665"/>
    </row>
    <row r="376" spans="3:5" x14ac:dyDescent="0.25">
      <c r="C376" s="1109"/>
      <c r="D376" s="665"/>
      <c r="E376" s="665"/>
    </row>
    <row r="377" spans="3:5" x14ac:dyDescent="0.25">
      <c r="C377" s="1109"/>
      <c r="D377" s="665"/>
      <c r="E377" s="665"/>
    </row>
    <row r="378" spans="3:5" x14ac:dyDescent="0.25">
      <c r="C378" s="1109"/>
      <c r="D378" s="665"/>
      <c r="E378" s="665"/>
    </row>
    <row r="379" spans="3:5" x14ac:dyDescent="0.25">
      <c r="C379" s="1109"/>
      <c r="D379" s="665"/>
      <c r="E379" s="665"/>
    </row>
    <row r="380" spans="3:5" x14ac:dyDescent="0.25">
      <c r="C380" s="1109"/>
      <c r="D380" s="665"/>
      <c r="E380" s="665"/>
    </row>
    <row r="381" spans="3:5" x14ac:dyDescent="0.25">
      <c r="C381" s="1109"/>
      <c r="D381" s="665"/>
      <c r="E381" s="665"/>
    </row>
    <row r="382" spans="3:5" x14ac:dyDescent="0.25">
      <c r="C382" s="1109"/>
      <c r="D382" s="665"/>
      <c r="E382" s="665"/>
    </row>
    <row r="383" spans="3:5" x14ac:dyDescent="0.25">
      <c r="C383" s="1109"/>
      <c r="D383" s="665"/>
      <c r="E383" s="665"/>
    </row>
    <row r="384" spans="3:5" x14ac:dyDescent="0.25">
      <c r="C384" s="1109"/>
      <c r="D384" s="665"/>
      <c r="E384" s="665"/>
    </row>
    <row r="385" spans="3:5" x14ac:dyDescent="0.25">
      <c r="C385" s="1109"/>
      <c r="D385" s="665"/>
      <c r="E385" s="665"/>
    </row>
    <row r="386" spans="3:5" x14ac:dyDescent="0.25">
      <c r="C386" s="1109"/>
      <c r="D386" s="665"/>
      <c r="E386" s="665"/>
    </row>
    <row r="387" spans="3:5" x14ac:dyDescent="0.25">
      <c r="C387" s="1109"/>
      <c r="D387" s="665"/>
      <c r="E387" s="665"/>
    </row>
    <row r="388" spans="3:5" x14ac:dyDescent="0.25">
      <c r="C388" s="1109"/>
      <c r="D388" s="665"/>
      <c r="E388" s="665"/>
    </row>
    <row r="389" spans="3:5" x14ac:dyDescent="0.25">
      <c r="C389" s="1109"/>
      <c r="D389" s="665"/>
      <c r="E389" s="665"/>
    </row>
    <row r="390" spans="3:5" x14ac:dyDescent="0.25">
      <c r="C390" s="1109"/>
      <c r="D390" s="665"/>
      <c r="E390" s="665"/>
    </row>
    <row r="391" spans="3:5" x14ac:dyDescent="0.25">
      <c r="C391" s="1109"/>
      <c r="D391" s="665"/>
      <c r="E391" s="665"/>
    </row>
    <row r="392" spans="3:5" x14ac:dyDescent="0.25">
      <c r="C392" s="1109"/>
      <c r="D392" s="665"/>
      <c r="E392" s="665"/>
    </row>
    <row r="393" spans="3:5" x14ac:dyDescent="0.25">
      <c r="C393" s="1109"/>
      <c r="D393" s="665"/>
      <c r="E393" s="665"/>
    </row>
    <row r="394" spans="3:5" x14ac:dyDescent="0.25">
      <c r="C394" s="1109"/>
      <c r="D394" s="665"/>
      <c r="E394" s="665"/>
    </row>
    <row r="395" spans="3:5" x14ac:dyDescent="0.25">
      <c r="C395" s="1109"/>
      <c r="D395" s="665"/>
      <c r="E395" s="665"/>
    </row>
    <row r="396" spans="3:5" x14ac:dyDescent="0.25">
      <c r="C396" s="1109"/>
      <c r="D396" s="665"/>
      <c r="E396" s="665"/>
    </row>
    <row r="397" spans="3:5" x14ac:dyDescent="0.25">
      <c r="C397" s="1109"/>
      <c r="D397" s="665"/>
      <c r="E397" s="665"/>
    </row>
    <row r="398" spans="3:5" x14ac:dyDescent="0.25">
      <c r="C398" s="1109"/>
      <c r="D398" s="665"/>
      <c r="E398" s="665"/>
    </row>
    <row r="399" spans="3:5" x14ac:dyDescent="0.25">
      <c r="C399" s="1109"/>
      <c r="D399" s="665"/>
      <c r="E399" s="665"/>
    </row>
    <row r="400" spans="3:5" x14ac:dyDescent="0.25">
      <c r="C400" s="1109"/>
      <c r="D400" s="665"/>
      <c r="E400" s="665"/>
    </row>
    <row r="401" spans="3:5" x14ac:dyDescent="0.25">
      <c r="C401" s="1109"/>
      <c r="D401" s="665"/>
      <c r="E401" s="665"/>
    </row>
    <row r="402" spans="3:5" x14ac:dyDescent="0.25">
      <c r="C402" s="1109"/>
      <c r="D402" s="665"/>
      <c r="E402" s="665"/>
    </row>
    <row r="403" spans="3:5" x14ac:dyDescent="0.25">
      <c r="C403" s="1109"/>
      <c r="D403" s="665"/>
      <c r="E403" s="665"/>
    </row>
    <row r="404" spans="3:5" x14ac:dyDescent="0.25">
      <c r="C404" s="1109"/>
      <c r="D404" s="665"/>
      <c r="E404" s="665"/>
    </row>
    <row r="405" spans="3:5" x14ac:dyDescent="0.25">
      <c r="C405" s="1109"/>
      <c r="D405" s="665"/>
      <c r="E405" s="665"/>
    </row>
    <row r="406" spans="3:5" x14ac:dyDescent="0.25">
      <c r="C406" s="1109"/>
      <c r="D406" s="665"/>
      <c r="E406" s="665"/>
    </row>
    <row r="407" spans="3:5" x14ac:dyDescent="0.25">
      <c r="C407" s="1109"/>
      <c r="D407" s="665"/>
      <c r="E407" s="665"/>
    </row>
    <row r="408" spans="3:5" x14ac:dyDescent="0.25">
      <c r="C408" s="1109"/>
      <c r="D408" s="665"/>
      <c r="E408" s="665"/>
    </row>
    <row r="409" spans="3:5" x14ac:dyDescent="0.25">
      <c r="C409" s="1109"/>
      <c r="D409" s="665"/>
      <c r="E409" s="665"/>
    </row>
    <row r="410" spans="3:5" x14ac:dyDescent="0.25">
      <c r="C410" s="1109"/>
      <c r="D410" s="665"/>
      <c r="E410" s="665"/>
    </row>
    <row r="411" spans="3:5" x14ac:dyDescent="0.25">
      <c r="C411" s="1109"/>
      <c r="D411" s="665"/>
      <c r="E411" s="665"/>
    </row>
    <row r="412" spans="3:5" x14ac:dyDescent="0.25">
      <c r="C412" s="1109"/>
      <c r="D412" s="665"/>
      <c r="E412" s="665"/>
    </row>
    <row r="413" spans="3:5" x14ac:dyDescent="0.25">
      <c r="C413" s="1109"/>
      <c r="D413" s="665"/>
      <c r="E413" s="665"/>
    </row>
    <row r="414" spans="3:5" x14ac:dyDescent="0.25">
      <c r="C414" s="1109"/>
      <c r="D414" s="665"/>
      <c r="E414" s="665"/>
    </row>
    <row r="415" spans="3:5" x14ac:dyDescent="0.25">
      <c r="C415" s="1109"/>
      <c r="D415" s="665"/>
      <c r="E415" s="665"/>
    </row>
    <row r="416" spans="3:5" x14ac:dyDescent="0.25">
      <c r="C416" s="1109"/>
      <c r="D416" s="665"/>
      <c r="E416" s="665"/>
    </row>
    <row r="417" spans="3:5" x14ac:dyDescent="0.25">
      <c r="C417" s="1109"/>
      <c r="D417" s="665"/>
      <c r="E417" s="665"/>
    </row>
    <row r="418" spans="3:5" x14ac:dyDescent="0.25">
      <c r="C418" s="1109"/>
      <c r="D418" s="665"/>
      <c r="E418" s="665"/>
    </row>
    <row r="419" spans="3:5" x14ac:dyDescent="0.25">
      <c r="C419" s="1109"/>
      <c r="D419" s="665"/>
      <c r="E419" s="665"/>
    </row>
    <row r="420" spans="3:5" x14ac:dyDescent="0.25">
      <c r="C420" s="1109"/>
      <c r="D420" s="665"/>
      <c r="E420" s="665"/>
    </row>
    <row r="421" spans="3:5" x14ac:dyDescent="0.25">
      <c r="C421" s="1109"/>
      <c r="D421" s="665"/>
      <c r="E421" s="665"/>
    </row>
    <row r="422" spans="3:5" x14ac:dyDescent="0.25">
      <c r="C422" s="1109"/>
      <c r="D422" s="665"/>
      <c r="E422" s="665"/>
    </row>
    <row r="423" spans="3:5" x14ac:dyDescent="0.25">
      <c r="C423" s="1109"/>
      <c r="D423" s="665"/>
      <c r="E423" s="665"/>
    </row>
    <row r="424" spans="3:5" x14ac:dyDescent="0.25">
      <c r="C424" s="1109"/>
      <c r="D424" s="665"/>
      <c r="E424" s="665"/>
    </row>
    <row r="425" spans="3:5" x14ac:dyDescent="0.25">
      <c r="C425" s="1109"/>
      <c r="D425" s="665"/>
      <c r="E425" s="665"/>
    </row>
    <row r="426" spans="3:5" x14ac:dyDescent="0.25">
      <c r="C426" s="1109"/>
      <c r="D426" s="665"/>
      <c r="E426" s="665"/>
    </row>
    <row r="427" spans="3:5" x14ac:dyDescent="0.25">
      <c r="C427" s="1109"/>
      <c r="D427" s="665"/>
      <c r="E427" s="665"/>
    </row>
    <row r="428" spans="3:5" x14ac:dyDescent="0.25">
      <c r="C428" s="1109"/>
      <c r="D428" s="665"/>
      <c r="E428" s="665"/>
    </row>
    <row r="429" spans="3:5" x14ac:dyDescent="0.25">
      <c r="C429" s="1109"/>
      <c r="D429" s="665"/>
      <c r="E429" s="665"/>
    </row>
    <row r="430" spans="3:5" x14ac:dyDescent="0.25">
      <c r="C430" s="1109"/>
      <c r="D430" s="665"/>
      <c r="E430" s="665"/>
    </row>
    <row r="431" spans="3:5" x14ac:dyDescent="0.25">
      <c r="C431" s="1109"/>
      <c r="D431" s="665"/>
      <c r="E431" s="665"/>
    </row>
    <row r="432" spans="3:5" x14ac:dyDescent="0.25">
      <c r="C432" s="1109"/>
      <c r="D432" s="665"/>
      <c r="E432" s="665"/>
    </row>
    <row r="433" spans="3:5" x14ac:dyDescent="0.25">
      <c r="C433" s="1109"/>
      <c r="D433" s="665"/>
      <c r="E433" s="665"/>
    </row>
    <row r="434" spans="3:5" x14ac:dyDescent="0.25">
      <c r="C434" s="1109"/>
      <c r="D434" s="665"/>
      <c r="E434" s="665"/>
    </row>
    <row r="435" spans="3:5" x14ac:dyDescent="0.25">
      <c r="C435" s="1109"/>
      <c r="D435" s="665"/>
      <c r="E435" s="665"/>
    </row>
    <row r="436" spans="3:5" x14ac:dyDescent="0.25">
      <c r="C436" s="1109"/>
      <c r="D436" s="665"/>
      <c r="E436" s="665"/>
    </row>
    <row r="437" spans="3:5" x14ac:dyDescent="0.25">
      <c r="C437" s="1109"/>
      <c r="D437" s="665"/>
      <c r="E437" s="665"/>
    </row>
    <row r="438" spans="3:5" x14ac:dyDescent="0.25">
      <c r="C438" s="1109"/>
      <c r="D438" s="665"/>
      <c r="E438" s="665"/>
    </row>
    <row r="439" spans="3:5" x14ac:dyDescent="0.25">
      <c r="C439" s="1109"/>
      <c r="D439" s="665"/>
      <c r="E439" s="665"/>
    </row>
    <row r="440" spans="3:5" x14ac:dyDescent="0.25">
      <c r="C440" s="1109"/>
      <c r="D440" s="665"/>
      <c r="E440" s="665"/>
    </row>
    <row r="441" spans="3:5" x14ac:dyDescent="0.25">
      <c r="C441" s="1109"/>
      <c r="D441" s="665"/>
      <c r="E441" s="665"/>
    </row>
    <row r="442" spans="3:5" x14ac:dyDescent="0.25">
      <c r="C442" s="1109"/>
      <c r="D442" s="665"/>
      <c r="E442" s="665"/>
    </row>
    <row r="443" spans="3:5" x14ac:dyDescent="0.25">
      <c r="C443" s="1109"/>
      <c r="D443" s="665"/>
      <c r="E443" s="665"/>
    </row>
    <row r="444" spans="3:5" x14ac:dyDescent="0.25">
      <c r="C444" s="1109"/>
      <c r="D444" s="665"/>
      <c r="E444" s="665"/>
    </row>
    <row r="445" spans="3:5" x14ac:dyDescent="0.25">
      <c r="C445" s="1109"/>
      <c r="D445" s="665"/>
      <c r="E445" s="665"/>
    </row>
    <row r="446" spans="3:5" x14ac:dyDescent="0.25">
      <c r="C446" s="1109"/>
      <c r="D446" s="665"/>
      <c r="E446" s="665"/>
    </row>
    <row r="447" spans="3:5" x14ac:dyDescent="0.25">
      <c r="C447" s="1109"/>
      <c r="D447" s="665"/>
      <c r="E447" s="665"/>
    </row>
    <row r="448" spans="3:5" x14ac:dyDescent="0.25">
      <c r="C448" s="1109"/>
      <c r="D448" s="665"/>
      <c r="E448" s="665"/>
    </row>
    <row r="449" spans="3:5" x14ac:dyDescent="0.25">
      <c r="C449" s="1109"/>
      <c r="D449" s="665"/>
      <c r="E449" s="665"/>
    </row>
    <row r="450" spans="3:5" x14ac:dyDescent="0.25">
      <c r="C450" s="1109"/>
      <c r="D450" s="665"/>
      <c r="E450" s="665"/>
    </row>
    <row r="451" spans="3:5" x14ac:dyDescent="0.25">
      <c r="C451" s="1109"/>
      <c r="D451" s="665"/>
      <c r="E451" s="665"/>
    </row>
    <row r="452" spans="3:5" x14ac:dyDescent="0.25">
      <c r="C452" s="1109"/>
      <c r="D452" s="665"/>
      <c r="E452" s="665"/>
    </row>
    <row r="453" spans="3:5" x14ac:dyDescent="0.25">
      <c r="C453" s="1109"/>
      <c r="D453" s="665"/>
      <c r="E453" s="665"/>
    </row>
    <row r="454" spans="3:5" x14ac:dyDescent="0.25">
      <c r="C454" s="1109"/>
      <c r="D454" s="665"/>
      <c r="E454" s="665"/>
    </row>
    <row r="455" spans="3:5" x14ac:dyDescent="0.25">
      <c r="C455" s="1109"/>
      <c r="D455" s="665"/>
      <c r="E455" s="665"/>
    </row>
    <row r="456" spans="3:5" x14ac:dyDescent="0.25">
      <c r="C456" s="1109"/>
      <c r="D456" s="665"/>
      <c r="E456" s="665"/>
    </row>
    <row r="457" spans="3:5" x14ac:dyDescent="0.25">
      <c r="C457" s="1109"/>
      <c r="D457" s="665"/>
      <c r="E457" s="665"/>
    </row>
    <row r="458" spans="3:5" x14ac:dyDescent="0.25">
      <c r="C458" s="1109"/>
      <c r="D458" s="665"/>
      <c r="E458" s="665"/>
    </row>
    <row r="459" spans="3:5" x14ac:dyDescent="0.25">
      <c r="C459" s="1109"/>
      <c r="D459" s="665"/>
      <c r="E459" s="665"/>
    </row>
    <row r="460" spans="3:5" x14ac:dyDescent="0.25">
      <c r="C460" s="1109"/>
      <c r="D460" s="665"/>
      <c r="E460" s="665"/>
    </row>
    <row r="461" spans="3:5" x14ac:dyDescent="0.25">
      <c r="C461" s="1109"/>
      <c r="D461" s="665"/>
      <c r="E461" s="665"/>
    </row>
    <row r="462" spans="3:5" x14ac:dyDescent="0.25">
      <c r="C462" s="1109"/>
      <c r="D462" s="665"/>
      <c r="E462" s="665"/>
    </row>
    <row r="463" spans="3:5" x14ac:dyDescent="0.25">
      <c r="C463" s="1109"/>
      <c r="D463" s="665"/>
      <c r="E463" s="665"/>
    </row>
    <row r="464" spans="3:5" x14ac:dyDescent="0.25">
      <c r="C464" s="1109"/>
      <c r="D464" s="665"/>
      <c r="E464" s="665"/>
    </row>
    <row r="465" spans="3:5" x14ac:dyDescent="0.25">
      <c r="C465" s="1109"/>
      <c r="D465" s="665"/>
      <c r="E465" s="665"/>
    </row>
    <row r="466" spans="3:5" x14ac:dyDescent="0.25">
      <c r="C466" s="1109"/>
      <c r="D466" s="665"/>
      <c r="E466" s="665"/>
    </row>
    <row r="467" spans="3:5" x14ac:dyDescent="0.25">
      <c r="C467" s="1109"/>
      <c r="D467" s="665"/>
      <c r="E467" s="665"/>
    </row>
    <row r="468" spans="3:5" x14ac:dyDescent="0.25">
      <c r="C468" s="1109"/>
      <c r="D468" s="665"/>
      <c r="E468" s="665"/>
    </row>
    <row r="469" spans="3:5" x14ac:dyDescent="0.25">
      <c r="C469" s="1109"/>
      <c r="D469" s="665"/>
      <c r="E469" s="665"/>
    </row>
    <row r="470" spans="3:5" x14ac:dyDescent="0.25">
      <c r="C470" s="1109"/>
      <c r="D470" s="665"/>
      <c r="E470" s="665"/>
    </row>
    <row r="471" spans="3:5" x14ac:dyDescent="0.25">
      <c r="C471" s="1109"/>
      <c r="D471" s="665"/>
      <c r="E471" s="665"/>
    </row>
    <row r="472" spans="3:5" x14ac:dyDescent="0.25">
      <c r="C472" s="1109"/>
      <c r="D472" s="665"/>
      <c r="E472" s="665"/>
    </row>
    <row r="473" spans="3:5" x14ac:dyDescent="0.25">
      <c r="C473" s="1109"/>
      <c r="D473" s="665"/>
      <c r="E473" s="665"/>
    </row>
    <row r="474" spans="3:5" x14ac:dyDescent="0.25">
      <c r="C474" s="1109"/>
      <c r="D474" s="665"/>
      <c r="E474" s="665"/>
    </row>
    <row r="475" spans="3:5" x14ac:dyDescent="0.25">
      <c r="C475" s="1109"/>
      <c r="D475" s="665"/>
      <c r="E475" s="665"/>
    </row>
    <row r="476" spans="3:5" x14ac:dyDescent="0.25">
      <c r="C476" s="1109"/>
      <c r="D476" s="665"/>
      <c r="E476" s="665"/>
    </row>
    <row r="477" spans="3:5" x14ac:dyDescent="0.25">
      <c r="C477" s="1109"/>
      <c r="D477" s="665"/>
      <c r="E477" s="665"/>
    </row>
    <row r="478" spans="3:5" x14ac:dyDescent="0.25">
      <c r="C478" s="1109"/>
      <c r="D478" s="665"/>
      <c r="E478" s="665"/>
    </row>
    <row r="479" spans="3:5" x14ac:dyDescent="0.25">
      <c r="C479" s="1109"/>
      <c r="D479" s="665"/>
      <c r="E479" s="665"/>
    </row>
    <row r="480" spans="3:5" x14ac:dyDescent="0.25">
      <c r="C480" s="1109"/>
      <c r="D480" s="665"/>
      <c r="E480" s="665"/>
    </row>
    <row r="481" spans="3:5" x14ac:dyDescent="0.25">
      <c r="C481" s="1109"/>
      <c r="D481" s="665"/>
      <c r="E481" s="665"/>
    </row>
    <row r="482" spans="3:5" x14ac:dyDescent="0.25">
      <c r="C482" s="1109"/>
      <c r="D482" s="665"/>
      <c r="E482" s="665"/>
    </row>
    <row r="483" spans="3:5" x14ac:dyDescent="0.25">
      <c r="C483" s="1109"/>
      <c r="D483" s="665"/>
      <c r="E483" s="665"/>
    </row>
    <row r="484" spans="3:5" x14ac:dyDescent="0.25">
      <c r="C484" s="1109"/>
      <c r="D484" s="665"/>
      <c r="E484" s="665"/>
    </row>
  </sheetData>
  <customSheetViews>
    <customSheetView guid="{4F748D0E-E050-4B9E-BA26-0A3F6D7B169B}" scale="40" hiddenRows="1" hiddenColumns="1" state="hidden" topLeftCell="A144">
      <selection activeCell="AC6" sqref="AC6"/>
      <pageMargins left="0.511811024" right="0.511811024" top="0.78740157499999996" bottom="0.78740157499999996" header="0.31496062000000002" footer="0.31496062000000002"/>
    </customSheetView>
    <customSheetView guid="{8679FB5B-1AA7-40E9-8152-505014626217}" scale="40" hiddenRows="1" hiddenColumns="1" state="hidden" topLeftCell="A144">
      <selection activeCell="AC6" sqref="AC6"/>
      <pageMargins left="0.511811024" right="0.511811024" top="0.78740157499999996" bottom="0.78740157499999996" header="0.31496062000000002" footer="0.31496062000000002"/>
    </customSheetView>
  </customSheetViews>
  <mergeCells count="23">
    <mergeCell ref="AB154:AE154"/>
    <mergeCell ref="X5:X6"/>
    <mergeCell ref="Y5:Y6"/>
    <mergeCell ref="Z5:AB5"/>
    <mergeCell ref="AC5:AE5"/>
    <mergeCell ref="AG5:AI5"/>
    <mergeCell ref="AJ67:AJ69"/>
    <mergeCell ref="H5:H6"/>
    <mergeCell ref="I5:M5"/>
    <mergeCell ref="N5:R5"/>
    <mergeCell ref="S5:S6"/>
    <mergeCell ref="V5:V6"/>
    <mergeCell ref="W5:W6"/>
    <mergeCell ref="A1:AE1"/>
    <mergeCell ref="Z2:AC2"/>
    <mergeCell ref="F4:H4"/>
    <mergeCell ref="A5:A6"/>
    <mergeCell ref="B5:B6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98"/>
  <sheetViews>
    <sheetView showZeros="0" tabSelected="1" view="pageBreakPreview" topLeftCell="C221" zoomScaleNormal="100" zoomScaleSheetLayoutView="100" zoomScalePageLayoutView="57" workbookViewId="0">
      <selection activeCell="E225" sqref="E225"/>
    </sheetView>
  </sheetViews>
  <sheetFormatPr defaultColWidth="8.7109375" defaultRowHeight="11.25" x14ac:dyDescent="0.25"/>
  <cols>
    <col min="1" max="2" width="4.42578125" style="1327" hidden="1" customWidth="1"/>
    <col min="3" max="3" width="6.5703125" style="1327" customWidth="1"/>
    <col min="4" max="4" width="9.28515625" style="1327" customWidth="1"/>
    <col min="5" max="5" width="37.7109375" style="1329" customWidth="1"/>
    <col min="6" max="6" width="17.7109375" style="1327" customWidth="1"/>
    <col min="7" max="7" width="16.5703125" style="1329" customWidth="1"/>
    <col min="8" max="8" width="12.140625" style="1329" customWidth="1"/>
    <col min="9" max="9" width="10.85546875" style="1329" customWidth="1"/>
    <col min="10" max="10" width="15.140625" style="1377" customWidth="1"/>
    <col min="11" max="11" width="10" style="1381" customWidth="1"/>
    <col min="12" max="12" width="10.28515625" style="1381" customWidth="1"/>
    <col min="13" max="13" width="9.42578125" style="1329" customWidth="1"/>
    <col min="14" max="14" width="13.5703125" style="1329" customWidth="1"/>
    <col min="15" max="15" width="12.42578125" style="1329" customWidth="1"/>
    <col min="16" max="17" width="11.7109375" style="1329" customWidth="1"/>
    <col min="18" max="18" width="10" style="1329" customWidth="1"/>
    <col min="19" max="19" width="9.140625" style="1327" customWidth="1"/>
    <col min="20" max="20" width="26.42578125" style="1329" customWidth="1"/>
    <col min="21" max="21" width="8.7109375" style="1329" customWidth="1"/>
    <col min="22" max="16384" width="8.7109375" style="1329"/>
  </cols>
  <sheetData>
    <row r="1" spans="1:20" s="1319" customFormat="1" ht="12.75" x14ac:dyDescent="0.25">
      <c r="A1" s="1318"/>
      <c r="B1" s="1318"/>
      <c r="C1" s="1573" t="s">
        <v>905</v>
      </c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573"/>
      <c r="Q1" s="1573"/>
      <c r="R1" s="1573"/>
      <c r="S1" s="1573"/>
    </row>
    <row r="2" spans="1:20" s="1319" customFormat="1" ht="12.75" x14ac:dyDescent="0.25">
      <c r="A2" s="1318"/>
      <c r="B2" s="1318"/>
      <c r="C2" s="1573" t="s">
        <v>906</v>
      </c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</row>
    <row r="3" spans="1:20" s="1319" customFormat="1" ht="12.75" x14ac:dyDescent="0.25">
      <c r="A3" s="1318"/>
      <c r="B3" s="1318"/>
      <c r="C3" s="1574" t="s">
        <v>907</v>
      </c>
      <c r="D3" s="1574"/>
      <c r="E3" s="1574"/>
      <c r="F3" s="1574"/>
      <c r="G3" s="1574"/>
      <c r="H3" s="1574"/>
      <c r="I3" s="1574"/>
      <c r="J3" s="1574"/>
      <c r="K3" s="1574"/>
      <c r="L3" s="1574"/>
      <c r="M3" s="1574"/>
      <c r="N3" s="1574"/>
      <c r="O3" s="1574"/>
      <c r="P3" s="1574"/>
      <c r="Q3" s="1574"/>
      <c r="R3" s="1574"/>
      <c r="S3" s="1574"/>
    </row>
    <row r="4" spans="1:20" s="1319" customFormat="1" ht="12.75" x14ac:dyDescent="0.25">
      <c r="A4" s="1318"/>
      <c r="B4" s="1318"/>
      <c r="C4" s="1575" t="s">
        <v>1455</v>
      </c>
      <c r="D4" s="1575"/>
      <c r="E4" s="1575"/>
      <c r="F4" s="1575"/>
      <c r="G4" s="1575"/>
      <c r="H4" s="1575"/>
      <c r="I4" s="1575"/>
      <c r="J4" s="1575"/>
      <c r="K4" s="1575"/>
      <c r="L4" s="1575"/>
      <c r="M4" s="1575"/>
      <c r="N4" s="1575"/>
      <c r="O4" s="1575"/>
      <c r="P4" s="1575"/>
      <c r="Q4" s="1575"/>
      <c r="R4" s="1575"/>
      <c r="S4" s="1575"/>
    </row>
    <row r="5" spans="1:20" s="1319" customFormat="1" ht="12.75" x14ac:dyDescent="0.25">
      <c r="A5" s="1318"/>
      <c r="B5" s="1318"/>
      <c r="C5" s="1320"/>
      <c r="D5" s="1327"/>
      <c r="F5" s="1318"/>
      <c r="J5" s="1321"/>
      <c r="K5" s="1384"/>
      <c r="L5" s="1384"/>
      <c r="S5" s="1318"/>
    </row>
    <row r="6" spans="1:20" s="1319" customFormat="1" ht="12.75" x14ac:dyDescent="0.25">
      <c r="A6" s="1318"/>
      <c r="B6" s="1318"/>
      <c r="C6" s="1322" t="s">
        <v>1456</v>
      </c>
      <c r="D6" s="1333"/>
      <c r="E6" s="1322"/>
      <c r="F6" s="1318"/>
      <c r="J6" s="1321"/>
      <c r="K6" s="1384"/>
      <c r="L6" s="1384"/>
      <c r="S6" s="1318"/>
    </row>
    <row r="7" spans="1:20" s="1319" customFormat="1" ht="11.25" customHeight="1" x14ac:dyDescent="0.25">
      <c r="A7" s="1318"/>
      <c r="B7" s="1318"/>
      <c r="C7" s="1323" t="s">
        <v>1394</v>
      </c>
      <c r="D7" s="1327"/>
      <c r="E7" s="1323"/>
      <c r="F7" s="1318"/>
      <c r="J7" s="1321"/>
      <c r="K7" s="1384"/>
      <c r="L7" s="1384"/>
      <c r="P7" s="1454"/>
      <c r="S7" s="1318"/>
      <c r="T7" s="1454"/>
    </row>
    <row r="8" spans="1:20" s="1319" customFormat="1" ht="12.75" x14ac:dyDescent="0.25">
      <c r="A8" s="1318"/>
      <c r="B8" s="1318"/>
      <c r="C8" s="1323" t="s">
        <v>908</v>
      </c>
      <c r="D8" s="1327"/>
      <c r="E8" s="1323"/>
      <c r="F8" s="1318"/>
      <c r="J8" s="1321"/>
      <c r="K8" s="1384"/>
      <c r="L8" s="1384"/>
      <c r="S8" s="1318"/>
    </row>
    <row r="9" spans="1:20" s="1319" customFormat="1" ht="12.75" x14ac:dyDescent="0.25">
      <c r="A9" s="1318"/>
      <c r="B9" s="1318"/>
      <c r="C9" s="1324"/>
      <c r="D9" s="1327"/>
      <c r="F9" s="1318"/>
      <c r="J9" s="1321"/>
      <c r="K9" s="1384"/>
      <c r="L9" s="1384"/>
      <c r="Q9" s="1327" t="s">
        <v>1406</v>
      </c>
      <c r="R9" s="1385" t="s">
        <v>909</v>
      </c>
      <c r="S9" s="1386"/>
    </row>
    <row r="10" spans="1:20" s="1326" customFormat="1" x14ac:dyDescent="0.25">
      <c r="A10" s="1325"/>
      <c r="B10" s="1325"/>
      <c r="C10" s="1387">
        <v>1</v>
      </c>
      <c r="D10" s="1566" t="s">
        <v>928</v>
      </c>
      <c r="E10" s="1566"/>
      <c r="F10" s="1566"/>
      <c r="G10" s="1566"/>
      <c r="H10" s="1566"/>
      <c r="I10" s="1566"/>
      <c r="J10" s="1566"/>
      <c r="K10" s="1566"/>
      <c r="L10" s="1566"/>
      <c r="M10" s="1566"/>
      <c r="N10" s="1566"/>
      <c r="O10" s="1566"/>
      <c r="P10" s="1566"/>
      <c r="Q10" s="1566"/>
      <c r="R10" s="1566"/>
      <c r="S10" s="1566"/>
    </row>
    <row r="11" spans="1:20" ht="20.25" customHeight="1" x14ac:dyDescent="0.25">
      <c r="C11" s="1576"/>
      <c r="D11" s="1565" t="s">
        <v>910</v>
      </c>
      <c r="E11" s="1565" t="s">
        <v>911</v>
      </c>
      <c r="F11" s="1565" t="s">
        <v>912</v>
      </c>
      <c r="G11" s="1565" t="s">
        <v>1191</v>
      </c>
      <c r="H11" s="1565" t="s">
        <v>914</v>
      </c>
      <c r="I11" s="1565" t="s">
        <v>915</v>
      </c>
      <c r="J11" s="1572" t="s">
        <v>916</v>
      </c>
      <c r="K11" s="1572"/>
      <c r="L11" s="1572"/>
      <c r="M11" s="1571" t="s">
        <v>917</v>
      </c>
      <c r="N11" s="1565" t="s">
        <v>918</v>
      </c>
      <c r="O11" s="1578" t="s">
        <v>919</v>
      </c>
      <c r="P11" s="1578"/>
      <c r="Q11" s="1565" t="s">
        <v>920</v>
      </c>
      <c r="R11" s="1565" t="s">
        <v>921</v>
      </c>
      <c r="S11" s="1565" t="s">
        <v>922</v>
      </c>
    </row>
    <row r="12" spans="1:20" ht="44.25" customHeight="1" x14ac:dyDescent="0.25">
      <c r="A12" s="1325" t="s">
        <v>923</v>
      </c>
      <c r="B12" s="1325"/>
      <c r="C12" s="1577"/>
      <c r="D12" s="1565"/>
      <c r="E12" s="1565"/>
      <c r="F12" s="1565"/>
      <c r="G12" s="1565"/>
      <c r="H12" s="1565"/>
      <c r="I12" s="1565"/>
      <c r="J12" s="1330" t="s">
        <v>1405</v>
      </c>
      <c r="K12" s="1388" t="s">
        <v>924</v>
      </c>
      <c r="L12" s="1388" t="s">
        <v>925</v>
      </c>
      <c r="M12" s="1571"/>
      <c r="N12" s="1565"/>
      <c r="O12" s="1332" t="s">
        <v>926</v>
      </c>
      <c r="P12" s="1332" t="s">
        <v>927</v>
      </c>
      <c r="Q12" s="1565"/>
      <c r="R12" s="1565"/>
      <c r="S12" s="1565"/>
    </row>
    <row r="13" spans="1:20" s="1334" customFormat="1" ht="90" customHeight="1" x14ac:dyDescent="0.25">
      <c r="A13" s="1333" t="s">
        <v>933</v>
      </c>
      <c r="B13" s="1333"/>
      <c r="C13" s="1466" t="s">
        <v>306</v>
      </c>
      <c r="D13" s="1466" t="s">
        <v>929</v>
      </c>
      <c r="E13" s="1337" t="s">
        <v>934</v>
      </c>
      <c r="F13" s="1464" t="s">
        <v>935</v>
      </c>
      <c r="G13" s="1464" t="s">
        <v>936</v>
      </c>
      <c r="H13" s="1464">
        <v>1</v>
      </c>
      <c r="I13" s="1464" t="s">
        <v>937</v>
      </c>
      <c r="J13" s="1335">
        <v>131872.09909000003</v>
      </c>
      <c r="K13" s="1335">
        <v>78.305060192850533</v>
      </c>
      <c r="L13" s="1335">
        <v>21.694939807149463</v>
      </c>
      <c r="M13" s="1464" t="s">
        <v>253</v>
      </c>
      <c r="N13" s="1464" t="s">
        <v>931</v>
      </c>
      <c r="O13" s="1339">
        <v>40884</v>
      </c>
      <c r="P13" s="1339">
        <v>41089</v>
      </c>
      <c r="Q13" s="1464">
        <v>0</v>
      </c>
      <c r="R13" s="1464" t="s">
        <v>938</v>
      </c>
      <c r="S13" s="1464" t="s">
        <v>939</v>
      </c>
    </row>
    <row r="14" spans="1:20" s="1340" customFormat="1" ht="87.75" customHeight="1" x14ac:dyDescent="0.25">
      <c r="A14" s="1366"/>
      <c r="B14" s="1366"/>
      <c r="C14" s="1466" t="s">
        <v>318</v>
      </c>
      <c r="D14" s="1466" t="s">
        <v>929</v>
      </c>
      <c r="E14" s="1337" t="s">
        <v>334</v>
      </c>
      <c r="F14" s="1464" t="s">
        <v>940</v>
      </c>
      <c r="G14" s="1464" t="s">
        <v>930</v>
      </c>
      <c r="H14" s="1464">
        <v>1</v>
      </c>
      <c r="I14" s="1464" t="s">
        <v>941</v>
      </c>
      <c r="J14" s="1335">
        <v>519.69568000000004</v>
      </c>
      <c r="K14" s="1335">
        <v>100</v>
      </c>
      <c r="L14" s="1335">
        <v>0</v>
      </c>
      <c r="M14" s="1464" t="s">
        <v>253</v>
      </c>
      <c r="N14" s="1464" t="s">
        <v>931</v>
      </c>
      <c r="O14" s="1339">
        <v>42887</v>
      </c>
      <c r="P14" s="1339">
        <v>42934</v>
      </c>
      <c r="Q14" s="1464">
        <v>0</v>
      </c>
      <c r="R14" s="1464" t="s">
        <v>891</v>
      </c>
      <c r="S14" s="1464" t="s">
        <v>939</v>
      </c>
    </row>
    <row r="15" spans="1:20" s="1340" customFormat="1" ht="55.5" customHeight="1" x14ac:dyDescent="0.25">
      <c r="A15" s="1366"/>
      <c r="B15" s="1366"/>
      <c r="C15" s="1466" t="s">
        <v>320</v>
      </c>
      <c r="D15" s="1466" t="s">
        <v>929</v>
      </c>
      <c r="E15" s="1337" t="s">
        <v>943</v>
      </c>
      <c r="F15" s="1452">
        <v>0</v>
      </c>
      <c r="G15" s="1464" t="s">
        <v>930</v>
      </c>
      <c r="H15" s="1464">
        <v>1</v>
      </c>
      <c r="I15" s="1343" t="s">
        <v>1259</v>
      </c>
      <c r="J15" s="1335">
        <v>21135.137839999999</v>
      </c>
      <c r="K15" s="1346">
        <v>4.9999999905370851</v>
      </c>
      <c r="L15" s="1465">
        <v>95.000000009462909</v>
      </c>
      <c r="M15" s="1464" t="s">
        <v>253</v>
      </c>
      <c r="N15" s="1464" t="s">
        <v>931</v>
      </c>
      <c r="O15" s="1339">
        <v>43581</v>
      </c>
      <c r="P15" s="1360">
        <v>43617</v>
      </c>
      <c r="Q15" s="1464">
        <v>0</v>
      </c>
      <c r="R15" s="1464">
        <v>0</v>
      </c>
      <c r="S15" s="1464" t="s">
        <v>1178</v>
      </c>
    </row>
    <row r="16" spans="1:20" s="1340" customFormat="1" ht="77.25" customHeight="1" x14ac:dyDescent="0.25">
      <c r="A16" s="1366"/>
      <c r="B16" s="1366"/>
      <c r="C16" s="1466" t="s">
        <v>816</v>
      </c>
      <c r="D16" s="1466" t="s">
        <v>929</v>
      </c>
      <c r="E16" s="1344" t="s">
        <v>945</v>
      </c>
      <c r="F16" s="1345" t="s">
        <v>1244</v>
      </c>
      <c r="G16" s="1464" t="s">
        <v>946</v>
      </c>
      <c r="H16" s="1466">
        <v>1</v>
      </c>
      <c r="I16" s="1342" t="s">
        <v>947</v>
      </c>
      <c r="J16" s="1374">
        <v>1729.4879599999995</v>
      </c>
      <c r="K16" s="1346">
        <v>75.915609727632912</v>
      </c>
      <c r="L16" s="1465">
        <v>24.084390272367095</v>
      </c>
      <c r="M16" s="1466" t="s">
        <v>253</v>
      </c>
      <c r="N16" s="1464" t="s">
        <v>948</v>
      </c>
      <c r="O16" s="1339">
        <v>42734</v>
      </c>
      <c r="P16" s="1339">
        <v>42776</v>
      </c>
      <c r="Q16" s="1464">
        <v>0</v>
      </c>
      <c r="R16" s="1464" t="s">
        <v>949</v>
      </c>
      <c r="S16" s="1464" t="s">
        <v>950</v>
      </c>
    </row>
    <row r="17" spans="1:23" ht="52.5" customHeight="1" x14ac:dyDescent="0.25">
      <c r="C17" s="1466" t="s">
        <v>889</v>
      </c>
      <c r="D17" s="1466" t="s">
        <v>929</v>
      </c>
      <c r="E17" s="1344" t="s">
        <v>951</v>
      </c>
      <c r="F17" s="1345">
        <v>0</v>
      </c>
      <c r="G17" s="1464" t="s">
        <v>930</v>
      </c>
      <c r="H17" s="1466">
        <v>1</v>
      </c>
      <c r="I17" s="1342" t="s">
        <v>952</v>
      </c>
      <c r="J17" s="1374">
        <v>9874.8696999999993</v>
      </c>
      <c r="K17" s="1346">
        <v>100</v>
      </c>
      <c r="L17" s="1465">
        <v>0</v>
      </c>
      <c r="M17" s="1466" t="s">
        <v>253</v>
      </c>
      <c r="N17" s="1464" t="s">
        <v>931</v>
      </c>
      <c r="O17" s="1339">
        <v>43207</v>
      </c>
      <c r="P17" s="1373">
        <v>43252</v>
      </c>
      <c r="Q17" s="1464">
        <v>0</v>
      </c>
      <c r="R17" s="1464" t="s">
        <v>1261</v>
      </c>
      <c r="S17" s="1464" t="s">
        <v>939</v>
      </c>
      <c r="W17" s="1329">
        <f>5500+940</f>
        <v>6440</v>
      </c>
    </row>
    <row r="18" spans="1:23" s="1326" customFormat="1" x14ac:dyDescent="0.25">
      <c r="A18" s="1325"/>
      <c r="B18" s="1325"/>
      <c r="C18" s="1387">
        <v>1</v>
      </c>
      <c r="D18" s="1566" t="s">
        <v>928</v>
      </c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</row>
    <row r="19" spans="1:23" ht="20.25" customHeight="1" x14ac:dyDescent="0.25">
      <c r="C19" s="1576"/>
      <c r="D19" s="1565" t="s">
        <v>910</v>
      </c>
      <c r="E19" s="1565" t="s">
        <v>911</v>
      </c>
      <c r="F19" s="1565" t="s">
        <v>912</v>
      </c>
      <c r="G19" s="1565" t="s">
        <v>1191</v>
      </c>
      <c r="H19" s="1565" t="s">
        <v>914</v>
      </c>
      <c r="I19" s="1565" t="s">
        <v>915</v>
      </c>
      <c r="J19" s="1572" t="s">
        <v>916</v>
      </c>
      <c r="K19" s="1572"/>
      <c r="L19" s="1572"/>
      <c r="M19" s="1571" t="s">
        <v>917</v>
      </c>
      <c r="N19" s="1565" t="s">
        <v>918</v>
      </c>
      <c r="O19" s="1565" t="s">
        <v>919</v>
      </c>
      <c r="P19" s="1565"/>
      <c r="Q19" s="1565" t="s">
        <v>920</v>
      </c>
      <c r="R19" s="1565" t="s">
        <v>921</v>
      </c>
      <c r="S19" s="1565" t="s">
        <v>922</v>
      </c>
    </row>
    <row r="20" spans="1:23" ht="44.25" customHeight="1" x14ac:dyDescent="0.25">
      <c r="A20" s="1325" t="s">
        <v>923</v>
      </c>
      <c r="B20" s="1325"/>
      <c r="C20" s="1577"/>
      <c r="D20" s="1565"/>
      <c r="E20" s="1565"/>
      <c r="F20" s="1565"/>
      <c r="G20" s="1565"/>
      <c r="H20" s="1565"/>
      <c r="I20" s="1565"/>
      <c r="J20" s="1330" t="s">
        <v>1405</v>
      </c>
      <c r="K20" s="1388" t="s">
        <v>924</v>
      </c>
      <c r="L20" s="1388" t="s">
        <v>925</v>
      </c>
      <c r="M20" s="1571"/>
      <c r="N20" s="1565"/>
      <c r="O20" s="1332" t="s">
        <v>926</v>
      </c>
      <c r="P20" s="1332" t="s">
        <v>927</v>
      </c>
      <c r="Q20" s="1565"/>
      <c r="R20" s="1565"/>
      <c r="S20" s="1565"/>
    </row>
    <row r="21" spans="1:23" ht="310.5" customHeight="1" x14ac:dyDescent="0.25">
      <c r="C21" s="1466" t="s">
        <v>953</v>
      </c>
      <c r="D21" s="1466" t="s">
        <v>929</v>
      </c>
      <c r="E21" s="1344" t="s">
        <v>954</v>
      </c>
      <c r="F21" s="1345" t="s">
        <v>1426</v>
      </c>
      <c r="G21" s="1464" t="s">
        <v>930</v>
      </c>
      <c r="H21" s="1466">
        <v>3</v>
      </c>
      <c r="I21" s="1342" t="s">
        <v>955</v>
      </c>
      <c r="J21" s="1374">
        <v>3418.7783799999997</v>
      </c>
      <c r="K21" s="1374">
        <v>78.403926551097484</v>
      </c>
      <c r="L21" s="1374">
        <v>21.59607344890253</v>
      </c>
      <c r="M21" s="1466" t="s">
        <v>253</v>
      </c>
      <c r="N21" s="1464" t="s">
        <v>931</v>
      </c>
      <c r="O21" s="1339">
        <v>43312</v>
      </c>
      <c r="P21" s="1339">
        <v>43531</v>
      </c>
      <c r="Q21" s="1464">
        <v>0</v>
      </c>
      <c r="R21" s="1464" t="s">
        <v>1430</v>
      </c>
      <c r="S21" s="1464" t="s">
        <v>1178</v>
      </c>
      <c r="T21" s="1326"/>
    </row>
    <row r="22" spans="1:23" ht="109.5" customHeight="1" x14ac:dyDescent="0.25">
      <c r="C22" s="1466" t="s">
        <v>956</v>
      </c>
      <c r="D22" s="1466" t="s">
        <v>929</v>
      </c>
      <c r="E22" s="1344" t="s">
        <v>1475</v>
      </c>
      <c r="F22" s="1345" t="s">
        <v>1409</v>
      </c>
      <c r="G22" s="1464" t="s">
        <v>930</v>
      </c>
      <c r="H22" s="1466">
        <v>1</v>
      </c>
      <c r="I22" s="1342" t="s">
        <v>1249</v>
      </c>
      <c r="J22" s="1374">
        <v>741.43958999999995</v>
      </c>
      <c r="K22" s="1453">
        <v>5.0000000686373065</v>
      </c>
      <c r="L22" s="1453">
        <v>94.999999931362694</v>
      </c>
      <c r="M22" s="1466" t="s">
        <v>253</v>
      </c>
      <c r="N22" s="1464" t="s">
        <v>931</v>
      </c>
      <c r="O22" s="1339">
        <v>43405</v>
      </c>
      <c r="P22" s="1339">
        <v>43556</v>
      </c>
      <c r="Q22" s="1464">
        <v>0</v>
      </c>
      <c r="R22" s="1464"/>
      <c r="S22" s="1464" t="s">
        <v>939</v>
      </c>
      <c r="T22" s="1326"/>
    </row>
    <row r="23" spans="1:23" ht="51" customHeight="1" x14ac:dyDescent="0.25">
      <c r="C23" s="1470" t="s">
        <v>894</v>
      </c>
      <c r="D23" s="1470" t="s">
        <v>929</v>
      </c>
      <c r="E23" s="1389" t="s">
        <v>1241</v>
      </c>
      <c r="F23" s="1390">
        <v>0</v>
      </c>
      <c r="G23" s="1391" t="s">
        <v>930</v>
      </c>
      <c r="H23" s="1470">
        <v>1</v>
      </c>
      <c r="I23" s="1472" t="s">
        <v>1257</v>
      </c>
      <c r="J23" s="1440">
        <v>1207.39211</v>
      </c>
      <c r="K23" s="1440">
        <v>100</v>
      </c>
      <c r="L23" s="1440">
        <v>0</v>
      </c>
      <c r="M23" s="1470" t="s">
        <v>253</v>
      </c>
      <c r="N23" s="1391" t="s">
        <v>931</v>
      </c>
      <c r="O23" s="1480">
        <v>43313</v>
      </c>
      <c r="P23" s="1480">
        <v>43647</v>
      </c>
      <c r="Q23" s="1391">
        <v>0</v>
      </c>
      <c r="R23" s="1391">
        <v>0</v>
      </c>
      <c r="S23" s="1391" t="s">
        <v>1178</v>
      </c>
      <c r="T23" s="1326"/>
    </row>
    <row r="24" spans="1:23" ht="60" customHeight="1" x14ac:dyDescent="0.25">
      <c r="C24" s="1466" t="s">
        <v>904</v>
      </c>
      <c r="D24" s="1466" t="s">
        <v>929</v>
      </c>
      <c r="E24" s="1344" t="s">
        <v>1289</v>
      </c>
      <c r="F24" s="1345">
        <v>0</v>
      </c>
      <c r="G24" s="1464" t="s">
        <v>898</v>
      </c>
      <c r="H24" s="1464">
        <v>1</v>
      </c>
      <c r="I24" s="1342" t="s">
        <v>1326</v>
      </c>
      <c r="J24" s="1335">
        <v>472.97296999999998</v>
      </c>
      <c r="K24" s="1335">
        <v>100</v>
      </c>
      <c r="L24" s="1335">
        <v>0</v>
      </c>
      <c r="M24" s="1464" t="s">
        <v>253</v>
      </c>
      <c r="N24" s="1464" t="s">
        <v>948</v>
      </c>
      <c r="O24" s="1480">
        <v>43586</v>
      </c>
      <c r="P24" s="1480">
        <v>43647</v>
      </c>
      <c r="Q24" s="1464">
        <v>0</v>
      </c>
      <c r="R24" s="1464">
        <v>0</v>
      </c>
      <c r="S24" s="1464" t="s">
        <v>944</v>
      </c>
      <c r="T24" s="1326"/>
    </row>
    <row r="25" spans="1:23" ht="51" customHeight="1" x14ac:dyDescent="0.25">
      <c r="C25" s="1375" t="s">
        <v>1060</v>
      </c>
      <c r="D25" s="1466" t="s">
        <v>929</v>
      </c>
      <c r="E25" s="1344" t="s">
        <v>890</v>
      </c>
      <c r="F25" s="1345">
        <v>0</v>
      </c>
      <c r="G25" s="1464" t="s">
        <v>930</v>
      </c>
      <c r="H25" s="1464">
        <v>1</v>
      </c>
      <c r="I25" s="1342" t="s">
        <v>1325</v>
      </c>
      <c r="J25" s="1335">
        <v>5086.29493</v>
      </c>
      <c r="K25" s="1335">
        <v>5.0000000688123682</v>
      </c>
      <c r="L25" s="1335">
        <v>94.999999931187631</v>
      </c>
      <c r="M25" s="1464" t="s">
        <v>253</v>
      </c>
      <c r="N25" s="1464" t="s">
        <v>931</v>
      </c>
      <c r="O25" s="1339">
        <v>43587</v>
      </c>
      <c r="P25" s="1480">
        <v>43647</v>
      </c>
      <c r="Q25" s="1464">
        <v>0</v>
      </c>
      <c r="R25" s="1464">
        <v>0</v>
      </c>
      <c r="S25" s="1464" t="s">
        <v>1178</v>
      </c>
      <c r="T25" s="1326"/>
    </row>
    <row r="26" spans="1:23" s="1326" customFormat="1" x14ac:dyDescent="0.25">
      <c r="A26" s="1325"/>
      <c r="B26" s="1325"/>
      <c r="C26" s="1441"/>
      <c r="D26" s="1393"/>
      <c r="E26" s="1392"/>
      <c r="F26" s="1393"/>
      <c r="G26" s="1392"/>
      <c r="H26" s="1392"/>
      <c r="I26" s="1326" t="s">
        <v>0</v>
      </c>
      <c r="J26" s="1394">
        <f>SUM(J13:J25)</f>
        <v>176058.16825000005</v>
      </c>
      <c r="K26" s="1395"/>
      <c r="L26" s="1395"/>
      <c r="M26" s="1392"/>
      <c r="N26" s="1392"/>
      <c r="O26" s="1392"/>
      <c r="P26" s="1392"/>
      <c r="Q26" s="1392"/>
      <c r="R26" s="1392"/>
      <c r="S26" s="1393"/>
    </row>
    <row r="28" spans="1:23" s="1326" customFormat="1" x14ac:dyDescent="0.25">
      <c r="A28" s="1325"/>
      <c r="B28" s="1325"/>
      <c r="C28" s="1387">
        <v>2</v>
      </c>
      <c r="D28" s="1566" t="s">
        <v>1192</v>
      </c>
      <c r="E28" s="1566"/>
      <c r="F28" s="1566"/>
      <c r="G28" s="1566"/>
      <c r="H28" s="1566"/>
      <c r="I28" s="1566"/>
      <c r="J28" s="1566"/>
      <c r="K28" s="1566"/>
      <c r="L28" s="1566"/>
      <c r="M28" s="1566"/>
      <c r="N28" s="1566"/>
      <c r="O28" s="1566"/>
      <c r="P28" s="1566"/>
      <c r="Q28" s="1566"/>
      <c r="R28" s="1566"/>
      <c r="S28" s="1566"/>
    </row>
    <row r="29" spans="1:23" ht="12" customHeight="1" x14ac:dyDescent="0.25">
      <c r="C29" s="1576"/>
      <c r="D29" s="1565" t="s">
        <v>910</v>
      </c>
      <c r="E29" s="1565" t="s">
        <v>911</v>
      </c>
      <c r="F29" s="1565" t="s">
        <v>912</v>
      </c>
      <c r="G29" s="1565" t="s">
        <v>1191</v>
      </c>
      <c r="H29" s="1565" t="s">
        <v>914</v>
      </c>
      <c r="I29" s="1565" t="s">
        <v>915</v>
      </c>
      <c r="J29" s="1572" t="s">
        <v>916</v>
      </c>
      <c r="K29" s="1572"/>
      <c r="L29" s="1572"/>
      <c r="M29" s="1571" t="s">
        <v>917</v>
      </c>
      <c r="N29" s="1565" t="s">
        <v>918</v>
      </c>
      <c r="O29" s="1565" t="s">
        <v>919</v>
      </c>
      <c r="P29" s="1565"/>
      <c r="Q29" s="1565" t="s">
        <v>920</v>
      </c>
      <c r="R29" s="1565" t="s">
        <v>921</v>
      </c>
      <c r="S29" s="1565" t="s">
        <v>922</v>
      </c>
    </row>
    <row r="30" spans="1:23" ht="45.75" customHeight="1" x14ac:dyDescent="0.25">
      <c r="C30" s="1577"/>
      <c r="D30" s="1565"/>
      <c r="E30" s="1565"/>
      <c r="F30" s="1565"/>
      <c r="G30" s="1565"/>
      <c r="H30" s="1565"/>
      <c r="I30" s="1565"/>
      <c r="J30" s="1331" t="s">
        <v>1405</v>
      </c>
      <c r="K30" s="1388" t="s">
        <v>924</v>
      </c>
      <c r="L30" s="1388" t="s">
        <v>925</v>
      </c>
      <c r="M30" s="1571"/>
      <c r="N30" s="1565"/>
      <c r="O30" s="1332" t="s">
        <v>926</v>
      </c>
      <c r="P30" s="1332" t="s">
        <v>927</v>
      </c>
      <c r="Q30" s="1565"/>
      <c r="R30" s="1565"/>
      <c r="S30" s="1565"/>
    </row>
    <row r="31" spans="1:23" s="1334" customFormat="1" ht="67.5" x14ac:dyDescent="0.25">
      <c r="A31" s="1333" t="s">
        <v>957</v>
      </c>
      <c r="B31" s="1333"/>
      <c r="C31" s="1336" t="s">
        <v>253</v>
      </c>
      <c r="D31" s="1336" t="s">
        <v>929</v>
      </c>
      <c r="E31" s="1337" t="s">
        <v>958</v>
      </c>
      <c r="F31" s="1338" t="s">
        <v>959</v>
      </c>
      <c r="G31" s="1338" t="s">
        <v>896</v>
      </c>
      <c r="H31" s="1338">
        <v>1</v>
      </c>
      <c r="I31" s="1338" t="s">
        <v>960</v>
      </c>
      <c r="J31" s="1335">
        <v>52.801850000000002</v>
      </c>
      <c r="K31" s="1335">
        <v>0</v>
      </c>
      <c r="L31" s="1335">
        <v>100</v>
      </c>
      <c r="M31" s="1338" t="s">
        <v>895</v>
      </c>
      <c r="N31" s="1338" t="s">
        <v>948</v>
      </c>
      <c r="O31" s="1368" t="s">
        <v>961</v>
      </c>
      <c r="P31" s="1368" t="s">
        <v>962</v>
      </c>
      <c r="Q31" s="1338" t="s">
        <v>963</v>
      </c>
      <c r="R31" s="1338" t="s">
        <v>68</v>
      </c>
      <c r="S31" s="1338" t="s">
        <v>950</v>
      </c>
    </row>
    <row r="32" spans="1:23" s="1334" customFormat="1" ht="64.5" customHeight="1" x14ac:dyDescent="0.25">
      <c r="A32" s="1333" t="s">
        <v>964</v>
      </c>
      <c r="B32" s="1333"/>
      <c r="C32" s="1336" t="s">
        <v>241</v>
      </c>
      <c r="D32" s="1336" t="s">
        <v>929</v>
      </c>
      <c r="E32" s="1337" t="s">
        <v>965</v>
      </c>
      <c r="F32" s="1338" t="s">
        <v>174</v>
      </c>
      <c r="G32" s="1338" t="s">
        <v>896</v>
      </c>
      <c r="H32" s="1338">
        <v>1</v>
      </c>
      <c r="I32" s="1338" t="s">
        <v>966</v>
      </c>
      <c r="J32" s="1335">
        <v>100.31948</v>
      </c>
      <c r="K32" s="1335">
        <v>100</v>
      </c>
      <c r="L32" s="1335">
        <v>0</v>
      </c>
      <c r="M32" s="1338" t="s">
        <v>895</v>
      </c>
      <c r="N32" s="1338" t="s">
        <v>948</v>
      </c>
      <c r="O32" s="1339">
        <v>41841</v>
      </c>
      <c r="P32" s="1339">
        <v>41961</v>
      </c>
      <c r="Q32" s="1338" t="s">
        <v>967</v>
      </c>
      <c r="R32" s="1338" t="s">
        <v>968</v>
      </c>
      <c r="S32" s="1338" t="s">
        <v>950</v>
      </c>
    </row>
    <row r="33" spans="1:20" s="1334" customFormat="1" ht="87" customHeight="1" x14ac:dyDescent="0.25">
      <c r="A33" s="1333" t="s">
        <v>969</v>
      </c>
      <c r="B33" s="1333"/>
      <c r="C33" s="1336" t="s">
        <v>240</v>
      </c>
      <c r="D33" s="1336" t="s">
        <v>929</v>
      </c>
      <c r="E33" s="1337" t="s">
        <v>970</v>
      </c>
      <c r="F33" s="1338" t="s">
        <v>971</v>
      </c>
      <c r="G33" s="1338" t="s">
        <v>896</v>
      </c>
      <c r="H33" s="1338">
        <v>1</v>
      </c>
      <c r="I33" s="1338" t="s">
        <v>972</v>
      </c>
      <c r="J33" s="1335">
        <v>84.221159999999955</v>
      </c>
      <c r="K33" s="1335">
        <v>100</v>
      </c>
      <c r="L33" s="1335">
        <v>0</v>
      </c>
      <c r="M33" s="1338" t="s">
        <v>895</v>
      </c>
      <c r="N33" s="1338" t="s">
        <v>948</v>
      </c>
      <c r="O33" s="1339">
        <v>41871</v>
      </c>
      <c r="P33" s="1339">
        <v>41947</v>
      </c>
      <c r="Q33" s="1338" t="s">
        <v>973</v>
      </c>
      <c r="R33" s="1338" t="s">
        <v>974</v>
      </c>
      <c r="S33" s="1338" t="s">
        <v>939</v>
      </c>
    </row>
    <row r="34" spans="1:20" s="1334" customFormat="1" ht="78.75" x14ac:dyDescent="0.25">
      <c r="A34" s="1333" t="s">
        <v>975</v>
      </c>
      <c r="B34" s="1333"/>
      <c r="C34" s="1336" t="s">
        <v>242</v>
      </c>
      <c r="D34" s="1336" t="s">
        <v>929</v>
      </c>
      <c r="E34" s="1337" t="s">
        <v>264</v>
      </c>
      <c r="F34" s="1338" t="s">
        <v>976</v>
      </c>
      <c r="G34" s="1338" t="s">
        <v>896</v>
      </c>
      <c r="H34" s="1338">
        <v>1</v>
      </c>
      <c r="I34" s="1338" t="s">
        <v>977</v>
      </c>
      <c r="J34" s="1335">
        <v>258.07276999999999</v>
      </c>
      <c r="K34" s="1335">
        <v>100</v>
      </c>
      <c r="L34" s="1335">
        <v>0</v>
      </c>
      <c r="M34" s="1338" t="s">
        <v>895</v>
      </c>
      <c r="N34" s="1338" t="s">
        <v>948</v>
      </c>
      <c r="O34" s="1339">
        <v>41878</v>
      </c>
      <c r="P34" s="1339">
        <v>41975</v>
      </c>
      <c r="Q34" s="1338" t="s">
        <v>967</v>
      </c>
      <c r="R34" s="1338" t="s">
        <v>978</v>
      </c>
      <c r="S34" s="1338" t="s">
        <v>950</v>
      </c>
    </row>
    <row r="35" spans="1:20" s="1334" customFormat="1" ht="51" customHeight="1" x14ac:dyDescent="0.25">
      <c r="A35" s="1333" t="s">
        <v>979</v>
      </c>
      <c r="B35" s="1333"/>
      <c r="C35" s="1336" t="s">
        <v>250</v>
      </c>
      <c r="D35" s="1336" t="s">
        <v>929</v>
      </c>
      <c r="E35" s="1337" t="s">
        <v>980</v>
      </c>
      <c r="F35" s="1338" t="s">
        <v>183</v>
      </c>
      <c r="G35" s="1338" t="s">
        <v>896</v>
      </c>
      <c r="H35" s="1338">
        <v>1</v>
      </c>
      <c r="I35" s="1338" t="s">
        <v>981</v>
      </c>
      <c r="J35" s="1335">
        <v>18.280950000000001</v>
      </c>
      <c r="K35" s="1335">
        <v>100</v>
      </c>
      <c r="L35" s="1335">
        <v>0</v>
      </c>
      <c r="M35" s="1338" t="s">
        <v>895</v>
      </c>
      <c r="N35" s="1338" t="s">
        <v>948</v>
      </c>
      <c r="O35" s="1339">
        <v>41878</v>
      </c>
      <c r="P35" s="1339">
        <v>41901</v>
      </c>
      <c r="Q35" s="1338" t="s">
        <v>973</v>
      </c>
      <c r="R35" s="1338" t="s">
        <v>982</v>
      </c>
      <c r="S35" s="1338" t="s">
        <v>950</v>
      </c>
    </row>
    <row r="36" spans="1:20" s="1334" customFormat="1" ht="49.5" customHeight="1" x14ac:dyDescent="0.25">
      <c r="A36" s="1333" t="s">
        <v>983</v>
      </c>
      <c r="B36" s="1333"/>
      <c r="C36" s="1336" t="s">
        <v>252</v>
      </c>
      <c r="D36" s="1336" t="s">
        <v>929</v>
      </c>
      <c r="E36" s="1337" t="s">
        <v>984</v>
      </c>
      <c r="F36" s="1338" t="s">
        <v>186</v>
      </c>
      <c r="G36" s="1338" t="s">
        <v>896</v>
      </c>
      <c r="H36" s="1338">
        <v>1</v>
      </c>
      <c r="I36" s="1338" t="s">
        <v>985</v>
      </c>
      <c r="J36" s="1335">
        <v>6.6808399999999999</v>
      </c>
      <c r="K36" s="1335">
        <v>100</v>
      </c>
      <c r="L36" s="1335">
        <v>0</v>
      </c>
      <c r="M36" s="1338" t="s">
        <v>895</v>
      </c>
      <c r="N36" s="1338" t="s">
        <v>948</v>
      </c>
      <c r="O36" s="1339">
        <v>41975</v>
      </c>
      <c r="P36" s="1339">
        <v>41982</v>
      </c>
      <c r="Q36" s="1338" t="s">
        <v>967</v>
      </c>
      <c r="R36" s="1338" t="s">
        <v>986</v>
      </c>
      <c r="S36" s="1338" t="s">
        <v>950</v>
      </c>
    </row>
    <row r="37" spans="1:20" s="1334" customFormat="1" ht="66" customHeight="1" x14ac:dyDescent="0.25">
      <c r="A37" s="1333" t="s">
        <v>987</v>
      </c>
      <c r="B37" s="1333"/>
      <c r="C37" s="1336" t="s">
        <v>254</v>
      </c>
      <c r="D37" s="1336" t="s">
        <v>929</v>
      </c>
      <c r="E37" s="1337" t="s">
        <v>264</v>
      </c>
      <c r="F37" s="1338" t="s">
        <v>988</v>
      </c>
      <c r="G37" s="1338" t="s">
        <v>898</v>
      </c>
      <c r="H37" s="1338">
        <v>1</v>
      </c>
      <c r="I37" s="1338" t="s">
        <v>989</v>
      </c>
      <c r="J37" s="1335">
        <v>66.763009999999994</v>
      </c>
      <c r="K37" s="1335">
        <v>100</v>
      </c>
      <c r="L37" s="1335">
        <v>0</v>
      </c>
      <c r="M37" s="1338" t="s">
        <v>895</v>
      </c>
      <c r="N37" s="1338" t="s">
        <v>948</v>
      </c>
      <c r="O37" s="1339">
        <v>42544</v>
      </c>
      <c r="P37" s="1339">
        <v>42566</v>
      </c>
      <c r="Q37" s="1338">
        <v>0</v>
      </c>
      <c r="R37" s="1338" t="s">
        <v>703</v>
      </c>
      <c r="S37" s="1338" t="s">
        <v>950</v>
      </c>
    </row>
    <row r="38" spans="1:20" s="1340" customFormat="1" ht="74.25" customHeight="1" x14ac:dyDescent="0.25">
      <c r="A38" s="1366" t="s">
        <v>990</v>
      </c>
      <c r="B38" s="1366"/>
      <c r="C38" s="1336" t="s">
        <v>248</v>
      </c>
      <c r="D38" s="1336" t="s">
        <v>929</v>
      </c>
      <c r="E38" s="1337" t="s">
        <v>991</v>
      </c>
      <c r="F38" s="1338" t="s">
        <v>181</v>
      </c>
      <c r="G38" s="1338" t="s">
        <v>898</v>
      </c>
      <c r="H38" s="1338">
        <v>1</v>
      </c>
      <c r="I38" s="1338" t="s">
        <v>992</v>
      </c>
      <c r="J38" s="1335">
        <v>51.523420000000002</v>
      </c>
      <c r="K38" s="1335">
        <v>100</v>
      </c>
      <c r="L38" s="1335">
        <v>0</v>
      </c>
      <c r="M38" s="1338" t="s">
        <v>895</v>
      </c>
      <c r="N38" s="1338" t="s">
        <v>948</v>
      </c>
      <c r="O38" s="1339">
        <v>42355</v>
      </c>
      <c r="P38" s="1339">
        <v>42416</v>
      </c>
      <c r="Q38" s="1338">
        <v>0</v>
      </c>
      <c r="R38" s="1338" t="s">
        <v>993</v>
      </c>
      <c r="S38" s="1338" t="s">
        <v>950</v>
      </c>
    </row>
    <row r="39" spans="1:20" s="1340" customFormat="1" ht="47.25" customHeight="1" x14ac:dyDescent="0.25">
      <c r="A39" s="1366" t="s">
        <v>990</v>
      </c>
      <c r="B39" s="1366"/>
      <c r="C39" s="1336" t="s">
        <v>247</v>
      </c>
      <c r="D39" s="1336" t="s">
        <v>929</v>
      </c>
      <c r="E39" s="1337" t="s">
        <v>994</v>
      </c>
      <c r="F39" s="1338" t="s">
        <v>180</v>
      </c>
      <c r="G39" s="1338" t="s">
        <v>898</v>
      </c>
      <c r="H39" s="1338">
        <v>1</v>
      </c>
      <c r="I39" s="1338" t="s">
        <v>995</v>
      </c>
      <c r="J39" s="1335">
        <v>27.479089999999999</v>
      </c>
      <c r="K39" s="1335">
        <v>100</v>
      </c>
      <c r="L39" s="1335">
        <v>0</v>
      </c>
      <c r="M39" s="1338" t="s">
        <v>895</v>
      </c>
      <c r="N39" s="1338" t="s">
        <v>948</v>
      </c>
      <c r="O39" s="1339">
        <v>42353</v>
      </c>
      <c r="P39" s="1339">
        <v>42401</v>
      </c>
      <c r="Q39" s="1338">
        <v>0</v>
      </c>
      <c r="R39" s="1338" t="s">
        <v>996</v>
      </c>
      <c r="S39" s="1338" t="s">
        <v>950</v>
      </c>
    </row>
    <row r="40" spans="1:20" s="1326" customFormat="1" x14ac:dyDescent="0.25">
      <c r="A40" s="1325"/>
      <c r="B40" s="1325"/>
      <c r="C40" s="1387">
        <v>2</v>
      </c>
      <c r="D40" s="1566" t="s">
        <v>1192</v>
      </c>
      <c r="E40" s="1566"/>
      <c r="F40" s="1566"/>
      <c r="G40" s="1566"/>
      <c r="H40" s="1566"/>
      <c r="I40" s="1566"/>
      <c r="J40" s="1566"/>
      <c r="K40" s="1566"/>
      <c r="L40" s="1566"/>
      <c r="M40" s="1566"/>
      <c r="N40" s="1566"/>
      <c r="O40" s="1566"/>
      <c r="P40" s="1566"/>
      <c r="Q40" s="1566"/>
      <c r="R40" s="1566"/>
      <c r="S40" s="1566"/>
    </row>
    <row r="41" spans="1:20" ht="12" customHeight="1" x14ac:dyDescent="0.25">
      <c r="C41" s="1576"/>
      <c r="D41" s="1565" t="s">
        <v>910</v>
      </c>
      <c r="E41" s="1565" t="s">
        <v>911</v>
      </c>
      <c r="F41" s="1565" t="s">
        <v>912</v>
      </c>
      <c r="G41" s="1565" t="s">
        <v>1191</v>
      </c>
      <c r="H41" s="1565" t="s">
        <v>914</v>
      </c>
      <c r="I41" s="1565" t="s">
        <v>915</v>
      </c>
      <c r="J41" s="1572" t="s">
        <v>916</v>
      </c>
      <c r="K41" s="1572"/>
      <c r="L41" s="1572"/>
      <c r="M41" s="1571" t="s">
        <v>917</v>
      </c>
      <c r="N41" s="1565" t="s">
        <v>918</v>
      </c>
      <c r="O41" s="1565" t="s">
        <v>919</v>
      </c>
      <c r="P41" s="1565"/>
      <c r="Q41" s="1565" t="s">
        <v>920</v>
      </c>
      <c r="R41" s="1565" t="s">
        <v>921</v>
      </c>
      <c r="S41" s="1565" t="s">
        <v>922</v>
      </c>
    </row>
    <row r="42" spans="1:20" ht="45.75" customHeight="1" x14ac:dyDescent="0.25">
      <c r="C42" s="1577"/>
      <c r="D42" s="1565"/>
      <c r="E42" s="1565"/>
      <c r="F42" s="1565"/>
      <c r="G42" s="1565"/>
      <c r="H42" s="1565"/>
      <c r="I42" s="1565"/>
      <c r="J42" s="1331" t="s">
        <v>1405</v>
      </c>
      <c r="K42" s="1388" t="s">
        <v>924</v>
      </c>
      <c r="L42" s="1388" t="s">
        <v>925</v>
      </c>
      <c r="M42" s="1571"/>
      <c r="N42" s="1565"/>
      <c r="O42" s="1332" t="s">
        <v>926</v>
      </c>
      <c r="P42" s="1332" t="s">
        <v>927</v>
      </c>
      <c r="Q42" s="1565"/>
      <c r="R42" s="1565"/>
      <c r="S42" s="1565"/>
    </row>
    <row r="43" spans="1:20" s="1340" customFormat="1" ht="354" customHeight="1" x14ac:dyDescent="0.25">
      <c r="A43" s="1366"/>
      <c r="B43" s="1366"/>
      <c r="C43" s="1336" t="s">
        <v>255</v>
      </c>
      <c r="D43" s="1336" t="s">
        <v>929</v>
      </c>
      <c r="E43" s="1337" t="s">
        <v>265</v>
      </c>
      <c r="F43" s="1481" t="s">
        <v>1408</v>
      </c>
      <c r="G43" s="1464" t="s">
        <v>898</v>
      </c>
      <c r="H43" s="1464">
        <v>7</v>
      </c>
      <c r="I43" s="1468">
        <v>0</v>
      </c>
      <c r="J43" s="1351">
        <v>126.69622</v>
      </c>
      <c r="K43" s="1335">
        <v>100</v>
      </c>
      <c r="L43" s="1335">
        <v>0</v>
      </c>
      <c r="M43" s="1338" t="s">
        <v>895</v>
      </c>
      <c r="N43" s="1341" t="s">
        <v>948</v>
      </c>
      <c r="O43" s="1368" t="s">
        <v>997</v>
      </c>
      <c r="P43" s="1368" t="s">
        <v>998</v>
      </c>
      <c r="Q43" s="1338">
        <v>0</v>
      </c>
      <c r="R43" s="1338" t="s">
        <v>1476</v>
      </c>
      <c r="S43" s="1338" t="s">
        <v>939</v>
      </c>
    </row>
    <row r="44" spans="1:20" s="1340" customFormat="1" ht="64.5" customHeight="1" x14ac:dyDescent="0.25">
      <c r="A44" s="1366"/>
      <c r="B44" s="1366" t="s">
        <v>942</v>
      </c>
      <c r="C44" s="1336" t="s">
        <v>322</v>
      </c>
      <c r="D44" s="1336" t="s">
        <v>929</v>
      </c>
      <c r="E44" s="1337" t="s">
        <v>338</v>
      </c>
      <c r="F44" s="1338" t="s">
        <v>1009</v>
      </c>
      <c r="G44" s="1338" t="s">
        <v>898</v>
      </c>
      <c r="H44" s="1338">
        <v>1</v>
      </c>
      <c r="I44" s="1343" t="s">
        <v>1010</v>
      </c>
      <c r="J44" s="1335">
        <v>25.004010000000001</v>
      </c>
      <c r="K44" s="1335">
        <v>100</v>
      </c>
      <c r="L44" s="1335">
        <v>0</v>
      </c>
      <c r="M44" s="1338" t="s">
        <v>253</v>
      </c>
      <c r="N44" s="1341" t="s">
        <v>948</v>
      </c>
      <c r="O44" s="1339">
        <v>42604</v>
      </c>
      <c r="P44" s="1339" t="s">
        <v>1011</v>
      </c>
      <c r="Q44" s="1338">
        <v>0</v>
      </c>
      <c r="R44" s="1338" t="s">
        <v>1012</v>
      </c>
      <c r="S44" s="1338" t="s">
        <v>950</v>
      </c>
    </row>
    <row r="45" spans="1:20" s="1340" customFormat="1" ht="46.5" customHeight="1" x14ac:dyDescent="0.25">
      <c r="A45" s="1366"/>
      <c r="B45" s="1366"/>
      <c r="C45" s="1336" t="s">
        <v>323</v>
      </c>
      <c r="D45" s="1336" t="s">
        <v>929</v>
      </c>
      <c r="E45" s="1337" t="s">
        <v>339</v>
      </c>
      <c r="F45" s="1338" t="s">
        <v>1013</v>
      </c>
      <c r="G45" s="1338" t="s">
        <v>898</v>
      </c>
      <c r="H45" s="1338">
        <v>1</v>
      </c>
      <c r="I45" s="1343" t="s">
        <v>1014</v>
      </c>
      <c r="J45" s="1335">
        <v>67.22350999999999</v>
      </c>
      <c r="K45" s="1335">
        <v>100</v>
      </c>
      <c r="L45" s="1335">
        <v>0</v>
      </c>
      <c r="M45" s="1338" t="s">
        <v>253</v>
      </c>
      <c r="N45" s="1341" t="s">
        <v>948</v>
      </c>
      <c r="O45" s="1339">
        <v>42660</v>
      </c>
      <c r="P45" s="1339">
        <v>42705</v>
      </c>
      <c r="Q45" s="1338">
        <v>0</v>
      </c>
      <c r="R45" s="1338" t="s">
        <v>858</v>
      </c>
      <c r="S45" s="1338" t="s">
        <v>950</v>
      </c>
    </row>
    <row r="46" spans="1:20" s="1340" customFormat="1" ht="46.5" customHeight="1" x14ac:dyDescent="0.25">
      <c r="A46" s="1366"/>
      <c r="B46" s="1366"/>
      <c r="C46" s="1466" t="s">
        <v>1398</v>
      </c>
      <c r="D46" s="1466" t="s">
        <v>929</v>
      </c>
      <c r="E46" s="1337" t="s">
        <v>1433</v>
      </c>
      <c r="F46" s="1464">
        <v>0</v>
      </c>
      <c r="G46" s="1464" t="s">
        <v>898</v>
      </c>
      <c r="H46" s="1473">
        <v>1</v>
      </c>
      <c r="I46" s="1343">
        <v>0</v>
      </c>
      <c r="J46" s="1335">
        <v>15.363239999999999</v>
      </c>
      <c r="K46" s="1335">
        <v>100</v>
      </c>
      <c r="L46" s="1335">
        <v>0</v>
      </c>
      <c r="M46" s="1464" t="s">
        <v>253</v>
      </c>
      <c r="N46" s="1341" t="s">
        <v>948</v>
      </c>
      <c r="O46" s="1359">
        <v>43647</v>
      </c>
      <c r="P46" s="1360">
        <v>43678</v>
      </c>
      <c r="Q46" s="1464">
        <v>0</v>
      </c>
      <c r="R46" s="1464">
        <v>0</v>
      </c>
      <c r="S46" s="1464" t="s">
        <v>944</v>
      </c>
      <c r="T46" s="1458"/>
    </row>
    <row r="47" spans="1:20" s="1326" customFormat="1" x14ac:dyDescent="0.25">
      <c r="A47" s="1325"/>
      <c r="B47" s="1325"/>
      <c r="C47" s="1325"/>
      <c r="D47" s="1393"/>
      <c r="E47" s="1392"/>
      <c r="F47" s="1393"/>
      <c r="G47" s="1392"/>
      <c r="H47" s="1392"/>
      <c r="I47" s="1326" t="s">
        <v>0</v>
      </c>
      <c r="J47" s="1394">
        <f>SUM(J31:J46)</f>
        <v>900.42955000000006</v>
      </c>
      <c r="K47" s="1395"/>
      <c r="L47" s="1395"/>
      <c r="M47" s="1392"/>
      <c r="N47" s="1392"/>
      <c r="O47" s="1392"/>
      <c r="P47" s="1392"/>
      <c r="Q47" s="1392"/>
      <c r="R47" s="1392"/>
      <c r="S47" s="1393"/>
    </row>
    <row r="49" spans="1:19" ht="15.75" customHeight="1" x14ac:dyDescent="0.25">
      <c r="C49" s="1387">
        <v>3</v>
      </c>
      <c r="D49" s="1566" t="s">
        <v>1193</v>
      </c>
      <c r="E49" s="1566"/>
      <c r="F49" s="1566"/>
      <c r="G49" s="1566"/>
      <c r="H49" s="1566"/>
      <c r="I49" s="1566"/>
      <c r="J49" s="1566"/>
      <c r="K49" s="1566"/>
      <c r="L49" s="1566"/>
      <c r="M49" s="1566"/>
      <c r="N49" s="1566"/>
      <c r="O49" s="1566"/>
      <c r="P49" s="1566"/>
      <c r="Q49" s="1566"/>
      <c r="R49" s="1566"/>
      <c r="S49" s="1566"/>
    </row>
    <row r="50" spans="1:19" ht="15" customHeight="1" x14ac:dyDescent="0.25">
      <c r="C50" s="1576"/>
      <c r="D50" s="1565" t="s">
        <v>910</v>
      </c>
      <c r="E50" s="1565" t="s">
        <v>1194</v>
      </c>
      <c r="F50" s="1565" t="s">
        <v>912</v>
      </c>
      <c r="G50" s="1565" t="s">
        <v>1191</v>
      </c>
      <c r="H50" s="1565" t="s">
        <v>914</v>
      </c>
      <c r="I50" s="1565" t="s">
        <v>915</v>
      </c>
      <c r="J50" s="1572" t="s">
        <v>1195</v>
      </c>
      <c r="K50" s="1572"/>
      <c r="L50" s="1572"/>
      <c r="M50" s="1565" t="s">
        <v>917</v>
      </c>
      <c r="N50" s="1565" t="s">
        <v>1196</v>
      </c>
      <c r="O50" s="1565" t="s">
        <v>1197</v>
      </c>
      <c r="P50" s="1565"/>
      <c r="Q50" s="1565" t="s">
        <v>1198</v>
      </c>
      <c r="R50" s="1565" t="s">
        <v>921</v>
      </c>
      <c r="S50" s="1565" t="s">
        <v>922</v>
      </c>
    </row>
    <row r="51" spans="1:19" ht="52.5" customHeight="1" x14ac:dyDescent="0.25">
      <c r="C51" s="1577"/>
      <c r="D51" s="1565"/>
      <c r="E51" s="1565"/>
      <c r="F51" s="1565"/>
      <c r="G51" s="1565"/>
      <c r="H51" s="1565"/>
      <c r="I51" s="1565"/>
      <c r="J51" s="1331" t="s">
        <v>1405</v>
      </c>
      <c r="K51" s="1388" t="s">
        <v>924</v>
      </c>
      <c r="L51" s="1388" t="s">
        <v>925</v>
      </c>
      <c r="M51" s="1565"/>
      <c r="N51" s="1565"/>
      <c r="O51" s="1332" t="s">
        <v>926</v>
      </c>
      <c r="P51" s="1332" t="s">
        <v>927</v>
      </c>
      <c r="Q51" s="1565"/>
      <c r="R51" s="1565"/>
      <c r="S51" s="1565"/>
    </row>
    <row r="52" spans="1:19" ht="74.25" customHeight="1" x14ac:dyDescent="0.25">
      <c r="A52" s="1327" t="s">
        <v>1015</v>
      </c>
      <c r="C52" s="1336" t="s">
        <v>349</v>
      </c>
      <c r="D52" s="1336" t="s">
        <v>929</v>
      </c>
      <c r="E52" s="1337" t="s">
        <v>1016</v>
      </c>
      <c r="F52" s="1338" t="s">
        <v>1246</v>
      </c>
      <c r="G52" s="1338" t="s">
        <v>930</v>
      </c>
      <c r="H52" s="1338">
        <v>1</v>
      </c>
      <c r="I52" s="1338" t="s">
        <v>1017</v>
      </c>
      <c r="J52" s="1335">
        <v>253.31840999999997</v>
      </c>
      <c r="K52" s="1335">
        <v>100</v>
      </c>
      <c r="L52" s="1335">
        <v>0</v>
      </c>
      <c r="M52" s="1338" t="s">
        <v>901</v>
      </c>
      <c r="N52" s="1341" t="s">
        <v>948</v>
      </c>
      <c r="O52" s="1339">
        <v>41879</v>
      </c>
      <c r="P52" s="1339">
        <v>42142</v>
      </c>
      <c r="Q52" s="1338">
        <v>0</v>
      </c>
      <c r="R52" s="1338" t="s">
        <v>1018</v>
      </c>
      <c r="S52" s="1338" t="s">
        <v>950</v>
      </c>
    </row>
    <row r="53" spans="1:19" ht="83.25" customHeight="1" x14ac:dyDescent="0.25">
      <c r="A53" s="1327" t="s">
        <v>1019</v>
      </c>
      <c r="C53" s="1336" t="s">
        <v>350</v>
      </c>
      <c r="D53" s="1336" t="s">
        <v>929</v>
      </c>
      <c r="E53" s="1337" t="s">
        <v>880</v>
      </c>
      <c r="F53" s="1338" t="s">
        <v>1020</v>
      </c>
      <c r="G53" s="1338" t="s">
        <v>930</v>
      </c>
      <c r="H53" s="1338">
        <v>1</v>
      </c>
      <c r="I53" s="1338" t="s">
        <v>1021</v>
      </c>
      <c r="J53" s="1335">
        <v>1220.1079999999999</v>
      </c>
      <c r="K53" s="1335">
        <v>100</v>
      </c>
      <c r="L53" s="1335">
        <v>0</v>
      </c>
      <c r="M53" s="1338" t="s">
        <v>901</v>
      </c>
      <c r="N53" s="1341" t="s">
        <v>948</v>
      </c>
      <c r="O53" s="1339">
        <v>41718</v>
      </c>
      <c r="P53" s="1339">
        <v>41852</v>
      </c>
      <c r="Q53" s="1338">
        <v>0</v>
      </c>
      <c r="R53" s="1338" t="s">
        <v>1022</v>
      </c>
      <c r="S53" s="1338" t="s">
        <v>950</v>
      </c>
    </row>
    <row r="54" spans="1:19" s="1334" customFormat="1" ht="48.75" customHeight="1" x14ac:dyDescent="0.25">
      <c r="A54" s="1333" t="s">
        <v>1026</v>
      </c>
      <c r="B54" s="1333"/>
      <c r="C54" s="1336" t="s">
        <v>368</v>
      </c>
      <c r="D54" s="1336" t="s">
        <v>929</v>
      </c>
      <c r="E54" s="1337" t="s">
        <v>385</v>
      </c>
      <c r="F54" s="1355" t="s">
        <v>1027</v>
      </c>
      <c r="G54" s="1338" t="s">
        <v>930</v>
      </c>
      <c r="H54" s="1338">
        <v>1</v>
      </c>
      <c r="I54" s="1338" t="s">
        <v>1028</v>
      </c>
      <c r="J54" s="1335">
        <v>142.86403999999999</v>
      </c>
      <c r="K54" s="1335">
        <v>100</v>
      </c>
      <c r="L54" s="1335">
        <v>0</v>
      </c>
      <c r="M54" s="1338" t="s">
        <v>901</v>
      </c>
      <c r="N54" s="1341" t="s">
        <v>948</v>
      </c>
      <c r="O54" s="1339">
        <v>42466</v>
      </c>
      <c r="P54" s="1339">
        <v>42583</v>
      </c>
      <c r="Q54" s="1338">
        <v>0</v>
      </c>
      <c r="R54" s="1338" t="s">
        <v>875</v>
      </c>
      <c r="S54" s="1338" t="s">
        <v>950</v>
      </c>
    </row>
    <row r="55" spans="1:19" s="1334" customFormat="1" ht="123.75" customHeight="1" x14ac:dyDescent="0.25">
      <c r="A55" s="1333" t="s">
        <v>286</v>
      </c>
      <c r="B55" s="1333"/>
      <c r="C55" s="1336" t="s">
        <v>351</v>
      </c>
      <c r="D55" s="1336" t="s">
        <v>929</v>
      </c>
      <c r="E55" s="1337" t="s">
        <v>1029</v>
      </c>
      <c r="F55" s="1355" t="s">
        <v>1245</v>
      </c>
      <c r="G55" s="1338" t="s">
        <v>930</v>
      </c>
      <c r="H55" s="1338">
        <v>1</v>
      </c>
      <c r="I55" s="1338" t="s">
        <v>1030</v>
      </c>
      <c r="J55" s="1335">
        <v>815.31160000000011</v>
      </c>
      <c r="K55" s="1335">
        <v>100</v>
      </c>
      <c r="L55" s="1335">
        <v>0</v>
      </c>
      <c r="M55" s="1338" t="s">
        <v>901</v>
      </c>
      <c r="N55" s="1341" t="s">
        <v>948</v>
      </c>
      <c r="O55" s="1339">
        <v>42321</v>
      </c>
      <c r="P55" s="1339">
        <v>42432</v>
      </c>
      <c r="Q55" s="1338">
        <v>0</v>
      </c>
      <c r="R55" s="1338" t="s">
        <v>1031</v>
      </c>
      <c r="S55" s="1338" t="s">
        <v>950</v>
      </c>
    </row>
    <row r="56" spans="1:19" s="1334" customFormat="1" ht="33.75" x14ac:dyDescent="0.25">
      <c r="A56" s="1333"/>
      <c r="B56" s="1333"/>
      <c r="C56" s="1336" t="s">
        <v>256</v>
      </c>
      <c r="D56" s="1336" t="s">
        <v>929</v>
      </c>
      <c r="E56" s="1337" t="s">
        <v>266</v>
      </c>
      <c r="F56" s="1355" t="s">
        <v>1032</v>
      </c>
      <c r="G56" s="1338" t="s">
        <v>898</v>
      </c>
      <c r="H56" s="1338">
        <v>1</v>
      </c>
      <c r="I56" s="1338">
        <v>0</v>
      </c>
      <c r="J56" s="1335">
        <v>107.59063999999998</v>
      </c>
      <c r="K56" s="1335">
        <v>100</v>
      </c>
      <c r="L56" s="1335">
        <v>0</v>
      </c>
      <c r="M56" s="1338" t="s">
        <v>895</v>
      </c>
      <c r="N56" s="1341" t="s">
        <v>948</v>
      </c>
      <c r="O56" s="1339">
        <v>42468</v>
      </c>
      <c r="P56" s="1339">
        <v>42523</v>
      </c>
      <c r="Q56" s="1338">
        <v>0</v>
      </c>
      <c r="R56" s="1338" t="s">
        <v>736</v>
      </c>
      <c r="S56" s="1338" t="s">
        <v>950</v>
      </c>
    </row>
    <row r="57" spans="1:19" s="1334" customFormat="1" ht="68.25" customHeight="1" x14ac:dyDescent="0.25">
      <c r="A57" s="1333"/>
      <c r="B57" s="1333"/>
      <c r="C57" s="1336" t="s">
        <v>245</v>
      </c>
      <c r="D57" s="1336" t="s">
        <v>929</v>
      </c>
      <c r="E57" s="1337" t="s">
        <v>1033</v>
      </c>
      <c r="F57" s="1355" t="s">
        <v>1034</v>
      </c>
      <c r="G57" s="1338" t="s">
        <v>898</v>
      </c>
      <c r="H57" s="1338">
        <v>1</v>
      </c>
      <c r="I57" s="1338">
        <v>0</v>
      </c>
      <c r="J57" s="1335">
        <v>112.70953</v>
      </c>
      <c r="K57" s="1335">
        <v>100</v>
      </c>
      <c r="L57" s="1335">
        <v>0</v>
      </c>
      <c r="M57" s="1338" t="s">
        <v>895</v>
      </c>
      <c r="N57" s="1341" t="s">
        <v>948</v>
      </c>
      <c r="O57" s="1339">
        <v>42468</v>
      </c>
      <c r="P57" s="1339">
        <v>42522</v>
      </c>
      <c r="Q57" s="1338">
        <v>0</v>
      </c>
      <c r="R57" s="1338" t="s">
        <v>142</v>
      </c>
      <c r="S57" s="1338" t="s">
        <v>950</v>
      </c>
    </row>
    <row r="58" spans="1:19" s="1334" customFormat="1" ht="69.75" customHeight="1" x14ac:dyDescent="0.25">
      <c r="A58" s="1333"/>
      <c r="B58" s="1333"/>
      <c r="C58" s="1336" t="s">
        <v>244</v>
      </c>
      <c r="D58" s="1336" t="s">
        <v>929</v>
      </c>
      <c r="E58" s="1337" t="s">
        <v>1035</v>
      </c>
      <c r="F58" s="1355" t="s">
        <v>1036</v>
      </c>
      <c r="G58" s="1338" t="s">
        <v>898</v>
      </c>
      <c r="H58" s="1338">
        <v>1</v>
      </c>
      <c r="I58" s="1338" t="s">
        <v>1037</v>
      </c>
      <c r="J58" s="1335">
        <v>79.009460000000018</v>
      </c>
      <c r="K58" s="1335">
        <v>100</v>
      </c>
      <c r="L58" s="1335">
        <v>0</v>
      </c>
      <c r="M58" s="1338" t="s">
        <v>895</v>
      </c>
      <c r="N58" s="1341" t="s">
        <v>948</v>
      </c>
      <c r="O58" s="1339">
        <v>42467</v>
      </c>
      <c r="P58" s="1339">
        <v>42495</v>
      </c>
      <c r="Q58" s="1338">
        <v>0</v>
      </c>
      <c r="R58" s="1338" t="s">
        <v>134</v>
      </c>
      <c r="S58" s="1338" t="s">
        <v>939</v>
      </c>
    </row>
    <row r="59" spans="1:19" s="1334" customFormat="1" ht="45" x14ac:dyDescent="0.25">
      <c r="A59" s="1333"/>
      <c r="B59" s="1333"/>
      <c r="C59" s="1336" t="s">
        <v>246</v>
      </c>
      <c r="D59" s="1336" t="s">
        <v>929</v>
      </c>
      <c r="E59" s="1337" t="s">
        <v>1039</v>
      </c>
      <c r="F59" s="1355" t="s">
        <v>179</v>
      </c>
      <c r="G59" s="1338" t="s">
        <v>898</v>
      </c>
      <c r="H59" s="1338">
        <v>1</v>
      </c>
      <c r="I59" s="1343" t="s">
        <v>1040</v>
      </c>
      <c r="J59" s="1351">
        <v>30.477630000000001</v>
      </c>
      <c r="K59" s="1335">
        <v>100</v>
      </c>
      <c r="L59" s="1335">
        <v>0</v>
      </c>
      <c r="M59" s="1347" t="s">
        <v>895</v>
      </c>
      <c r="N59" s="1341" t="s">
        <v>948</v>
      </c>
      <c r="O59" s="1339">
        <v>42468</v>
      </c>
      <c r="P59" s="1339">
        <v>42583</v>
      </c>
      <c r="Q59" s="1338">
        <v>0</v>
      </c>
      <c r="R59" s="1338" t="s">
        <v>718</v>
      </c>
      <c r="S59" s="1338" t="s">
        <v>950</v>
      </c>
    </row>
    <row r="60" spans="1:19" s="1334" customFormat="1" ht="33.75" x14ac:dyDescent="0.25">
      <c r="A60" s="1333"/>
      <c r="B60" s="1333"/>
      <c r="C60" s="1336" t="s">
        <v>878</v>
      </c>
      <c r="D60" s="1336" t="s">
        <v>929</v>
      </c>
      <c r="E60" s="1337" t="s">
        <v>385</v>
      </c>
      <c r="F60" s="1354" t="s">
        <v>1041</v>
      </c>
      <c r="G60" s="1338" t="s">
        <v>898</v>
      </c>
      <c r="H60" s="1338">
        <v>1</v>
      </c>
      <c r="I60" s="1343" t="s">
        <v>1042</v>
      </c>
      <c r="J60" s="1335">
        <v>64.017939999999996</v>
      </c>
      <c r="K60" s="1335">
        <v>100</v>
      </c>
      <c r="L60" s="1335">
        <v>0</v>
      </c>
      <c r="M60" s="1464" t="s">
        <v>901</v>
      </c>
      <c r="N60" s="1341" t="s">
        <v>948</v>
      </c>
      <c r="O60" s="1339">
        <v>42976</v>
      </c>
      <c r="P60" s="1339">
        <v>43010</v>
      </c>
      <c r="Q60" s="1464">
        <v>0</v>
      </c>
      <c r="R60" s="1464" t="s">
        <v>1238</v>
      </c>
      <c r="S60" s="1464" t="s">
        <v>950</v>
      </c>
    </row>
    <row r="61" spans="1:19" s="1334" customFormat="1" ht="36.75" customHeight="1" x14ac:dyDescent="0.25">
      <c r="A61" s="1333"/>
      <c r="B61" s="1333"/>
      <c r="C61" s="1336" t="s">
        <v>881</v>
      </c>
      <c r="D61" s="1336" t="s">
        <v>929</v>
      </c>
      <c r="E61" s="1337" t="s">
        <v>1043</v>
      </c>
      <c r="F61" s="1354" t="s">
        <v>1044</v>
      </c>
      <c r="G61" s="1338" t="s">
        <v>898</v>
      </c>
      <c r="H61" s="1338">
        <v>1</v>
      </c>
      <c r="I61" s="1343">
        <v>0</v>
      </c>
      <c r="J61" s="1335">
        <v>42.930619999999998</v>
      </c>
      <c r="K61" s="1335">
        <v>100</v>
      </c>
      <c r="L61" s="1335">
        <v>0</v>
      </c>
      <c r="M61" s="1465" t="s">
        <v>895</v>
      </c>
      <c r="N61" s="1341" t="s">
        <v>948</v>
      </c>
      <c r="O61" s="1339">
        <v>42950</v>
      </c>
      <c r="P61" s="1339">
        <v>42982</v>
      </c>
      <c r="Q61" s="1464">
        <v>0</v>
      </c>
      <c r="R61" s="1464" t="s">
        <v>1239</v>
      </c>
      <c r="S61" s="1464" t="s">
        <v>939</v>
      </c>
    </row>
    <row r="62" spans="1:19" s="1334" customFormat="1" ht="52.5" customHeight="1" x14ac:dyDescent="0.25">
      <c r="A62" s="1333"/>
      <c r="B62" s="1333"/>
      <c r="C62" s="1336" t="s">
        <v>885</v>
      </c>
      <c r="D62" s="1336" t="s">
        <v>929</v>
      </c>
      <c r="E62" s="1337" t="s">
        <v>880</v>
      </c>
      <c r="F62" s="1354"/>
      <c r="G62" s="1338" t="s">
        <v>930</v>
      </c>
      <c r="H62" s="1338">
        <v>1</v>
      </c>
      <c r="I62" s="1343" t="s">
        <v>1327</v>
      </c>
      <c r="J62" s="1335">
        <v>291.98023999999998</v>
      </c>
      <c r="K62" s="1335">
        <v>100</v>
      </c>
      <c r="L62" s="1335">
        <v>0</v>
      </c>
      <c r="M62" s="1465" t="s">
        <v>901</v>
      </c>
      <c r="N62" s="1341" t="s">
        <v>948</v>
      </c>
      <c r="O62" s="1339">
        <v>43579</v>
      </c>
      <c r="P62" s="1360">
        <v>43618</v>
      </c>
      <c r="Q62" s="1464">
        <v>0</v>
      </c>
      <c r="R62" s="1464">
        <v>0</v>
      </c>
      <c r="S62" s="1464" t="s">
        <v>1178</v>
      </c>
    </row>
    <row r="63" spans="1:19" s="1334" customFormat="1" ht="52.5" customHeight="1" x14ac:dyDescent="0.25">
      <c r="A63" s="1333"/>
      <c r="B63" s="1333"/>
      <c r="C63" s="1449" t="s">
        <v>1263</v>
      </c>
      <c r="D63" s="1449" t="s">
        <v>929</v>
      </c>
      <c r="E63" s="1337" t="s">
        <v>1271</v>
      </c>
      <c r="F63" s="1354"/>
      <c r="G63" s="1455" t="s">
        <v>930</v>
      </c>
      <c r="H63" s="1473">
        <v>1</v>
      </c>
      <c r="I63" s="1343"/>
      <c r="J63" s="1335">
        <v>157.54378</v>
      </c>
      <c r="K63" s="1335">
        <v>100</v>
      </c>
      <c r="L63" s="1335">
        <v>0</v>
      </c>
      <c r="M63" s="1465" t="s">
        <v>253</v>
      </c>
      <c r="N63" s="1341" t="s">
        <v>948</v>
      </c>
      <c r="O63" s="1339">
        <v>43586</v>
      </c>
      <c r="P63" s="1360">
        <v>43647</v>
      </c>
      <c r="Q63" s="1464">
        <v>0</v>
      </c>
      <c r="R63" s="1464">
        <v>0</v>
      </c>
      <c r="S63" s="1464" t="s">
        <v>944</v>
      </c>
    </row>
    <row r="64" spans="1:19" s="1334" customFormat="1" ht="30.75" customHeight="1" x14ac:dyDescent="0.25">
      <c r="A64" s="1333"/>
      <c r="B64" s="1333"/>
      <c r="C64" s="1449" t="s">
        <v>1292</v>
      </c>
      <c r="D64" s="1449" t="s">
        <v>929</v>
      </c>
      <c r="E64" s="1337" t="s">
        <v>1282</v>
      </c>
      <c r="F64" s="1354"/>
      <c r="G64" s="1450" t="s">
        <v>898</v>
      </c>
      <c r="H64" s="1473">
        <v>1</v>
      </c>
      <c r="I64" s="1343"/>
      <c r="J64" s="1335">
        <v>54.054050000000004</v>
      </c>
      <c r="K64" s="1335">
        <v>100</v>
      </c>
      <c r="L64" s="1335">
        <v>0</v>
      </c>
      <c r="M64" s="1465" t="s">
        <v>253</v>
      </c>
      <c r="N64" s="1341" t="s">
        <v>948</v>
      </c>
      <c r="O64" s="1339">
        <v>43586</v>
      </c>
      <c r="P64" s="1360">
        <v>43617</v>
      </c>
      <c r="Q64" s="1464">
        <v>0</v>
      </c>
      <c r="R64" s="1464">
        <v>0</v>
      </c>
      <c r="S64" s="1464" t="s">
        <v>944</v>
      </c>
    </row>
    <row r="65" spans="1:20" s="1334" customFormat="1" ht="31.5" customHeight="1" x14ac:dyDescent="0.25">
      <c r="A65" s="1333"/>
      <c r="B65" s="1333"/>
      <c r="C65" s="1449" t="s">
        <v>1295</v>
      </c>
      <c r="D65" s="1449" t="s">
        <v>929</v>
      </c>
      <c r="E65" s="1337" t="s">
        <v>1296</v>
      </c>
      <c r="F65" s="1354"/>
      <c r="G65" s="1450" t="s">
        <v>898</v>
      </c>
      <c r="H65" s="1473">
        <v>1</v>
      </c>
      <c r="I65" s="1343"/>
      <c r="J65" s="1335">
        <v>54.054050000000004</v>
      </c>
      <c r="K65" s="1335">
        <v>100</v>
      </c>
      <c r="L65" s="1335">
        <v>0</v>
      </c>
      <c r="M65" s="1465" t="s">
        <v>901</v>
      </c>
      <c r="N65" s="1341" t="s">
        <v>948</v>
      </c>
      <c r="O65" s="1339">
        <v>43586</v>
      </c>
      <c r="P65" s="1360">
        <v>43617</v>
      </c>
      <c r="Q65" s="1464">
        <v>0</v>
      </c>
      <c r="R65" s="1464">
        <v>0</v>
      </c>
      <c r="S65" s="1464" t="s">
        <v>944</v>
      </c>
    </row>
    <row r="66" spans="1:20" s="1326" customFormat="1" x14ac:dyDescent="0.25">
      <c r="A66" s="1325"/>
      <c r="B66" s="1325"/>
      <c r="C66" s="1325"/>
      <c r="D66" s="1393"/>
      <c r="E66" s="1392"/>
      <c r="F66" s="1393"/>
      <c r="G66" s="1392"/>
      <c r="H66" s="1392"/>
      <c r="I66" s="1326" t="s">
        <v>0</v>
      </c>
      <c r="J66" s="1394">
        <f>SUM(J52:J65)</f>
        <v>3425.9699900000005</v>
      </c>
      <c r="K66" s="1395"/>
      <c r="L66" s="1395"/>
      <c r="M66" s="1392"/>
      <c r="N66" s="1392"/>
      <c r="O66" s="1392"/>
      <c r="P66" s="1392"/>
      <c r="Q66" s="1392"/>
      <c r="R66" s="1392"/>
      <c r="S66" s="1393"/>
    </row>
    <row r="68" spans="1:20" ht="15.75" customHeight="1" x14ac:dyDescent="0.25">
      <c r="C68" s="1387">
        <v>4</v>
      </c>
      <c r="D68" s="1566" t="s">
        <v>1199</v>
      </c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</row>
    <row r="69" spans="1:20" ht="15" customHeight="1" x14ac:dyDescent="0.25">
      <c r="C69" s="1576"/>
      <c r="D69" s="1565" t="s">
        <v>910</v>
      </c>
      <c r="E69" s="1565" t="s">
        <v>1194</v>
      </c>
      <c r="F69" s="1565" t="s">
        <v>912</v>
      </c>
      <c r="G69" s="1565" t="s">
        <v>1191</v>
      </c>
      <c r="H69" s="1579" t="s">
        <v>915</v>
      </c>
      <c r="I69" s="1580"/>
      <c r="J69" s="1572" t="s">
        <v>1195</v>
      </c>
      <c r="K69" s="1572"/>
      <c r="L69" s="1572"/>
      <c r="M69" s="1565" t="s">
        <v>917</v>
      </c>
      <c r="N69" s="1565" t="s">
        <v>1196</v>
      </c>
      <c r="O69" s="1565" t="s">
        <v>1197</v>
      </c>
      <c r="P69" s="1565"/>
      <c r="Q69" s="1565" t="s">
        <v>1198</v>
      </c>
      <c r="R69" s="1565" t="s">
        <v>921</v>
      </c>
      <c r="S69" s="1565" t="s">
        <v>922</v>
      </c>
    </row>
    <row r="70" spans="1:20" ht="45" customHeight="1" x14ac:dyDescent="0.25">
      <c r="C70" s="1577"/>
      <c r="D70" s="1565"/>
      <c r="E70" s="1565"/>
      <c r="F70" s="1565"/>
      <c r="G70" s="1565"/>
      <c r="H70" s="1581"/>
      <c r="I70" s="1582"/>
      <c r="J70" s="1331" t="s">
        <v>1405</v>
      </c>
      <c r="K70" s="1331" t="s">
        <v>924</v>
      </c>
      <c r="L70" s="1388" t="s">
        <v>925</v>
      </c>
      <c r="M70" s="1565"/>
      <c r="N70" s="1565"/>
      <c r="O70" s="1332" t="s">
        <v>1200</v>
      </c>
      <c r="P70" s="1332" t="s">
        <v>927</v>
      </c>
      <c r="Q70" s="1565"/>
      <c r="R70" s="1565"/>
      <c r="S70" s="1565"/>
    </row>
    <row r="71" spans="1:20" s="1334" customFormat="1" ht="81.75" customHeight="1" x14ac:dyDescent="0.25">
      <c r="A71" s="1333" t="s">
        <v>1045</v>
      </c>
      <c r="B71" s="1333"/>
      <c r="C71" s="1336" t="s">
        <v>273</v>
      </c>
      <c r="D71" s="1336" t="s">
        <v>929</v>
      </c>
      <c r="E71" s="1337" t="s">
        <v>1046</v>
      </c>
      <c r="F71" s="1338" t="s">
        <v>191</v>
      </c>
      <c r="G71" s="1338" t="s">
        <v>903</v>
      </c>
      <c r="H71" s="1564" t="s">
        <v>1047</v>
      </c>
      <c r="I71" s="1564"/>
      <c r="J71" s="1335">
        <v>18772.892459999995</v>
      </c>
      <c r="K71" s="1335">
        <v>32.100468709551222</v>
      </c>
      <c r="L71" s="1335">
        <v>67.899531290448778</v>
      </c>
      <c r="M71" s="1342" t="s">
        <v>1429</v>
      </c>
      <c r="N71" s="1341" t="s">
        <v>931</v>
      </c>
      <c r="O71" s="1339">
        <v>39961</v>
      </c>
      <c r="P71" s="1339">
        <v>40210</v>
      </c>
      <c r="Q71" s="1349">
        <v>0</v>
      </c>
      <c r="R71" s="1338" t="s">
        <v>1048</v>
      </c>
      <c r="S71" s="1338" t="s">
        <v>950</v>
      </c>
    </row>
    <row r="72" spans="1:20" s="1334" customFormat="1" ht="89.25" customHeight="1" x14ac:dyDescent="0.25">
      <c r="A72" s="1333" t="s">
        <v>1049</v>
      </c>
      <c r="B72" s="1333"/>
      <c r="C72" s="1336" t="s">
        <v>274</v>
      </c>
      <c r="D72" s="1336" t="s">
        <v>929</v>
      </c>
      <c r="E72" s="1337" t="s">
        <v>1050</v>
      </c>
      <c r="F72" s="1338" t="s">
        <v>1051</v>
      </c>
      <c r="G72" s="1338" t="s">
        <v>903</v>
      </c>
      <c r="H72" s="1564" t="s">
        <v>1052</v>
      </c>
      <c r="I72" s="1564"/>
      <c r="J72" s="1335">
        <v>10644.171529999998</v>
      </c>
      <c r="K72" s="1335">
        <v>16.410434340304175</v>
      </c>
      <c r="L72" s="1335">
        <v>83.589565659695836</v>
      </c>
      <c r="M72" s="1342" t="s">
        <v>1429</v>
      </c>
      <c r="N72" s="1341" t="s">
        <v>931</v>
      </c>
      <c r="O72" s="1339">
        <v>39974</v>
      </c>
      <c r="P72" s="1339">
        <v>40115</v>
      </c>
      <c r="Q72" s="1349">
        <v>0</v>
      </c>
      <c r="R72" s="1338" t="s">
        <v>1053</v>
      </c>
      <c r="S72" s="1338" t="s">
        <v>950</v>
      </c>
    </row>
    <row r="73" spans="1:20" s="1334" customFormat="1" ht="76.5" customHeight="1" x14ac:dyDescent="0.25">
      <c r="A73" s="1333" t="s">
        <v>1054</v>
      </c>
      <c r="B73" s="1333"/>
      <c r="C73" s="1336" t="s">
        <v>398</v>
      </c>
      <c r="D73" s="1336" t="s">
        <v>929</v>
      </c>
      <c r="E73" s="1358" t="s">
        <v>402</v>
      </c>
      <c r="F73" s="1338" t="s">
        <v>1055</v>
      </c>
      <c r="G73" s="1338" t="s">
        <v>903</v>
      </c>
      <c r="H73" s="1564" t="s">
        <v>1056</v>
      </c>
      <c r="I73" s="1564"/>
      <c r="J73" s="1335">
        <v>88.679609999999983</v>
      </c>
      <c r="K73" s="1351">
        <v>100</v>
      </c>
      <c r="L73" s="1335">
        <v>0</v>
      </c>
      <c r="M73" s="1336" t="s">
        <v>902</v>
      </c>
      <c r="N73" s="1341" t="s">
        <v>931</v>
      </c>
      <c r="O73" s="1339">
        <v>42194</v>
      </c>
      <c r="P73" s="1339">
        <v>42461</v>
      </c>
      <c r="Q73" s="1349">
        <v>0</v>
      </c>
      <c r="R73" s="1338" t="s">
        <v>722</v>
      </c>
      <c r="S73" s="1338" t="s">
        <v>950</v>
      </c>
      <c r="T73" s="1396"/>
    </row>
    <row r="74" spans="1:20" s="1334" customFormat="1" ht="63.75" customHeight="1" x14ac:dyDescent="0.25">
      <c r="A74" s="1333" t="s">
        <v>904</v>
      </c>
      <c r="B74" s="1333"/>
      <c r="C74" s="1336" t="s">
        <v>347</v>
      </c>
      <c r="D74" s="1336" t="s">
        <v>929</v>
      </c>
      <c r="E74" s="1337" t="s">
        <v>1057</v>
      </c>
      <c r="F74" s="1338" t="s">
        <v>205</v>
      </c>
      <c r="G74" s="1338" t="s">
        <v>946</v>
      </c>
      <c r="H74" s="1564" t="s">
        <v>1058</v>
      </c>
      <c r="I74" s="1564"/>
      <c r="J74" s="1351">
        <v>86.036360000000002</v>
      </c>
      <c r="K74" s="1351">
        <v>100</v>
      </c>
      <c r="L74" s="1335">
        <v>0</v>
      </c>
      <c r="M74" s="1336" t="s">
        <v>901</v>
      </c>
      <c r="N74" s="1341" t="s">
        <v>931</v>
      </c>
      <c r="O74" s="1339">
        <v>41597</v>
      </c>
      <c r="P74" s="1339">
        <v>41673</v>
      </c>
      <c r="Q74" s="1338">
        <v>0</v>
      </c>
      <c r="R74" s="1338" t="s">
        <v>1059</v>
      </c>
      <c r="S74" s="1338" t="s">
        <v>950</v>
      </c>
    </row>
    <row r="75" spans="1:20" s="1334" customFormat="1" ht="83.25" customHeight="1" x14ac:dyDescent="0.25">
      <c r="A75" s="1333" t="s">
        <v>1060</v>
      </c>
      <c r="B75" s="1333"/>
      <c r="C75" s="1336" t="s">
        <v>236</v>
      </c>
      <c r="D75" s="1336" t="s">
        <v>929</v>
      </c>
      <c r="E75" s="1337" t="s">
        <v>1061</v>
      </c>
      <c r="F75" s="1338" t="s">
        <v>169</v>
      </c>
      <c r="G75" s="1338" t="s">
        <v>896</v>
      </c>
      <c r="H75" s="1564" t="s">
        <v>1062</v>
      </c>
      <c r="I75" s="1564"/>
      <c r="J75" s="1335">
        <v>394.69247000000007</v>
      </c>
      <c r="K75" s="1335">
        <v>0</v>
      </c>
      <c r="L75" s="1351">
        <v>100</v>
      </c>
      <c r="M75" s="1336" t="s">
        <v>895</v>
      </c>
      <c r="N75" s="1338" t="s">
        <v>896</v>
      </c>
      <c r="O75" s="1339">
        <v>41415</v>
      </c>
      <c r="P75" s="1339">
        <v>41428</v>
      </c>
      <c r="Q75" s="1338" t="s">
        <v>1063</v>
      </c>
      <c r="R75" s="1338">
        <v>0</v>
      </c>
      <c r="S75" s="1338" t="s">
        <v>950</v>
      </c>
      <c r="T75" s="1378"/>
    </row>
    <row r="76" spans="1:20" s="1334" customFormat="1" ht="85.5" customHeight="1" x14ac:dyDescent="0.25">
      <c r="A76" s="1333" t="s">
        <v>1064</v>
      </c>
      <c r="B76" s="1333"/>
      <c r="C76" s="1336" t="s">
        <v>286</v>
      </c>
      <c r="D76" s="1336" t="s">
        <v>929</v>
      </c>
      <c r="E76" s="1337" t="s">
        <v>1065</v>
      </c>
      <c r="F76" s="1355" t="s">
        <v>1247</v>
      </c>
      <c r="G76" s="1338" t="s">
        <v>1066</v>
      </c>
      <c r="H76" s="1564" t="s">
        <v>1067</v>
      </c>
      <c r="I76" s="1564"/>
      <c r="J76" s="1335">
        <v>968.95018999999991</v>
      </c>
      <c r="K76" s="1351">
        <v>100</v>
      </c>
      <c r="L76" s="1335">
        <v>0</v>
      </c>
      <c r="M76" s="1336" t="s">
        <v>315</v>
      </c>
      <c r="N76" s="1341" t="s">
        <v>931</v>
      </c>
      <c r="O76" s="1339">
        <v>41957</v>
      </c>
      <c r="P76" s="1339">
        <v>42705</v>
      </c>
      <c r="Q76" s="1338">
        <v>0</v>
      </c>
      <c r="R76" s="1338" t="s">
        <v>861</v>
      </c>
      <c r="S76" s="1338" t="s">
        <v>950</v>
      </c>
    </row>
    <row r="77" spans="1:20" s="1334" customFormat="1" ht="69.75" customHeight="1" x14ac:dyDescent="0.25">
      <c r="A77" s="1333" t="s">
        <v>1068</v>
      </c>
      <c r="B77" s="1333"/>
      <c r="C77" s="1336" t="s">
        <v>239</v>
      </c>
      <c r="D77" s="1336" t="s">
        <v>929</v>
      </c>
      <c r="E77" s="1361" t="s">
        <v>1069</v>
      </c>
      <c r="F77" s="1338" t="s">
        <v>172</v>
      </c>
      <c r="G77" s="1338" t="s">
        <v>899</v>
      </c>
      <c r="H77" s="1564" t="s">
        <v>1070</v>
      </c>
      <c r="I77" s="1564"/>
      <c r="J77" s="1335">
        <v>88.581910000000008</v>
      </c>
      <c r="K77" s="1351">
        <v>100</v>
      </c>
      <c r="L77" s="1335">
        <v>0</v>
      </c>
      <c r="M77" s="1336" t="s">
        <v>895</v>
      </c>
      <c r="N77" s="1341" t="s">
        <v>931</v>
      </c>
      <c r="O77" s="1339">
        <v>42193</v>
      </c>
      <c r="P77" s="1339">
        <v>42327</v>
      </c>
      <c r="Q77" s="1338">
        <v>0</v>
      </c>
      <c r="R77" s="1338" t="s">
        <v>5</v>
      </c>
      <c r="S77" s="1338" t="s">
        <v>950</v>
      </c>
    </row>
    <row r="78" spans="1:20" s="1334" customFormat="1" ht="52.5" customHeight="1" x14ac:dyDescent="0.25">
      <c r="A78" s="1333" t="s">
        <v>1071</v>
      </c>
      <c r="B78" s="1333"/>
      <c r="C78" s="1336" t="s">
        <v>275</v>
      </c>
      <c r="D78" s="1336" t="s">
        <v>929</v>
      </c>
      <c r="E78" s="1337" t="s">
        <v>279</v>
      </c>
      <c r="F78" s="1338" t="s">
        <v>888</v>
      </c>
      <c r="G78" s="1338" t="s">
        <v>903</v>
      </c>
      <c r="H78" s="1564" t="s">
        <v>1072</v>
      </c>
      <c r="I78" s="1564"/>
      <c r="J78" s="1335">
        <v>3107.8772600000002</v>
      </c>
      <c r="K78" s="1335">
        <v>0</v>
      </c>
      <c r="L78" s="1351">
        <v>100</v>
      </c>
      <c r="M78" s="1336" t="s">
        <v>900</v>
      </c>
      <c r="N78" s="1341" t="s">
        <v>931</v>
      </c>
      <c r="O78" s="1339">
        <v>42471</v>
      </c>
      <c r="P78" s="1339">
        <v>42828</v>
      </c>
      <c r="Q78" s="1338">
        <v>0</v>
      </c>
      <c r="R78" s="1338">
        <v>0</v>
      </c>
      <c r="S78" s="1338" t="s">
        <v>939</v>
      </c>
      <c r="T78" s="1457"/>
    </row>
    <row r="79" spans="1:20" s="1334" customFormat="1" ht="134.25" customHeight="1" x14ac:dyDescent="0.25">
      <c r="A79" s="1333" t="s">
        <v>1073</v>
      </c>
      <c r="B79" s="1333"/>
      <c r="C79" s="1466" t="s">
        <v>276</v>
      </c>
      <c r="D79" s="1466" t="s">
        <v>929</v>
      </c>
      <c r="E79" s="1337" t="s">
        <v>280</v>
      </c>
      <c r="F79" s="1464" t="s">
        <v>887</v>
      </c>
      <c r="G79" s="1464" t="s">
        <v>903</v>
      </c>
      <c r="H79" s="1564" t="s">
        <v>1074</v>
      </c>
      <c r="I79" s="1564"/>
      <c r="J79" s="1335">
        <v>4739.3547399999989</v>
      </c>
      <c r="K79" s="1335">
        <v>100</v>
      </c>
      <c r="L79" s="1351">
        <v>0</v>
      </c>
      <c r="M79" s="1466" t="s">
        <v>900</v>
      </c>
      <c r="N79" s="1341" t="s">
        <v>931</v>
      </c>
      <c r="O79" s="1339">
        <v>42436</v>
      </c>
      <c r="P79" s="1339">
        <v>42705</v>
      </c>
      <c r="Q79" s="1464">
        <v>0</v>
      </c>
      <c r="R79" s="1464" t="s">
        <v>883</v>
      </c>
      <c r="S79" s="1464" t="s">
        <v>939</v>
      </c>
    </row>
    <row r="80" spans="1:20" s="1356" customFormat="1" ht="57.75" customHeight="1" x14ac:dyDescent="0.25">
      <c r="A80" s="1366" t="s">
        <v>990</v>
      </c>
      <c r="B80" s="1366"/>
      <c r="C80" s="1466" t="s">
        <v>277</v>
      </c>
      <c r="D80" s="1466" t="s">
        <v>929</v>
      </c>
      <c r="E80" s="1337" t="s">
        <v>1075</v>
      </c>
      <c r="F80" s="1349">
        <v>0</v>
      </c>
      <c r="G80" s="1464" t="s">
        <v>903</v>
      </c>
      <c r="H80" s="1583" t="s">
        <v>1256</v>
      </c>
      <c r="I80" s="1564"/>
      <c r="J80" s="1335" t="s">
        <v>1424</v>
      </c>
      <c r="K80" s="1351">
        <v>100</v>
      </c>
      <c r="L80" s="1335">
        <v>0</v>
      </c>
      <c r="M80" s="1466" t="s">
        <v>900</v>
      </c>
      <c r="N80" s="1464" t="s">
        <v>931</v>
      </c>
      <c r="O80" s="1359">
        <v>43313</v>
      </c>
      <c r="P80" s="1360">
        <v>43435</v>
      </c>
      <c r="Q80" s="1349">
        <v>0</v>
      </c>
      <c r="R80" s="1464">
        <v>0</v>
      </c>
      <c r="S80" s="1464" t="s">
        <v>932</v>
      </c>
      <c r="T80" s="1334"/>
    </row>
    <row r="81" spans="1:20" ht="15.75" customHeight="1" x14ac:dyDescent="0.25">
      <c r="C81" s="1387">
        <v>4</v>
      </c>
      <c r="D81" s="1566" t="s">
        <v>1199</v>
      </c>
      <c r="E81" s="1566"/>
      <c r="F81" s="1566"/>
      <c r="G81" s="1566"/>
      <c r="H81" s="1566"/>
      <c r="I81" s="1566"/>
      <c r="J81" s="1566"/>
      <c r="K81" s="1566"/>
      <c r="L81" s="1566"/>
      <c r="M81" s="1566"/>
      <c r="N81" s="1566"/>
      <c r="O81" s="1566"/>
      <c r="P81" s="1566"/>
      <c r="Q81" s="1566"/>
      <c r="R81" s="1566"/>
      <c r="S81" s="1566"/>
    </row>
    <row r="82" spans="1:20" ht="15" customHeight="1" x14ac:dyDescent="0.25">
      <c r="C82" s="1576"/>
      <c r="D82" s="1565" t="s">
        <v>910</v>
      </c>
      <c r="E82" s="1565" t="s">
        <v>1194</v>
      </c>
      <c r="F82" s="1565" t="s">
        <v>912</v>
      </c>
      <c r="G82" s="1565" t="s">
        <v>1191</v>
      </c>
      <c r="H82" s="1579" t="s">
        <v>915</v>
      </c>
      <c r="I82" s="1580"/>
      <c r="J82" s="1572" t="s">
        <v>1195</v>
      </c>
      <c r="K82" s="1572"/>
      <c r="L82" s="1572"/>
      <c r="M82" s="1565" t="s">
        <v>917</v>
      </c>
      <c r="N82" s="1565" t="s">
        <v>1196</v>
      </c>
      <c r="O82" s="1565" t="s">
        <v>1197</v>
      </c>
      <c r="P82" s="1565"/>
      <c r="Q82" s="1565" t="s">
        <v>1198</v>
      </c>
      <c r="R82" s="1565" t="s">
        <v>921</v>
      </c>
      <c r="S82" s="1565" t="s">
        <v>922</v>
      </c>
    </row>
    <row r="83" spans="1:20" ht="45" customHeight="1" x14ac:dyDescent="0.25">
      <c r="C83" s="1577"/>
      <c r="D83" s="1565"/>
      <c r="E83" s="1565"/>
      <c r="F83" s="1565"/>
      <c r="G83" s="1565"/>
      <c r="H83" s="1581"/>
      <c r="I83" s="1582"/>
      <c r="J83" s="1331" t="s">
        <v>1405</v>
      </c>
      <c r="K83" s="1331" t="s">
        <v>924</v>
      </c>
      <c r="L83" s="1388" t="s">
        <v>925</v>
      </c>
      <c r="M83" s="1565"/>
      <c r="N83" s="1565"/>
      <c r="O83" s="1332" t="s">
        <v>1200</v>
      </c>
      <c r="P83" s="1332" t="s">
        <v>927</v>
      </c>
      <c r="Q83" s="1565"/>
      <c r="R83" s="1565"/>
      <c r="S83" s="1565"/>
    </row>
    <row r="84" spans="1:20" s="1356" customFormat="1" ht="62.25" customHeight="1" x14ac:dyDescent="0.25">
      <c r="A84" s="1366" t="s">
        <v>1076</v>
      </c>
      <c r="B84" s="1366"/>
      <c r="C84" s="1336" t="s">
        <v>288</v>
      </c>
      <c r="D84" s="1336" t="s">
        <v>929</v>
      </c>
      <c r="E84" s="1337" t="s">
        <v>298</v>
      </c>
      <c r="F84" s="1338" t="s">
        <v>1077</v>
      </c>
      <c r="G84" s="1338" t="s">
        <v>903</v>
      </c>
      <c r="H84" s="1564" t="s">
        <v>1078</v>
      </c>
      <c r="I84" s="1564"/>
      <c r="J84" s="1351">
        <v>3105.1470599999971</v>
      </c>
      <c r="K84" s="1351">
        <v>100</v>
      </c>
      <c r="L84" s="1335">
        <v>0</v>
      </c>
      <c r="M84" s="1466" t="s">
        <v>315</v>
      </c>
      <c r="N84" s="1464" t="s">
        <v>931</v>
      </c>
      <c r="O84" s="1339">
        <v>42348</v>
      </c>
      <c r="P84" s="1339">
        <v>42741</v>
      </c>
      <c r="Q84" s="1464">
        <v>0</v>
      </c>
      <c r="R84" s="1464" t="s">
        <v>860</v>
      </c>
      <c r="S84" s="1464" t="s">
        <v>939</v>
      </c>
      <c r="T84" s="1460"/>
    </row>
    <row r="85" spans="1:20" s="1356" customFormat="1" ht="82.5" customHeight="1" x14ac:dyDescent="0.25">
      <c r="A85" s="1366"/>
      <c r="B85" s="1366"/>
      <c r="C85" s="1336" t="s">
        <v>289</v>
      </c>
      <c r="D85" s="1336" t="s">
        <v>929</v>
      </c>
      <c r="E85" s="1337" t="s">
        <v>299</v>
      </c>
      <c r="F85" s="1338" t="s">
        <v>1079</v>
      </c>
      <c r="G85" s="1338" t="s">
        <v>899</v>
      </c>
      <c r="H85" s="1564" t="s">
        <v>1080</v>
      </c>
      <c r="I85" s="1564"/>
      <c r="J85" s="1351">
        <v>256.32324999999997</v>
      </c>
      <c r="K85" s="1335">
        <v>100</v>
      </c>
      <c r="L85" s="1335">
        <v>0</v>
      </c>
      <c r="M85" s="1464" t="s">
        <v>315</v>
      </c>
      <c r="N85" s="1341" t="s">
        <v>931</v>
      </c>
      <c r="O85" s="1339">
        <v>42572</v>
      </c>
      <c r="P85" s="1339">
        <v>42806</v>
      </c>
      <c r="Q85" s="1464">
        <v>0</v>
      </c>
      <c r="R85" s="1464" t="s">
        <v>884</v>
      </c>
      <c r="S85" s="1464" t="s">
        <v>939</v>
      </c>
    </row>
    <row r="86" spans="1:20" s="1356" customFormat="1" ht="82.5" customHeight="1" x14ac:dyDescent="0.25">
      <c r="A86" s="1366"/>
      <c r="B86" s="1366" t="s">
        <v>942</v>
      </c>
      <c r="C86" s="1336" t="s">
        <v>258</v>
      </c>
      <c r="D86" s="1336" t="s">
        <v>929</v>
      </c>
      <c r="E86" s="1337" t="s">
        <v>268</v>
      </c>
      <c r="F86" s="1338" t="s">
        <v>1248</v>
      </c>
      <c r="G86" s="1338" t="s">
        <v>899</v>
      </c>
      <c r="H86" s="1564" t="s">
        <v>1081</v>
      </c>
      <c r="I86" s="1564"/>
      <c r="J86" s="1352">
        <v>200.73391000000001</v>
      </c>
      <c r="K86" s="1335">
        <v>100</v>
      </c>
      <c r="L86" s="1335">
        <v>0</v>
      </c>
      <c r="M86" s="1464" t="s">
        <v>895</v>
      </c>
      <c r="N86" s="1341" t="s">
        <v>931</v>
      </c>
      <c r="O86" s="1339">
        <v>42625</v>
      </c>
      <c r="P86" s="1339">
        <v>42737</v>
      </c>
      <c r="Q86" s="1464">
        <v>0</v>
      </c>
      <c r="R86" s="1464" t="s">
        <v>859</v>
      </c>
      <c r="S86" s="1464" t="s">
        <v>950</v>
      </c>
    </row>
    <row r="87" spans="1:20" s="1356" customFormat="1" ht="46.5" customHeight="1" x14ac:dyDescent="0.25">
      <c r="A87" s="1366"/>
      <c r="B87" s="1366"/>
      <c r="C87" s="1336" t="s">
        <v>399</v>
      </c>
      <c r="D87" s="1336" t="s">
        <v>929</v>
      </c>
      <c r="E87" s="1337" t="s">
        <v>1082</v>
      </c>
      <c r="F87" s="1338">
        <v>0</v>
      </c>
      <c r="G87" s="1338" t="s">
        <v>903</v>
      </c>
      <c r="H87" s="1564" t="s">
        <v>1258</v>
      </c>
      <c r="I87" s="1564"/>
      <c r="J87" s="1352">
        <v>388.60404999999997</v>
      </c>
      <c r="K87" s="1335">
        <v>100</v>
      </c>
      <c r="L87" s="1335">
        <v>0</v>
      </c>
      <c r="M87" s="1464" t="s">
        <v>902</v>
      </c>
      <c r="N87" s="1341" t="s">
        <v>931</v>
      </c>
      <c r="O87" s="1339">
        <v>43445</v>
      </c>
      <c r="P87" s="1360">
        <v>43647</v>
      </c>
      <c r="Q87" s="1464">
        <v>0</v>
      </c>
      <c r="R87" s="1464">
        <v>0</v>
      </c>
      <c r="S87" s="1464" t="s">
        <v>1178</v>
      </c>
    </row>
    <row r="88" spans="1:20" s="1356" customFormat="1" ht="49.5" customHeight="1" x14ac:dyDescent="0.25">
      <c r="A88" s="1366"/>
      <c r="B88" s="1366"/>
      <c r="C88" s="1449" t="s">
        <v>1262</v>
      </c>
      <c r="D88" s="1449" t="s">
        <v>929</v>
      </c>
      <c r="E88" s="1337" t="s">
        <v>1287</v>
      </c>
      <c r="F88" s="1450">
        <v>0</v>
      </c>
      <c r="G88" s="1450" t="s">
        <v>903</v>
      </c>
      <c r="H88" s="1561" t="s">
        <v>1324</v>
      </c>
      <c r="I88" s="1562"/>
      <c r="J88" s="1352">
        <v>3809.8648600000001</v>
      </c>
      <c r="K88" s="1335">
        <v>62.044124840690543</v>
      </c>
      <c r="L88" s="1335">
        <v>37.955875159309457</v>
      </c>
      <c r="M88" s="1464" t="s">
        <v>253</v>
      </c>
      <c r="N88" s="1341" t="s">
        <v>931</v>
      </c>
      <c r="O88" s="1339">
        <v>43546</v>
      </c>
      <c r="P88" s="1360">
        <v>43617</v>
      </c>
      <c r="Q88" s="1464">
        <v>0</v>
      </c>
      <c r="R88" s="1464">
        <v>0</v>
      </c>
      <c r="S88" s="1464" t="s">
        <v>1178</v>
      </c>
    </row>
    <row r="89" spans="1:20" s="1356" customFormat="1" ht="49.5" customHeight="1" x14ac:dyDescent="0.25">
      <c r="A89" s="1366"/>
      <c r="B89" s="1366"/>
      <c r="C89" s="1449" t="s">
        <v>1300</v>
      </c>
      <c r="D89" s="1449" t="s">
        <v>929</v>
      </c>
      <c r="E89" s="1337" t="s">
        <v>299</v>
      </c>
      <c r="F89" s="1450">
        <v>0</v>
      </c>
      <c r="G89" s="1450" t="s">
        <v>903</v>
      </c>
      <c r="H89" s="1561" t="s">
        <v>1333</v>
      </c>
      <c r="I89" s="1562"/>
      <c r="J89" s="1352">
        <v>141.08107999999999</v>
      </c>
      <c r="K89" s="1335">
        <v>100</v>
      </c>
      <c r="L89" s="1335">
        <v>0</v>
      </c>
      <c r="M89" s="1464" t="s">
        <v>315</v>
      </c>
      <c r="N89" s="1341" t="s">
        <v>931</v>
      </c>
      <c r="O89" s="1339">
        <v>43564</v>
      </c>
      <c r="P89" s="1360">
        <v>43647</v>
      </c>
      <c r="Q89" s="1464">
        <v>0</v>
      </c>
      <c r="R89" s="1464">
        <v>0</v>
      </c>
      <c r="S89" s="1464" t="s">
        <v>1178</v>
      </c>
    </row>
    <row r="90" spans="1:20" s="1326" customFormat="1" ht="17.25" customHeight="1" x14ac:dyDescent="0.25">
      <c r="A90" s="1325"/>
      <c r="B90" s="1325"/>
      <c r="C90" s="1441"/>
      <c r="D90" s="1445"/>
      <c r="E90" s="1442"/>
      <c r="F90" s="1393"/>
      <c r="G90" s="1392"/>
      <c r="H90" s="1392"/>
      <c r="I90" s="1326" t="s">
        <v>0</v>
      </c>
      <c r="J90" s="1394">
        <f>SUM(J71:J89)</f>
        <v>46792.990740000001</v>
      </c>
      <c r="K90" s="1400"/>
      <c r="L90" s="1395"/>
      <c r="M90" s="1395"/>
      <c r="N90" s="1392"/>
      <c r="O90" s="1392"/>
      <c r="P90" s="1392"/>
      <c r="Q90" s="1392"/>
      <c r="R90" s="1392"/>
      <c r="S90" s="1393"/>
    </row>
    <row r="92" spans="1:20" ht="15.75" customHeight="1" x14ac:dyDescent="0.25">
      <c r="C92" s="1387">
        <v>5</v>
      </c>
      <c r="D92" s="1566" t="s">
        <v>1201</v>
      </c>
      <c r="E92" s="1566"/>
      <c r="F92" s="1566"/>
      <c r="G92" s="1566"/>
      <c r="H92" s="1566"/>
      <c r="I92" s="1566"/>
      <c r="J92" s="1566"/>
      <c r="K92" s="1566"/>
      <c r="L92" s="1566"/>
      <c r="M92" s="1566"/>
      <c r="N92" s="1566"/>
      <c r="O92" s="1566"/>
      <c r="P92" s="1566"/>
      <c r="Q92" s="1566"/>
      <c r="R92" s="1566"/>
      <c r="S92" s="1566"/>
    </row>
    <row r="93" spans="1:20" ht="15" customHeight="1" x14ac:dyDescent="0.25">
      <c r="C93" s="1576"/>
      <c r="D93" s="1565" t="s">
        <v>910</v>
      </c>
      <c r="E93" s="1565" t="s">
        <v>1194</v>
      </c>
      <c r="F93" s="1565" t="s">
        <v>912</v>
      </c>
      <c r="G93" s="1565" t="s">
        <v>1191</v>
      </c>
      <c r="H93" s="1565" t="s">
        <v>915</v>
      </c>
      <c r="I93" s="1572" t="s">
        <v>1195</v>
      </c>
      <c r="J93" s="1572"/>
      <c r="K93" s="1572"/>
      <c r="L93" s="1569" t="s">
        <v>1202</v>
      </c>
      <c r="M93" s="1565" t="s">
        <v>917</v>
      </c>
      <c r="N93" s="1565" t="s">
        <v>1196</v>
      </c>
      <c r="O93" s="1565" t="s">
        <v>1197</v>
      </c>
      <c r="P93" s="1565"/>
      <c r="Q93" s="1565" t="s">
        <v>1198</v>
      </c>
      <c r="R93" s="1565" t="s">
        <v>921</v>
      </c>
      <c r="S93" s="1565" t="s">
        <v>922</v>
      </c>
    </row>
    <row r="94" spans="1:20" ht="45" x14ac:dyDescent="0.25">
      <c r="C94" s="1577"/>
      <c r="D94" s="1565"/>
      <c r="E94" s="1565"/>
      <c r="F94" s="1565"/>
      <c r="G94" s="1565"/>
      <c r="H94" s="1565"/>
      <c r="I94" s="1331" t="s">
        <v>1405</v>
      </c>
      <c r="J94" s="1331" t="s">
        <v>924</v>
      </c>
      <c r="K94" s="1388" t="s">
        <v>925</v>
      </c>
      <c r="L94" s="1569"/>
      <c r="M94" s="1565"/>
      <c r="N94" s="1565"/>
      <c r="O94" s="1332" t="s">
        <v>1203</v>
      </c>
      <c r="P94" s="1332" t="s">
        <v>1204</v>
      </c>
      <c r="Q94" s="1565"/>
      <c r="R94" s="1565"/>
      <c r="S94" s="1565"/>
    </row>
    <row r="95" spans="1:20" s="1334" customFormat="1" ht="33.75" x14ac:dyDescent="0.25">
      <c r="A95" s="1333" t="s">
        <v>321</v>
      </c>
      <c r="B95" s="1333"/>
      <c r="C95" s="1336" t="s">
        <v>237</v>
      </c>
      <c r="D95" s="1336" t="s">
        <v>929</v>
      </c>
      <c r="E95" s="1337" t="s">
        <v>1083</v>
      </c>
      <c r="F95" s="1338" t="s">
        <v>170</v>
      </c>
      <c r="G95" s="1338" t="s">
        <v>1084</v>
      </c>
      <c r="H95" s="1338" t="s">
        <v>1085</v>
      </c>
      <c r="I95" s="1362">
        <v>35.088239999999999</v>
      </c>
      <c r="J95" s="1335">
        <v>100</v>
      </c>
      <c r="K95" s="1351">
        <v>0</v>
      </c>
      <c r="L95" s="1347">
        <v>1</v>
      </c>
      <c r="M95" s="1336" t="s">
        <v>895</v>
      </c>
      <c r="N95" s="1341" t="s">
        <v>948</v>
      </c>
      <c r="O95" s="1339">
        <v>41754</v>
      </c>
      <c r="P95" s="1339">
        <v>41792</v>
      </c>
      <c r="Q95" s="1338">
        <v>0</v>
      </c>
      <c r="R95" s="1338" t="s">
        <v>1086</v>
      </c>
      <c r="S95" s="1338" t="s">
        <v>950</v>
      </c>
    </row>
    <row r="96" spans="1:20" s="1334" customFormat="1" ht="33.75" x14ac:dyDescent="0.25">
      <c r="A96" s="1333"/>
      <c r="B96" s="1333"/>
      <c r="C96" s="1336" t="s">
        <v>284</v>
      </c>
      <c r="D96" s="1336" t="s">
        <v>929</v>
      </c>
      <c r="E96" s="1337" t="s">
        <v>1087</v>
      </c>
      <c r="F96" s="1338" t="s">
        <v>196</v>
      </c>
      <c r="G96" s="1338" t="s">
        <v>1084</v>
      </c>
      <c r="H96" s="1338" t="s">
        <v>1088</v>
      </c>
      <c r="I96" s="1351">
        <v>20.133050000000001</v>
      </c>
      <c r="J96" s="1335">
        <v>0</v>
      </c>
      <c r="K96" s="1351">
        <v>100</v>
      </c>
      <c r="L96" s="1347">
        <v>1</v>
      </c>
      <c r="M96" s="1336" t="s">
        <v>315</v>
      </c>
      <c r="N96" s="1341" t="s">
        <v>948</v>
      </c>
      <c r="O96" s="1339">
        <v>41856</v>
      </c>
      <c r="P96" s="1339">
        <v>41897</v>
      </c>
      <c r="Q96" s="1338">
        <v>0</v>
      </c>
      <c r="R96" s="1338" t="s">
        <v>65</v>
      </c>
      <c r="S96" s="1338" t="s">
        <v>950</v>
      </c>
    </row>
    <row r="97" spans="1:19" s="1334" customFormat="1" ht="97.5" customHeight="1" x14ac:dyDescent="0.25">
      <c r="A97" s="1333" t="s">
        <v>1089</v>
      </c>
      <c r="B97" s="1333"/>
      <c r="C97" s="1336" t="s">
        <v>285</v>
      </c>
      <c r="D97" s="1336" t="s">
        <v>929</v>
      </c>
      <c r="E97" s="1363" t="s">
        <v>1090</v>
      </c>
      <c r="F97" s="1338" t="s">
        <v>1091</v>
      </c>
      <c r="G97" s="1338" t="s">
        <v>1084</v>
      </c>
      <c r="H97" s="1338" t="s">
        <v>1092</v>
      </c>
      <c r="I97" s="1351">
        <v>106.74977</v>
      </c>
      <c r="J97" s="1335">
        <v>100</v>
      </c>
      <c r="K97" s="1351">
        <v>0</v>
      </c>
      <c r="L97" s="1347">
        <v>1</v>
      </c>
      <c r="M97" s="1336" t="s">
        <v>315</v>
      </c>
      <c r="N97" s="1341" t="s">
        <v>948</v>
      </c>
      <c r="O97" s="1339">
        <v>41848</v>
      </c>
      <c r="P97" s="1339">
        <v>41912</v>
      </c>
      <c r="Q97" s="1338">
        <v>0</v>
      </c>
      <c r="R97" s="1338" t="s">
        <v>1093</v>
      </c>
      <c r="S97" s="1338" t="s">
        <v>950</v>
      </c>
    </row>
    <row r="98" spans="1:19" s="1334" customFormat="1" ht="33.75" x14ac:dyDescent="0.25">
      <c r="A98" s="1333" t="s">
        <v>1094</v>
      </c>
      <c r="B98" s="1333"/>
      <c r="C98" s="1336" t="s">
        <v>290</v>
      </c>
      <c r="D98" s="1336" t="s">
        <v>929</v>
      </c>
      <c r="E98" s="1337" t="s">
        <v>300</v>
      </c>
      <c r="F98" s="1338" t="s">
        <v>1095</v>
      </c>
      <c r="G98" s="1338" t="s">
        <v>1084</v>
      </c>
      <c r="H98" s="1343" t="s">
        <v>1096</v>
      </c>
      <c r="I98" s="1351">
        <v>41.695880000000002</v>
      </c>
      <c r="J98" s="1351">
        <v>100</v>
      </c>
      <c r="K98" s="1335">
        <v>0</v>
      </c>
      <c r="L98" s="1347">
        <v>1</v>
      </c>
      <c r="M98" s="1336" t="s">
        <v>315</v>
      </c>
      <c r="N98" s="1341" t="s">
        <v>948</v>
      </c>
      <c r="O98" s="1339">
        <v>42954</v>
      </c>
      <c r="P98" s="1339">
        <v>43074</v>
      </c>
      <c r="Q98" s="1338">
        <v>0</v>
      </c>
      <c r="R98" s="1338" t="s">
        <v>1240</v>
      </c>
      <c r="S98" s="1338" t="s">
        <v>950</v>
      </c>
    </row>
    <row r="99" spans="1:19" s="1334" customFormat="1" ht="33.75" x14ac:dyDescent="0.25">
      <c r="A99" s="1366" t="s">
        <v>990</v>
      </c>
      <c r="B99" s="1366"/>
      <c r="C99" s="1336" t="s">
        <v>291</v>
      </c>
      <c r="D99" s="1336" t="s">
        <v>929</v>
      </c>
      <c r="E99" s="1337" t="s">
        <v>301</v>
      </c>
      <c r="F99" s="1338" t="s">
        <v>1097</v>
      </c>
      <c r="G99" s="1338" t="s">
        <v>1084</v>
      </c>
      <c r="H99" s="1343" t="s">
        <v>1098</v>
      </c>
      <c r="I99" s="1335">
        <v>34.122589999999995</v>
      </c>
      <c r="J99" s="1351">
        <v>100</v>
      </c>
      <c r="K99" s="1335">
        <v>0</v>
      </c>
      <c r="L99" s="1347">
        <v>1</v>
      </c>
      <c r="M99" s="1336" t="s">
        <v>315</v>
      </c>
      <c r="N99" s="1341" t="s">
        <v>948</v>
      </c>
      <c r="O99" s="1339">
        <v>42524</v>
      </c>
      <c r="P99" s="1339">
        <v>42576</v>
      </c>
      <c r="Q99" s="1338">
        <v>0</v>
      </c>
      <c r="R99" s="1338" t="s">
        <v>882</v>
      </c>
      <c r="S99" s="1338" t="s">
        <v>950</v>
      </c>
    </row>
    <row r="100" spans="1:19" s="1334" customFormat="1" ht="28.5" customHeight="1" x14ac:dyDescent="0.25">
      <c r="A100" s="1366" t="s">
        <v>990</v>
      </c>
      <c r="B100" s="1366"/>
      <c r="C100" s="1336" t="s">
        <v>292</v>
      </c>
      <c r="D100" s="1336" t="s">
        <v>929</v>
      </c>
      <c r="E100" s="1337" t="s">
        <v>302</v>
      </c>
      <c r="F100" s="1349">
        <v>0</v>
      </c>
      <c r="G100" s="1338" t="s">
        <v>1084</v>
      </c>
      <c r="H100" s="1350">
        <v>0</v>
      </c>
      <c r="I100" s="1362">
        <v>64.864860000000007</v>
      </c>
      <c r="J100" s="1351">
        <v>100</v>
      </c>
      <c r="K100" s="1335">
        <v>0</v>
      </c>
      <c r="L100" s="1465">
        <v>0</v>
      </c>
      <c r="M100" s="1466" t="s">
        <v>902</v>
      </c>
      <c r="N100" s="1341" t="s">
        <v>948</v>
      </c>
      <c r="O100" s="1359">
        <v>43647</v>
      </c>
      <c r="P100" s="1360">
        <v>43678</v>
      </c>
      <c r="Q100" s="1464">
        <v>0</v>
      </c>
      <c r="R100" s="1464">
        <v>0</v>
      </c>
      <c r="S100" s="1464" t="s">
        <v>944</v>
      </c>
    </row>
    <row r="101" spans="1:19" s="1334" customFormat="1" ht="33.75" x14ac:dyDescent="0.25">
      <c r="A101" s="1366" t="s">
        <v>990</v>
      </c>
      <c r="B101" s="1366"/>
      <c r="C101" s="1336" t="s">
        <v>238</v>
      </c>
      <c r="D101" s="1336" t="s">
        <v>929</v>
      </c>
      <c r="E101" s="1337" t="s">
        <v>1099</v>
      </c>
      <c r="F101" s="1338" t="s">
        <v>171</v>
      </c>
      <c r="G101" s="1338" t="s">
        <v>1084</v>
      </c>
      <c r="H101" s="1338" t="s">
        <v>1100</v>
      </c>
      <c r="I101" s="1335">
        <v>12.22871</v>
      </c>
      <c r="J101" s="1351">
        <v>100</v>
      </c>
      <c r="K101" s="1351">
        <v>0</v>
      </c>
      <c r="L101" s="1347">
        <v>1</v>
      </c>
      <c r="M101" s="1336" t="s">
        <v>895</v>
      </c>
      <c r="N101" s="1341" t="s">
        <v>948</v>
      </c>
      <c r="O101" s="1339">
        <v>42256</v>
      </c>
      <c r="P101" s="1339">
        <v>42278</v>
      </c>
      <c r="Q101" s="1338">
        <v>0</v>
      </c>
      <c r="R101" s="1338" t="s">
        <v>57</v>
      </c>
      <c r="S101" s="1338" t="s">
        <v>950</v>
      </c>
    </row>
    <row r="102" spans="1:19" s="1334" customFormat="1" ht="33.75" x14ac:dyDescent="0.25">
      <c r="A102" s="1366"/>
      <c r="B102" s="1366"/>
      <c r="C102" s="1336" t="s">
        <v>283</v>
      </c>
      <c r="D102" s="1336" t="s">
        <v>929</v>
      </c>
      <c r="E102" s="1337" t="s">
        <v>1101</v>
      </c>
      <c r="F102" s="1338" t="s">
        <v>1102</v>
      </c>
      <c r="G102" s="1338" t="s">
        <v>1084</v>
      </c>
      <c r="H102" s="1338" t="s">
        <v>1103</v>
      </c>
      <c r="I102" s="1335">
        <v>9.23935</v>
      </c>
      <c r="J102" s="1335">
        <v>100</v>
      </c>
      <c r="K102" s="1351">
        <v>0</v>
      </c>
      <c r="L102" s="1335">
        <v>1</v>
      </c>
      <c r="M102" s="1338" t="s">
        <v>315</v>
      </c>
      <c r="N102" s="1341" t="s">
        <v>948</v>
      </c>
      <c r="O102" s="1339">
        <v>42321</v>
      </c>
      <c r="P102" s="1339">
        <v>42430</v>
      </c>
      <c r="Q102" s="1338">
        <v>0</v>
      </c>
      <c r="R102" s="1338" t="s">
        <v>1104</v>
      </c>
      <c r="S102" s="1364" t="s">
        <v>950</v>
      </c>
    </row>
    <row r="103" spans="1:19" ht="15.75" customHeight="1" x14ac:dyDescent="0.25">
      <c r="C103" s="1387">
        <v>5</v>
      </c>
      <c r="D103" s="1566" t="s">
        <v>1201</v>
      </c>
      <c r="E103" s="1566"/>
      <c r="F103" s="1566"/>
      <c r="G103" s="1566"/>
      <c r="H103" s="1566"/>
      <c r="I103" s="1566"/>
      <c r="J103" s="1566"/>
      <c r="K103" s="1566"/>
      <c r="L103" s="1566"/>
      <c r="M103" s="1566"/>
      <c r="N103" s="1566"/>
      <c r="O103" s="1566"/>
      <c r="P103" s="1566"/>
      <c r="Q103" s="1566"/>
      <c r="R103" s="1566"/>
      <c r="S103" s="1566"/>
    </row>
    <row r="104" spans="1:19" ht="15" customHeight="1" x14ac:dyDescent="0.25">
      <c r="C104" s="1576"/>
      <c r="D104" s="1565" t="s">
        <v>910</v>
      </c>
      <c r="E104" s="1565" t="s">
        <v>1194</v>
      </c>
      <c r="F104" s="1565" t="s">
        <v>912</v>
      </c>
      <c r="G104" s="1565" t="s">
        <v>1191</v>
      </c>
      <c r="H104" s="1565" t="s">
        <v>915</v>
      </c>
      <c r="I104" s="1572" t="s">
        <v>1195</v>
      </c>
      <c r="J104" s="1572"/>
      <c r="K104" s="1572"/>
      <c r="L104" s="1569" t="s">
        <v>1202</v>
      </c>
      <c r="M104" s="1565" t="s">
        <v>917</v>
      </c>
      <c r="N104" s="1565" t="s">
        <v>1196</v>
      </c>
      <c r="O104" s="1565" t="s">
        <v>1197</v>
      </c>
      <c r="P104" s="1565"/>
      <c r="Q104" s="1565" t="s">
        <v>1198</v>
      </c>
      <c r="R104" s="1565" t="s">
        <v>921</v>
      </c>
      <c r="S104" s="1565" t="s">
        <v>922</v>
      </c>
    </row>
    <row r="105" spans="1:19" ht="45" x14ac:dyDescent="0.25">
      <c r="C105" s="1577"/>
      <c r="D105" s="1565"/>
      <c r="E105" s="1565"/>
      <c r="F105" s="1565"/>
      <c r="G105" s="1565"/>
      <c r="H105" s="1565"/>
      <c r="I105" s="1331" t="s">
        <v>1405</v>
      </c>
      <c r="J105" s="1331" t="s">
        <v>924</v>
      </c>
      <c r="K105" s="1388" t="s">
        <v>925</v>
      </c>
      <c r="L105" s="1569"/>
      <c r="M105" s="1565"/>
      <c r="N105" s="1565"/>
      <c r="O105" s="1332" t="s">
        <v>1203</v>
      </c>
      <c r="P105" s="1332" t="s">
        <v>1204</v>
      </c>
      <c r="Q105" s="1565"/>
      <c r="R105" s="1565"/>
      <c r="S105" s="1565"/>
    </row>
    <row r="106" spans="1:19" s="1334" customFormat="1" ht="72" customHeight="1" x14ac:dyDescent="0.25">
      <c r="A106" s="1366"/>
      <c r="B106" s="1366"/>
      <c r="C106" s="1376" t="s">
        <v>259</v>
      </c>
      <c r="D106" s="1376" t="s">
        <v>929</v>
      </c>
      <c r="E106" s="1353" t="s">
        <v>269</v>
      </c>
      <c r="F106" s="1391" t="s">
        <v>1243</v>
      </c>
      <c r="G106" s="1391" t="s">
        <v>1084</v>
      </c>
      <c r="H106" s="1401" t="s">
        <v>1105</v>
      </c>
      <c r="I106" s="1443">
        <v>384.56709999999993</v>
      </c>
      <c r="J106" s="1383">
        <v>100</v>
      </c>
      <c r="K106" s="1397">
        <v>0</v>
      </c>
      <c r="L106" s="1397">
        <v>0</v>
      </c>
      <c r="M106" s="1391" t="s">
        <v>895</v>
      </c>
      <c r="N106" s="1399" t="s">
        <v>948</v>
      </c>
      <c r="O106" s="1398">
        <v>42590</v>
      </c>
      <c r="P106" s="1398">
        <v>42598</v>
      </c>
      <c r="Q106" s="1391">
        <v>0</v>
      </c>
      <c r="R106" s="1391" t="s">
        <v>1106</v>
      </c>
      <c r="S106" s="1391" t="s">
        <v>939</v>
      </c>
    </row>
    <row r="107" spans="1:19" s="1334" customFormat="1" ht="55.5" customHeight="1" x14ac:dyDescent="0.25">
      <c r="A107" s="1366"/>
      <c r="B107" s="1366" t="s">
        <v>942</v>
      </c>
      <c r="C107" s="1376" t="s">
        <v>260</v>
      </c>
      <c r="D107" s="1376" t="s">
        <v>929</v>
      </c>
      <c r="E107" s="1353" t="s">
        <v>270</v>
      </c>
      <c r="F107" s="1402" t="s">
        <v>1107</v>
      </c>
      <c r="G107" s="1391" t="s">
        <v>1084</v>
      </c>
      <c r="H107" s="1376" t="s">
        <v>1108</v>
      </c>
      <c r="I107" s="1443">
        <v>19.961069999999999</v>
      </c>
      <c r="J107" s="1397">
        <v>100</v>
      </c>
      <c r="K107" s="1397">
        <v>0</v>
      </c>
      <c r="L107" s="1397">
        <v>1</v>
      </c>
      <c r="M107" s="1391" t="s">
        <v>895</v>
      </c>
      <c r="N107" s="1399" t="s">
        <v>948</v>
      </c>
      <c r="O107" s="1398">
        <v>42608</v>
      </c>
      <c r="P107" s="1398">
        <v>42646</v>
      </c>
      <c r="Q107" s="1391">
        <v>0</v>
      </c>
      <c r="R107" s="1391" t="s">
        <v>735</v>
      </c>
      <c r="S107" s="1391" t="s">
        <v>950</v>
      </c>
    </row>
    <row r="108" spans="1:19" s="1334" customFormat="1" ht="51" customHeight="1" x14ac:dyDescent="0.25">
      <c r="A108" s="1366"/>
      <c r="B108" s="1366" t="s">
        <v>942</v>
      </c>
      <c r="C108" s="1376" t="s">
        <v>293</v>
      </c>
      <c r="D108" s="1376" t="s">
        <v>929</v>
      </c>
      <c r="E108" s="1353" t="s">
        <v>303</v>
      </c>
      <c r="F108" s="1391" t="s">
        <v>1109</v>
      </c>
      <c r="G108" s="1391" t="s">
        <v>1084</v>
      </c>
      <c r="H108" s="1376" t="s">
        <v>1110</v>
      </c>
      <c r="I108" s="1403">
        <v>23.096050000000002</v>
      </c>
      <c r="J108" s="1397">
        <v>100</v>
      </c>
      <c r="K108" s="1397">
        <v>0</v>
      </c>
      <c r="L108" s="1397">
        <v>1</v>
      </c>
      <c r="M108" s="1391" t="s">
        <v>315</v>
      </c>
      <c r="N108" s="1399" t="s">
        <v>948</v>
      </c>
      <c r="O108" s="1398">
        <v>42604</v>
      </c>
      <c r="P108" s="1398">
        <v>42614</v>
      </c>
      <c r="Q108" s="1391">
        <v>0</v>
      </c>
      <c r="R108" s="1391" t="s">
        <v>716</v>
      </c>
      <c r="S108" s="1391" t="s">
        <v>950</v>
      </c>
    </row>
    <row r="109" spans="1:19" s="1334" customFormat="1" ht="46.5" customHeight="1" x14ac:dyDescent="0.25">
      <c r="A109" s="1366"/>
      <c r="B109" s="1366" t="s">
        <v>942</v>
      </c>
      <c r="C109" s="1376" t="s">
        <v>324</v>
      </c>
      <c r="D109" s="1376" t="s">
        <v>929</v>
      </c>
      <c r="E109" s="1353" t="s">
        <v>340</v>
      </c>
      <c r="F109" s="1391" t="s">
        <v>1111</v>
      </c>
      <c r="G109" s="1391" t="s">
        <v>1084</v>
      </c>
      <c r="H109" s="1376" t="s">
        <v>1112</v>
      </c>
      <c r="I109" s="1403">
        <v>19.820810000000002</v>
      </c>
      <c r="J109" s="1397">
        <v>100</v>
      </c>
      <c r="K109" s="1397">
        <v>0</v>
      </c>
      <c r="L109" s="1397">
        <v>1</v>
      </c>
      <c r="M109" s="1391" t="s">
        <v>253</v>
      </c>
      <c r="N109" s="1399" t="s">
        <v>948</v>
      </c>
      <c r="O109" s="1398">
        <v>42534</v>
      </c>
      <c r="P109" s="1398">
        <v>42566</v>
      </c>
      <c r="Q109" s="1391">
        <v>0</v>
      </c>
      <c r="R109" s="1391" t="s">
        <v>719</v>
      </c>
      <c r="S109" s="1391" t="s">
        <v>950</v>
      </c>
    </row>
    <row r="110" spans="1:19" s="1334" customFormat="1" ht="63" customHeight="1" x14ac:dyDescent="0.25">
      <c r="A110" s="1366"/>
      <c r="B110" s="1366" t="s">
        <v>942</v>
      </c>
      <c r="C110" s="1376" t="s">
        <v>307</v>
      </c>
      <c r="D110" s="1376" t="s">
        <v>929</v>
      </c>
      <c r="E110" s="1353" t="s">
        <v>1113</v>
      </c>
      <c r="F110" s="1391" t="s">
        <v>202</v>
      </c>
      <c r="G110" s="1391" t="s">
        <v>1084</v>
      </c>
      <c r="H110" s="1376" t="s">
        <v>1114</v>
      </c>
      <c r="I110" s="1403">
        <v>19.820810000000002</v>
      </c>
      <c r="J110" s="1397">
        <v>100</v>
      </c>
      <c r="K110" s="1397">
        <v>0</v>
      </c>
      <c r="L110" s="1397">
        <v>1</v>
      </c>
      <c r="M110" s="1391" t="s">
        <v>253</v>
      </c>
      <c r="N110" s="1399" t="s">
        <v>948</v>
      </c>
      <c r="O110" s="1398">
        <v>42534</v>
      </c>
      <c r="P110" s="1398">
        <v>42552</v>
      </c>
      <c r="Q110" s="1391">
        <v>0</v>
      </c>
      <c r="R110" s="1391" t="s">
        <v>720</v>
      </c>
      <c r="S110" s="1391" t="s">
        <v>950</v>
      </c>
    </row>
    <row r="111" spans="1:19" s="1334" customFormat="1" ht="36" customHeight="1" x14ac:dyDescent="0.25">
      <c r="A111" s="1366"/>
      <c r="B111" s="1366" t="s">
        <v>942</v>
      </c>
      <c r="C111" s="1376" t="s">
        <v>325</v>
      </c>
      <c r="D111" s="1376" t="s">
        <v>929</v>
      </c>
      <c r="E111" s="1353" t="s">
        <v>341</v>
      </c>
      <c r="F111" s="1391" t="s">
        <v>1115</v>
      </c>
      <c r="G111" s="1391" t="s">
        <v>1084</v>
      </c>
      <c r="H111" s="1376" t="s">
        <v>1116</v>
      </c>
      <c r="I111" s="1403">
        <v>19.820810000000002</v>
      </c>
      <c r="J111" s="1397">
        <v>100</v>
      </c>
      <c r="K111" s="1397">
        <v>0</v>
      </c>
      <c r="L111" s="1397">
        <v>1</v>
      </c>
      <c r="M111" s="1391" t="s">
        <v>253</v>
      </c>
      <c r="N111" s="1399" t="s">
        <v>948</v>
      </c>
      <c r="O111" s="1398">
        <v>42597</v>
      </c>
      <c r="P111" s="1398">
        <v>42614</v>
      </c>
      <c r="Q111" s="1391">
        <v>0</v>
      </c>
      <c r="R111" s="1391" t="s">
        <v>738</v>
      </c>
      <c r="S111" s="1391" t="s">
        <v>950</v>
      </c>
    </row>
    <row r="112" spans="1:19" s="1334" customFormat="1" ht="33.75" x14ac:dyDescent="0.25">
      <c r="A112" s="1366"/>
      <c r="B112" s="1366"/>
      <c r="C112" s="1376" t="s">
        <v>308</v>
      </c>
      <c r="D112" s="1376" t="s">
        <v>929</v>
      </c>
      <c r="E112" s="1353" t="s">
        <v>1117</v>
      </c>
      <c r="F112" s="1391" t="s">
        <v>201</v>
      </c>
      <c r="G112" s="1391" t="s">
        <v>1084</v>
      </c>
      <c r="H112" s="1376" t="s">
        <v>1118</v>
      </c>
      <c r="I112" s="1403">
        <v>19.820810000000002</v>
      </c>
      <c r="J112" s="1397">
        <v>100</v>
      </c>
      <c r="K112" s="1397">
        <v>0</v>
      </c>
      <c r="L112" s="1397">
        <v>1</v>
      </c>
      <c r="M112" s="1391" t="s">
        <v>253</v>
      </c>
      <c r="N112" s="1399" t="s">
        <v>948</v>
      </c>
      <c r="O112" s="1398">
        <v>42534</v>
      </c>
      <c r="P112" s="1398">
        <v>42552</v>
      </c>
      <c r="Q112" s="1391">
        <v>0</v>
      </c>
      <c r="R112" s="1391" t="s">
        <v>721</v>
      </c>
      <c r="S112" s="1391" t="s">
        <v>950</v>
      </c>
    </row>
    <row r="113" spans="1:21" s="1334" customFormat="1" ht="39" customHeight="1" x14ac:dyDescent="0.25">
      <c r="A113" s="1366"/>
      <c r="B113" s="1366"/>
      <c r="C113" s="1336" t="s">
        <v>893</v>
      </c>
      <c r="D113" s="1336" t="s">
        <v>929</v>
      </c>
      <c r="E113" s="1337" t="s">
        <v>386</v>
      </c>
      <c r="F113" s="1338" t="s">
        <v>1312</v>
      </c>
      <c r="G113" s="1338" t="s">
        <v>1084</v>
      </c>
      <c r="H113" s="1342" t="s">
        <v>1260</v>
      </c>
      <c r="I113" s="1482">
        <v>86.392459999999986</v>
      </c>
      <c r="J113" s="1335">
        <v>100</v>
      </c>
      <c r="K113" s="1335">
        <v>0</v>
      </c>
      <c r="L113" s="1465">
        <v>1</v>
      </c>
      <c r="M113" s="1466" t="s">
        <v>901</v>
      </c>
      <c r="N113" s="1341" t="s">
        <v>948</v>
      </c>
      <c r="O113" s="1359">
        <v>43382</v>
      </c>
      <c r="P113" s="1360">
        <v>43405</v>
      </c>
      <c r="Q113" s="1464">
        <v>0</v>
      </c>
      <c r="R113" s="1464" t="s">
        <v>1313</v>
      </c>
      <c r="S113" s="1464" t="s">
        <v>939</v>
      </c>
    </row>
    <row r="114" spans="1:21" s="1334" customFormat="1" ht="25.5" customHeight="1" x14ac:dyDescent="0.25">
      <c r="A114" s="1366"/>
      <c r="B114" s="1366"/>
      <c r="C114" s="1336" t="s">
        <v>1119</v>
      </c>
      <c r="D114" s="1336" t="s">
        <v>929</v>
      </c>
      <c r="E114" s="1337" t="s">
        <v>304</v>
      </c>
      <c r="F114" s="1450">
        <v>0</v>
      </c>
      <c r="G114" s="1338" t="s">
        <v>1084</v>
      </c>
      <c r="H114" s="1342">
        <v>0</v>
      </c>
      <c r="I114" s="1365">
        <v>64.864860000000007</v>
      </c>
      <c r="J114" s="1335">
        <v>100</v>
      </c>
      <c r="K114" s="1335">
        <v>0</v>
      </c>
      <c r="L114" s="1465">
        <v>0</v>
      </c>
      <c r="M114" s="1466" t="s">
        <v>902</v>
      </c>
      <c r="N114" s="1341" t="s">
        <v>948</v>
      </c>
      <c r="O114" s="1359">
        <v>43778</v>
      </c>
      <c r="P114" s="1360">
        <v>43800</v>
      </c>
      <c r="Q114" s="1464">
        <v>0</v>
      </c>
      <c r="R114" s="1464">
        <v>0</v>
      </c>
      <c r="S114" s="1464" t="s">
        <v>944</v>
      </c>
    </row>
    <row r="115" spans="1:21" s="1334" customFormat="1" ht="56.25" x14ac:dyDescent="0.25">
      <c r="A115" s="1366"/>
      <c r="B115" s="1366"/>
      <c r="C115" s="1336" t="s">
        <v>1180</v>
      </c>
      <c r="D115" s="1336" t="s">
        <v>929</v>
      </c>
      <c r="E115" s="1337" t="s">
        <v>1250</v>
      </c>
      <c r="F115" s="1450" t="s">
        <v>1410</v>
      </c>
      <c r="G115" s="1338" t="s">
        <v>1084</v>
      </c>
      <c r="H115" s="1342" t="s">
        <v>1255</v>
      </c>
      <c r="I115" s="1365">
        <v>32.936419999999998</v>
      </c>
      <c r="J115" s="1335">
        <v>100</v>
      </c>
      <c r="K115" s="1335">
        <v>0</v>
      </c>
      <c r="L115" s="1465">
        <v>1</v>
      </c>
      <c r="M115" s="1365" t="s">
        <v>253</v>
      </c>
      <c r="N115" s="1341" t="s">
        <v>948</v>
      </c>
      <c r="O115" s="1359">
        <v>43313</v>
      </c>
      <c r="P115" s="1360">
        <v>43344</v>
      </c>
      <c r="Q115" s="1464">
        <v>0</v>
      </c>
      <c r="R115" s="1464" t="s">
        <v>1413</v>
      </c>
      <c r="S115" s="1464" t="s">
        <v>939</v>
      </c>
      <c r="U115" s="1459"/>
    </row>
    <row r="116" spans="1:21" s="1334" customFormat="1" ht="56.25" customHeight="1" x14ac:dyDescent="0.25">
      <c r="A116" s="1366"/>
      <c r="B116" s="1366"/>
      <c r="C116" s="1449" t="s">
        <v>1181</v>
      </c>
      <c r="D116" s="1449" t="s">
        <v>929</v>
      </c>
      <c r="E116" s="1337" t="s">
        <v>1251</v>
      </c>
      <c r="F116" s="1450" t="s">
        <v>1411</v>
      </c>
      <c r="G116" s="1450" t="s">
        <v>1084</v>
      </c>
      <c r="H116" s="1342" t="s">
        <v>1254</v>
      </c>
      <c r="I116" s="1365">
        <v>119.85104</v>
      </c>
      <c r="J116" s="1365">
        <v>100</v>
      </c>
      <c r="K116" s="1365">
        <v>0</v>
      </c>
      <c r="L116" s="1365">
        <v>1</v>
      </c>
      <c r="M116" s="1365" t="s">
        <v>253</v>
      </c>
      <c r="N116" s="1365" t="s">
        <v>948</v>
      </c>
      <c r="O116" s="1359">
        <v>43313</v>
      </c>
      <c r="P116" s="1360">
        <v>43344</v>
      </c>
      <c r="Q116" s="1464">
        <v>0</v>
      </c>
      <c r="R116" s="1464" t="s">
        <v>1414</v>
      </c>
      <c r="S116" s="1464" t="s">
        <v>939</v>
      </c>
      <c r="U116" s="1460"/>
    </row>
    <row r="117" spans="1:21" s="1334" customFormat="1" ht="60.75" customHeight="1" x14ac:dyDescent="0.25">
      <c r="A117" s="1366"/>
      <c r="B117" s="1366"/>
      <c r="C117" s="1449" t="s">
        <v>1182</v>
      </c>
      <c r="D117" s="1449" t="s">
        <v>929</v>
      </c>
      <c r="E117" s="1337" t="s">
        <v>1252</v>
      </c>
      <c r="F117" s="1450" t="s">
        <v>1412</v>
      </c>
      <c r="G117" s="1450" t="s">
        <v>1084</v>
      </c>
      <c r="H117" s="1342" t="s">
        <v>1253</v>
      </c>
      <c r="I117" s="1365">
        <v>110.92491</v>
      </c>
      <c r="J117" s="1365">
        <v>100</v>
      </c>
      <c r="K117" s="1365">
        <v>0</v>
      </c>
      <c r="L117" s="1365">
        <v>1</v>
      </c>
      <c r="M117" s="1365" t="s">
        <v>253</v>
      </c>
      <c r="N117" s="1365" t="s">
        <v>948</v>
      </c>
      <c r="O117" s="1359">
        <v>43313</v>
      </c>
      <c r="P117" s="1360">
        <v>43344</v>
      </c>
      <c r="Q117" s="1464">
        <v>0</v>
      </c>
      <c r="R117" s="1464" t="s">
        <v>1415</v>
      </c>
      <c r="S117" s="1464" t="s">
        <v>939</v>
      </c>
      <c r="U117" s="1460"/>
    </row>
    <row r="118" spans="1:21" s="1334" customFormat="1" ht="37.5" customHeight="1" x14ac:dyDescent="0.25">
      <c r="A118" s="1366"/>
      <c r="B118" s="1366"/>
      <c r="C118" s="1449" t="s">
        <v>1183</v>
      </c>
      <c r="D118" s="1449" t="s">
        <v>929</v>
      </c>
      <c r="E118" s="1337" t="s">
        <v>1490</v>
      </c>
      <c r="F118" s="1349">
        <v>0</v>
      </c>
      <c r="G118" s="1450" t="s">
        <v>1084</v>
      </c>
      <c r="H118" s="1342" t="s">
        <v>1334</v>
      </c>
      <c r="I118" s="1365">
        <v>85.690960000000004</v>
      </c>
      <c r="J118" s="1365">
        <v>100</v>
      </c>
      <c r="K118" s="1365">
        <v>0</v>
      </c>
      <c r="L118" s="1365">
        <v>0</v>
      </c>
      <c r="M118" s="1365" t="s">
        <v>253</v>
      </c>
      <c r="N118" s="1365" t="s">
        <v>948</v>
      </c>
      <c r="O118" s="1359">
        <v>43586</v>
      </c>
      <c r="P118" s="1360">
        <v>43617</v>
      </c>
      <c r="Q118" s="1464">
        <v>0</v>
      </c>
      <c r="R118" s="1464">
        <v>0</v>
      </c>
      <c r="S118" s="1464" t="s">
        <v>944</v>
      </c>
      <c r="U118" s="1460"/>
    </row>
    <row r="119" spans="1:21" s="1334" customFormat="1" ht="33.75" x14ac:dyDescent="0.25">
      <c r="A119" s="1366"/>
      <c r="B119" s="1366"/>
      <c r="C119" s="1466" t="s">
        <v>1184</v>
      </c>
      <c r="D119" s="1466" t="s">
        <v>929</v>
      </c>
      <c r="E119" s="1337" t="s">
        <v>1491</v>
      </c>
      <c r="F119" s="1349">
        <v>0</v>
      </c>
      <c r="G119" s="1464" t="s">
        <v>1084</v>
      </c>
      <c r="H119" s="1342" t="s">
        <v>1332</v>
      </c>
      <c r="I119" s="1365" t="s">
        <v>1396</v>
      </c>
      <c r="J119" s="1365">
        <v>100</v>
      </c>
      <c r="K119" s="1365">
        <v>0</v>
      </c>
      <c r="L119" s="1365">
        <v>0</v>
      </c>
      <c r="M119" s="1365" t="s">
        <v>253</v>
      </c>
      <c r="N119" s="1365" t="s">
        <v>948</v>
      </c>
      <c r="O119" s="1359">
        <v>43525</v>
      </c>
      <c r="P119" s="1360">
        <v>43556</v>
      </c>
      <c r="Q119" s="1464">
        <v>0</v>
      </c>
      <c r="R119" s="1464">
        <v>0</v>
      </c>
      <c r="S119" s="1464" t="s">
        <v>932</v>
      </c>
    </row>
    <row r="120" spans="1:21" s="1334" customFormat="1" ht="22.5" x14ac:dyDescent="0.25">
      <c r="A120" s="1366"/>
      <c r="B120" s="1366"/>
      <c r="C120" s="1466" t="s">
        <v>1185</v>
      </c>
      <c r="D120" s="1466" t="s">
        <v>929</v>
      </c>
      <c r="E120" s="1337" t="s">
        <v>1284</v>
      </c>
      <c r="F120" s="1349">
        <v>0</v>
      </c>
      <c r="G120" s="1464" t="s">
        <v>1084</v>
      </c>
      <c r="H120" s="1342" t="s">
        <v>1328</v>
      </c>
      <c r="I120" s="1365">
        <v>56.75676</v>
      </c>
      <c r="J120" s="1365">
        <v>100</v>
      </c>
      <c r="K120" s="1365">
        <v>0</v>
      </c>
      <c r="L120" s="1365">
        <v>0</v>
      </c>
      <c r="M120" s="1365" t="s">
        <v>315</v>
      </c>
      <c r="N120" s="1365" t="s">
        <v>948</v>
      </c>
      <c r="O120" s="1359">
        <v>43617</v>
      </c>
      <c r="P120" s="1360">
        <v>43647</v>
      </c>
      <c r="Q120" s="1464">
        <v>0</v>
      </c>
      <c r="R120" s="1464">
        <v>0</v>
      </c>
      <c r="S120" s="1365" t="s">
        <v>944</v>
      </c>
    </row>
    <row r="121" spans="1:21" s="1334" customFormat="1" ht="22.5" x14ac:dyDescent="0.25">
      <c r="A121" s="1366"/>
      <c r="B121" s="1366"/>
      <c r="C121" s="1466" t="s">
        <v>1186</v>
      </c>
      <c r="D121" s="1466" t="s">
        <v>929</v>
      </c>
      <c r="E121" s="1337" t="s">
        <v>1285</v>
      </c>
      <c r="F121" s="1349">
        <v>0</v>
      </c>
      <c r="G121" s="1464" t="s">
        <v>1084</v>
      </c>
      <c r="H121" s="1342" t="s">
        <v>1329</v>
      </c>
      <c r="I121" s="1365">
        <v>56.75676</v>
      </c>
      <c r="J121" s="1365">
        <v>100</v>
      </c>
      <c r="K121" s="1365">
        <v>0</v>
      </c>
      <c r="L121" s="1365">
        <v>0</v>
      </c>
      <c r="M121" s="1365" t="s">
        <v>315</v>
      </c>
      <c r="N121" s="1365" t="s">
        <v>948</v>
      </c>
      <c r="O121" s="1359">
        <v>43617</v>
      </c>
      <c r="P121" s="1360">
        <v>43647</v>
      </c>
      <c r="Q121" s="1464">
        <v>0</v>
      </c>
      <c r="R121" s="1464">
        <v>0</v>
      </c>
      <c r="S121" s="1365" t="s">
        <v>944</v>
      </c>
    </row>
    <row r="122" spans="1:21" s="1334" customFormat="1" ht="24" customHeight="1" x14ac:dyDescent="0.25">
      <c r="A122" s="1366"/>
      <c r="B122" s="1366"/>
      <c r="C122" s="1466" t="s">
        <v>1187</v>
      </c>
      <c r="D122" s="1466" t="s">
        <v>929</v>
      </c>
      <c r="E122" s="1337" t="s">
        <v>1286</v>
      </c>
      <c r="F122" s="1349">
        <v>0</v>
      </c>
      <c r="G122" s="1464" t="s">
        <v>1084</v>
      </c>
      <c r="H122" s="1342" t="s">
        <v>1330</v>
      </c>
      <c r="I122" s="1365">
        <v>56.75676</v>
      </c>
      <c r="J122" s="1365">
        <v>100</v>
      </c>
      <c r="K122" s="1365">
        <v>0</v>
      </c>
      <c r="L122" s="1365">
        <v>0</v>
      </c>
      <c r="M122" s="1365" t="s">
        <v>315</v>
      </c>
      <c r="N122" s="1365" t="s">
        <v>948</v>
      </c>
      <c r="O122" s="1359">
        <v>43617</v>
      </c>
      <c r="P122" s="1360">
        <v>43647</v>
      </c>
      <c r="Q122" s="1464">
        <v>0</v>
      </c>
      <c r="R122" s="1464">
        <v>0</v>
      </c>
      <c r="S122" s="1365" t="s">
        <v>944</v>
      </c>
    </row>
    <row r="123" spans="1:21" s="1334" customFormat="1" ht="26.25" customHeight="1" x14ac:dyDescent="0.25">
      <c r="A123" s="1366"/>
      <c r="B123" s="1366"/>
      <c r="C123" s="1466" t="s">
        <v>1188</v>
      </c>
      <c r="D123" s="1466" t="s">
        <v>929</v>
      </c>
      <c r="E123" s="1337" t="s">
        <v>1283</v>
      </c>
      <c r="F123" s="1349">
        <v>0</v>
      </c>
      <c r="G123" s="1464" t="s">
        <v>1084</v>
      </c>
      <c r="H123" s="1342" t="s">
        <v>1331</v>
      </c>
      <c r="I123" s="1365">
        <v>13.51351</v>
      </c>
      <c r="J123" s="1365">
        <v>100</v>
      </c>
      <c r="K123" s="1365">
        <v>0</v>
      </c>
      <c r="L123" s="1365">
        <v>0</v>
      </c>
      <c r="M123" s="1365" t="s">
        <v>253</v>
      </c>
      <c r="N123" s="1365" t="s">
        <v>948</v>
      </c>
      <c r="O123" s="1359">
        <v>43586</v>
      </c>
      <c r="P123" s="1360">
        <v>43617</v>
      </c>
      <c r="Q123" s="1464">
        <v>0</v>
      </c>
      <c r="R123" s="1464">
        <v>0</v>
      </c>
      <c r="S123" s="1365" t="s">
        <v>944</v>
      </c>
    </row>
    <row r="124" spans="1:21" s="1334" customFormat="1" ht="26.25" customHeight="1" x14ac:dyDescent="0.25">
      <c r="A124" s="1366"/>
      <c r="B124" s="1366"/>
      <c r="C124" s="1466" t="s">
        <v>1189</v>
      </c>
      <c r="D124" s="1466" t="s">
        <v>929</v>
      </c>
      <c r="E124" s="1337" t="s">
        <v>1453</v>
      </c>
      <c r="F124" s="1349">
        <v>0</v>
      </c>
      <c r="G124" s="1464" t="s">
        <v>1084</v>
      </c>
      <c r="H124" s="1342">
        <v>0</v>
      </c>
      <c r="I124" s="1365">
        <v>85</v>
      </c>
      <c r="J124" s="1365">
        <v>100</v>
      </c>
      <c r="K124" s="1365">
        <v>0</v>
      </c>
      <c r="L124" s="1365">
        <v>0</v>
      </c>
      <c r="M124" s="1365" t="s">
        <v>315</v>
      </c>
      <c r="N124" s="1365" t="s">
        <v>948</v>
      </c>
      <c r="O124" s="1359">
        <v>43647</v>
      </c>
      <c r="P124" s="1360">
        <v>43678</v>
      </c>
      <c r="Q124" s="1464">
        <v>0</v>
      </c>
      <c r="R124" s="1464">
        <v>0</v>
      </c>
      <c r="S124" s="1365" t="s">
        <v>944</v>
      </c>
    </row>
    <row r="125" spans="1:21" s="1326" customFormat="1" ht="13.5" customHeight="1" x14ac:dyDescent="0.25">
      <c r="A125" s="1325"/>
      <c r="B125" s="1325"/>
      <c r="C125" s="1325"/>
      <c r="D125" s="1325"/>
      <c r="E125" s="1392"/>
      <c r="F125" s="1393"/>
      <c r="H125" s="1326" t="s">
        <v>0</v>
      </c>
      <c r="I125" s="1400">
        <f>SUM(I95:I124)</f>
        <v>1600.47435</v>
      </c>
      <c r="J125" s="1325"/>
      <c r="K125" s="1395"/>
      <c r="L125" s="1395"/>
      <c r="M125" s="1392"/>
      <c r="N125" s="1392"/>
      <c r="O125" s="1392"/>
      <c r="P125" s="1392"/>
      <c r="Q125" s="1392"/>
      <c r="R125" s="1392"/>
      <c r="S125" s="1393"/>
      <c r="T125" s="1461"/>
    </row>
    <row r="127" spans="1:21" ht="15.75" customHeight="1" x14ac:dyDescent="0.25">
      <c r="C127" s="1404">
        <v>6</v>
      </c>
      <c r="D127" s="1566" t="s">
        <v>1205</v>
      </c>
      <c r="E127" s="1566"/>
      <c r="F127" s="1566"/>
      <c r="G127" s="1566"/>
      <c r="H127" s="1566"/>
      <c r="I127" s="1566"/>
      <c r="J127" s="1566"/>
      <c r="K127" s="1566"/>
      <c r="L127" s="1566"/>
      <c r="M127" s="1566"/>
      <c r="N127" s="1566"/>
      <c r="O127" s="1566"/>
      <c r="P127" s="1566"/>
      <c r="Q127" s="1566"/>
      <c r="R127" s="1566"/>
      <c r="S127" s="1566"/>
    </row>
    <row r="128" spans="1:21" ht="15" customHeight="1" x14ac:dyDescent="0.25">
      <c r="C128" s="1576"/>
      <c r="D128" s="1565" t="s">
        <v>910</v>
      </c>
      <c r="E128" s="1565" t="s">
        <v>1194</v>
      </c>
      <c r="F128" s="1565" t="s">
        <v>912</v>
      </c>
      <c r="G128" s="1565" t="s">
        <v>1191</v>
      </c>
      <c r="H128" s="1565" t="s">
        <v>915</v>
      </c>
      <c r="I128" s="1565"/>
      <c r="J128" s="1572" t="s">
        <v>1195</v>
      </c>
      <c r="K128" s="1572"/>
      <c r="L128" s="1572"/>
      <c r="M128" s="1565" t="s">
        <v>917</v>
      </c>
      <c r="N128" s="1565" t="s">
        <v>1196</v>
      </c>
      <c r="O128" s="1565" t="s">
        <v>1197</v>
      </c>
      <c r="P128" s="1565"/>
      <c r="Q128" s="1565" t="s">
        <v>1198</v>
      </c>
      <c r="R128" s="1565" t="s">
        <v>921</v>
      </c>
      <c r="S128" s="1565" t="s">
        <v>922</v>
      </c>
    </row>
    <row r="129" spans="1:30" ht="57.75" customHeight="1" x14ac:dyDescent="0.25">
      <c r="C129" s="1577"/>
      <c r="D129" s="1565"/>
      <c r="E129" s="1565"/>
      <c r="F129" s="1565"/>
      <c r="G129" s="1565"/>
      <c r="H129" s="1565"/>
      <c r="I129" s="1565"/>
      <c r="J129" s="1331" t="s">
        <v>1405</v>
      </c>
      <c r="K129" s="1331" t="s">
        <v>924</v>
      </c>
      <c r="L129" s="1388" t="s">
        <v>925</v>
      </c>
      <c r="M129" s="1565"/>
      <c r="N129" s="1565"/>
      <c r="O129" s="1332" t="s">
        <v>1206</v>
      </c>
      <c r="P129" s="1332" t="s">
        <v>927</v>
      </c>
      <c r="Q129" s="1565"/>
      <c r="R129" s="1565"/>
      <c r="S129" s="1565"/>
      <c r="Y129" s="1329">
        <f>Z129/Z131</f>
        <v>0.51932139491046181</v>
      </c>
      <c r="Z129" s="1329">
        <v>33.06</v>
      </c>
      <c r="AB129" s="1329">
        <v>802.06868999999995</v>
      </c>
      <c r="AD129" s="1329">
        <f>AB129*Z129</f>
        <v>26516.390891399999</v>
      </c>
    </row>
    <row r="130" spans="1:30" s="1340" customFormat="1" ht="60" customHeight="1" x14ac:dyDescent="0.25">
      <c r="A130" s="1366" t="s">
        <v>990</v>
      </c>
      <c r="B130" s="1366"/>
      <c r="C130" s="1376" t="s">
        <v>249</v>
      </c>
      <c r="D130" s="1376" t="s">
        <v>929</v>
      </c>
      <c r="E130" s="1353" t="s">
        <v>1120</v>
      </c>
      <c r="F130" s="1391" t="s">
        <v>182</v>
      </c>
      <c r="G130" s="1391" t="s">
        <v>896</v>
      </c>
      <c r="H130" s="1584" t="s">
        <v>1121</v>
      </c>
      <c r="I130" s="1585"/>
      <c r="J130" s="1397">
        <v>20.677040000000002</v>
      </c>
      <c r="K130" s="1397">
        <v>100</v>
      </c>
      <c r="L130" s="1397">
        <v>0</v>
      </c>
      <c r="M130" s="1391" t="s">
        <v>895</v>
      </c>
      <c r="N130" s="1391" t="s">
        <v>896</v>
      </c>
      <c r="O130" s="1398">
        <v>42446</v>
      </c>
      <c r="P130" s="1398">
        <v>42461</v>
      </c>
      <c r="Q130" s="1391" t="s">
        <v>1122</v>
      </c>
      <c r="R130" s="1391" t="s">
        <v>159</v>
      </c>
      <c r="S130" s="1391" t="s">
        <v>950</v>
      </c>
      <c r="Y130" s="1340">
        <f>Z130/Z131</f>
        <v>0.48067860508953819</v>
      </c>
      <c r="Z130" s="1340">
        <v>30.6</v>
      </c>
      <c r="AD130" s="1340">
        <f>AB129+Z130</f>
        <v>832.66868999999997</v>
      </c>
    </row>
    <row r="131" spans="1:30" s="1340" customFormat="1" ht="144.75" customHeight="1" x14ac:dyDescent="0.25">
      <c r="A131" s="1366"/>
      <c r="B131" s="1366"/>
      <c r="C131" s="1376" t="s">
        <v>326</v>
      </c>
      <c r="D131" s="1376" t="s">
        <v>929</v>
      </c>
      <c r="E131" s="1353" t="s">
        <v>342</v>
      </c>
      <c r="F131" s="1391" t="s">
        <v>1242</v>
      </c>
      <c r="G131" s="1391" t="s">
        <v>896</v>
      </c>
      <c r="H131" s="1586" t="s">
        <v>1123</v>
      </c>
      <c r="I131" s="1587"/>
      <c r="J131" s="1397">
        <v>20.300980000000003</v>
      </c>
      <c r="K131" s="1397">
        <v>100</v>
      </c>
      <c r="L131" s="1397">
        <v>0</v>
      </c>
      <c r="M131" s="1391" t="s">
        <v>253</v>
      </c>
      <c r="N131" s="1391" t="s">
        <v>896</v>
      </c>
      <c r="O131" s="1405" t="s">
        <v>1124</v>
      </c>
      <c r="P131" s="1405" t="s">
        <v>1125</v>
      </c>
      <c r="Q131" s="1391" t="s">
        <v>1122</v>
      </c>
      <c r="R131" s="1391" t="s">
        <v>1126</v>
      </c>
      <c r="S131" s="1391" t="s">
        <v>950</v>
      </c>
      <c r="Z131" s="1340">
        <f>Z130+Z129</f>
        <v>63.660000000000004</v>
      </c>
    </row>
    <row r="132" spans="1:30" s="1340" customFormat="1" ht="334.5" customHeight="1" x14ac:dyDescent="0.25">
      <c r="A132" s="1366"/>
      <c r="B132" s="1366"/>
      <c r="C132" s="1449" t="s">
        <v>426</v>
      </c>
      <c r="D132" s="1449" t="s">
        <v>929</v>
      </c>
      <c r="E132" s="1353" t="s">
        <v>1120</v>
      </c>
      <c r="F132" s="1444" t="s">
        <v>1416</v>
      </c>
      <c r="G132" s="1391" t="s">
        <v>896</v>
      </c>
      <c r="H132" s="1586" t="s">
        <v>1127</v>
      </c>
      <c r="I132" s="1587"/>
      <c r="J132" s="1397">
        <v>84.043960000000013</v>
      </c>
      <c r="K132" s="1397">
        <v>100</v>
      </c>
      <c r="L132" s="1397">
        <v>0</v>
      </c>
      <c r="M132" s="1391" t="s">
        <v>895</v>
      </c>
      <c r="N132" s="1391" t="s">
        <v>896</v>
      </c>
      <c r="O132" s="1405" t="s">
        <v>1128</v>
      </c>
      <c r="P132" s="1405" t="s">
        <v>1129</v>
      </c>
      <c r="Q132" s="1391" t="s">
        <v>1122</v>
      </c>
      <c r="R132" s="1391" t="s">
        <v>1417</v>
      </c>
      <c r="S132" s="1338" t="s">
        <v>939</v>
      </c>
    </row>
    <row r="133" spans="1:30" s="1326" customFormat="1" x14ac:dyDescent="0.25">
      <c r="A133" s="1325"/>
      <c r="B133" s="1325"/>
      <c r="C133" s="1325"/>
      <c r="D133" s="1393"/>
      <c r="E133" s="1392"/>
      <c r="F133" s="1393"/>
      <c r="G133" s="1392"/>
      <c r="H133" s="1392"/>
      <c r="I133" s="1326" t="s">
        <v>0</v>
      </c>
      <c r="J133" s="1394">
        <f>SUM(J130:J132)</f>
        <v>125.02198000000001</v>
      </c>
      <c r="K133" s="1400"/>
      <c r="L133" s="1395"/>
      <c r="M133" s="1395"/>
      <c r="N133" s="1392"/>
      <c r="O133" s="1392"/>
      <c r="P133" s="1392"/>
      <c r="Q133" s="1392"/>
      <c r="R133" s="1392"/>
      <c r="S133" s="1393"/>
    </row>
    <row r="134" spans="1:30" x14ac:dyDescent="0.25">
      <c r="H134" s="1406"/>
      <c r="I134" s="1406"/>
      <c r="J134" s="1407"/>
      <c r="K134" s="1408"/>
      <c r="L134" s="1409"/>
      <c r="M134" s="1409"/>
      <c r="N134" s="1406"/>
      <c r="O134" s="1406"/>
      <c r="P134" s="1406"/>
      <c r="Q134" s="1406"/>
      <c r="R134" s="1406"/>
      <c r="S134" s="1407"/>
    </row>
    <row r="135" spans="1:30" ht="15.75" customHeight="1" x14ac:dyDescent="0.25">
      <c r="C135" s="1404">
        <v>7</v>
      </c>
      <c r="D135" s="1566" t="s">
        <v>1207</v>
      </c>
      <c r="E135" s="1566"/>
      <c r="F135" s="1566"/>
      <c r="G135" s="1566"/>
      <c r="H135" s="1566"/>
      <c r="I135" s="1566"/>
      <c r="J135" s="1566"/>
      <c r="K135" s="1566"/>
      <c r="L135" s="1566"/>
      <c r="M135" s="1566"/>
      <c r="N135" s="1566"/>
      <c r="O135" s="1566"/>
      <c r="P135" s="1566"/>
      <c r="Q135" s="1566"/>
      <c r="R135" s="1566"/>
      <c r="S135" s="1566"/>
    </row>
    <row r="136" spans="1:30" ht="15" customHeight="1" x14ac:dyDescent="0.25">
      <c r="C136" s="1588"/>
      <c r="D136" s="1565" t="s">
        <v>910</v>
      </c>
      <c r="E136" s="1565" t="s">
        <v>1208</v>
      </c>
      <c r="F136" s="1565" t="s">
        <v>912</v>
      </c>
      <c r="G136" s="1565"/>
      <c r="H136" s="1565" t="s">
        <v>915</v>
      </c>
      <c r="I136" s="1565"/>
      <c r="J136" s="1572" t="s">
        <v>1195</v>
      </c>
      <c r="K136" s="1572"/>
      <c r="L136" s="1572"/>
      <c r="M136" s="1565" t="s">
        <v>917</v>
      </c>
      <c r="N136" s="1569" t="s">
        <v>1209</v>
      </c>
      <c r="O136" s="1565" t="s">
        <v>1197</v>
      </c>
      <c r="P136" s="1565"/>
      <c r="Q136" s="1565" t="s">
        <v>1210</v>
      </c>
      <c r="R136" s="1565" t="s">
        <v>921</v>
      </c>
      <c r="S136" s="1565" t="s">
        <v>922</v>
      </c>
    </row>
    <row r="137" spans="1:30" ht="56.45" customHeight="1" x14ac:dyDescent="0.25">
      <c r="C137" s="1588"/>
      <c r="D137" s="1565"/>
      <c r="E137" s="1565"/>
      <c r="F137" s="1565"/>
      <c r="G137" s="1565"/>
      <c r="H137" s="1565"/>
      <c r="I137" s="1565"/>
      <c r="J137" s="1331" t="s">
        <v>1405</v>
      </c>
      <c r="K137" s="1332" t="s">
        <v>924</v>
      </c>
      <c r="L137" s="1331" t="s">
        <v>925</v>
      </c>
      <c r="M137" s="1565"/>
      <c r="N137" s="1569"/>
      <c r="O137" s="1332" t="s">
        <v>1211</v>
      </c>
      <c r="P137" s="1332" t="s">
        <v>1212</v>
      </c>
      <c r="Q137" s="1565"/>
      <c r="R137" s="1565"/>
      <c r="S137" s="1565"/>
    </row>
    <row r="138" spans="1:30" ht="36.75" customHeight="1" x14ac:dyDescent="0.25">
      <c r="C138" s="1410" t="s">
        <v>1131</v>
      </c>
      <c r="D138" s="1410" t="s">
        <v>1132</v>
      </c>
      <c r="E138" s="1411" t="s">
        <v>1133</v>
      </c>
      <c r="F138" s="1561" t="s">
        <v>1481</v>
      </c>
      <c r="G138" s="1562"/>
      <c r="H138" s="1561"/>
      <c r="I138" s="1562"/>
      <c r="J138" s="1367"/>
      <c r="K138" s="1367"/>
      <c r="L138" s="1367"/>
      <c r="M138" s="1348"/>
      <c r="N138" s="1412"/>
      <c r="O138" s="1369"/>
      <c r="P138" s="1370"/>
      <c r="Q138" s="1348"/>
      <c r="R138" s="1348"/>
      <c r="S138" s="1348"/>
    </row>
    <row r="139" spans="1:30" ht="40.5" customHeight="1" x14ac:dyDescent="0.25">
      <c r="C139" s="1336" t="s">
        <v>868</v>
      </c>
      <c r="D139" s="1336" t="s">
        <v>1132</v>
      </c>
      <c r="E139" s="1372" t="s">
        <v>999</v>
      </c>
      <c r="F139" s="1567" t="s">
        <v>215</v>
      </c>
      <c r="G139" s="1568"/>
      <c r="H139" s="1561" t="s">
        <v>1134</v>
      </c>
      <c r="I139" s="1562"/>
      <c r="J139" s="1335">
        <v>291.32947999999999</v>
      </c>
      <c r="K139" s="1335">
        <v>100</v>
      </c>
      <c r="L139" s="1335">
        <v>0</v>
      </c>
      <c r="M139" s="1335" t="s">
        <v>901</v>
      </c>
      <c r="N139" s="1335">
        <v>0</v>
      </c>
      <c r="O139" s="1339">
        <v>42472</v>
      </c>
      <c r="P139" s="1339">
        <v>42495</v>
      </c>
      <c r="Q139" s="1338" t="s">
        <v>946</v>
      </c>
      <c r="R139" s="1338" t="s">
        <v>1000</v>
      </c>
      <c r="S139" s="1338" t="s">
        <v>950</v>
      </c>
    </row>
    <row r="140" spans="1:30" ht="29.25" customHeight="1" x14ac:dyDescent="0.25">
      <c r="C140" s="1336" t="s">
        <v>866</v>
      </c>
      <c r="D140" s="1336" t="s">
        <v>1132</v>
      </c>
      <c r="E140" s="1372" t="s">
        <v>380</v>
      </c>
      <c r="F140" s="1567" t="s">
        <v>1135</v>
      </c>
      <c r="G140" s="1568"/>
      <c r="H140" s="1561" t="s">
        <v>1136</v>
      </c>
      <c r="I140" s="1562"/>
      <c r="J140" s="1335">
        <v>369.3947</v>
      </c>
      <c r="K140" s="1335">
        <v>100</v>
      </c>
      <c r="L140" s="1335">
        <v>0</v>
      </c>
      <c r="M140" s="1335" t="s">
        <v>901</v>
      </c>
      <c r="N140" s="1335">
        <v>0</v>
      </c>
      <c r="O140" s="1339">
        <v>42683</v>
      </c>
      <c r="P140" s="1339">
        <v>42737</v>
      </c>
      <c r="Q140" s="1338" t="s">
        <v>946</v>
      </c>
      <c r="R140" s="1338" t="s">
        <v>1000</v>
      </c>
      <c r="S140" s="1338" t="s">
        <v>950</v>
      </c>
    </row>
    <row r="141" spans="1:30" ht="35.25" customHeight="1" x14ac:dyDescent="0.25">
      <c r="C141" s="1336" t="s">
        <v>869</v>
      </c>
      <c r="D141" s="1336" t="s">
        <v>1132</v>
      </c>
      <c r="E141" s="1372" t="s">
        <v>1137</v>
      </c>
      <c r="F141" s="1567" t="s">
        <v>1001</v>
      </c>
      <c r="G141" s="1568"/>
      <c r="H141" s="1561">
        <v>0</v>
      </c>
      <c r="I141" s="1562"/>
      <c r="J141" s="1335">
        <v>159.32432999999997</v>
      </c>
      <c r="K141" s="1335">
        <v>100</v>
      </c>
      <c r="L141" s="1335">
        <v>0</v>
      </c>
      <c r="M141" s="1335" t="s">
        <v>901</v>
      </c>
      <c r="N141" s="1335">
        <v>0</v>
      </c>
      <c r="O141" s="1339">
        <v>42468</v>
      </c>
      <c r="P141" s="1339">
        <v>42495</v>
      </c>
      <c r="Q141" s="1338" t="s">
        <v>946</v>
      </c>
      <c r="R141" s="1338" t="s">
        <v>1000</v>
      </c>
      <c r="S141" s="1338" t="s">
        <v>950</v>
      </c>
    </row>
    <row r="142" spans="1:30" ht="29.25" customHeight="1" x14ac:dyDescent="0.25">
      <c r="C142" s="1336" t="s">
        <v>863</v>
      </c>
      <c r="D142" s="1336" t="s">
        <v>1132</v>
      </c>
      <c r="E142" s="1372" t="s">
        <v>381</v>
      </c>
      <c r="F142" s="1567" t="s">
        <v>1138</v>
      </c>
      <c r="G142" s="1568"/>
      <c r="H142" s="1561">
        <v>0</v>
      </c>
      <c r="I142" s="1562"/>
      <c r="J142" s="1335">
        <v>91.04046000000001</v>
      </c>
      <c r="K142" s="1335">
        <v>100</v>
      </c>
      <c r="L142" s="1335">
        <v>0</v>
      </c>
      <c r="M142" s="1335" t="s">
        <v>901</v>
      </c>
      <c r="N142" s="1335">
        <v>0</v>
      </c>
      <c r="O142" s="1339">
        <v>42501</v>
      </c>
      <c r="P142" s="1339">
        <v>42614</v>
      </c>
      <c r="Q142" s="1338" t="s">
        <v>946</v>
      </c>
      <c r="R142" s="1338" t="s">
        <v>1000</v>
      </c>
      <c r="S142" s="1338" t="s">
        <v>950</v>
      </c>
    </row>
    <row r="143" spans="1:30" ht="72.75" customHeight="1" x14ac:dyDescent="0.25">
      <c r="C143" s="1336" t="s">
        <v>864</v>
      </c>
      <c r="D143" s="1336" t="s">
        <v>1132</v>
      </c>
      <c r="E143" s="1372" t="s">
        <v>1002</v>
      </c>
      <c r="F143" s="1567" t="s">
        <v>1003</v>
      </c>
      <c r="G143" s="1568"/>
      <c r="H143" s="1561" t="s">
        <v>1139</v>
      </c>
      <c r="I143" s="1562"/>
      <c r="J143" s="1335">
        <v>163.99422000000001</v>
      </c>
      <c r="K143" s="1335">
        <v>100</v>
      </c>
      <c r="L143" s="1335">
        <v>0</v>
      </c>
      <c r="M143" s="1335" t="s">
        <v>901</v>
      </c>
      <c r="N143" s="1335">
        <v>0</v>
      </c>
      <c r="O143" s="1339">
        <v>42501</v>
      </c>
      <c r="P143" s="1368" t="s">
        <v>1140</v>
      </c>
      <c r="Q143" s="1338" t="s">
        <v>946</v>
      </c>
      <c r="R143" s="1338" t="s">
        <v>1000</v>
      </c>
      <c r="S143" s="1338" t="s">
        <v>950</v>
      </c>
    </row>
    <row r="144" spans="1:30" ht="41.25" customHeight="1" x14ac:dyDescent="0.25">
      <c r="C144" s="1336" t="s">
        <v>865</v>
      </c>
      <c r="D144" s="1336" t="s">
        <v>1132</v>
      </c>
      <c r="E144" s="1372" t="s">
        <v>1004</v>
      </c>
      <c r="F144" s="1567" t="s">
        <v>218</v>
      </c>
      <c r="G144" s="1568"/>
      <c r="H144" s="1561" t="s">
        <v>1141</v>
      </c>
      <c r="I144" s="1562"/>
      <c r="J144" s="1335">
        <v>184.96386999999999</v>
      </c>
      <c r="K144" s="1335">
        <v>100</v>
      </c>
      <c r="L144" s="1335">
        <v>0</v>
      </c>
      <c r="M144" s="1335" t="s">
        <v>901</v>
      </c>
      <c r="N144" s="1335">
        <v>0</v>
      </c>
      <c r="O144" s="1339">
        <v>42503</v>
      </c>
      <c r="P144" s="1339">
        <v>42552</v>
      </c>
      <c r="Q144" s="1338" t="s">
        <v>946</v>
      </c>
      <c r="R144" s="1338" t="s">
        <v>1000</v>
      </c>
      <c r="S144" s="1338" t="s">
        <v>950</v>
      </c>
    </row>
    <row r="145" spans="3:20" ht="40.5" customHeight="1" x14ac:dyDescent="0.25">
      <c r="C145" s="1336" t="s">
        <v>877</v>
      </c>
      <c r="D145" s="1336" t="s">
        <v>1132</v>
      </c>
      <c r="E145" s="1372" t="s">
        <v>382</v>
      </c>
      <c r="F145" s="1567" t="s">
        <v>1142</v>
      </c>
      <c r="G145" s="1568"/>
      <c r="H145" s="1561" t="s">
        <v>1143</v>
      </c>
      <c r="I145" s="1562"/>
      <c r="J145" s="1335">
        <v>399.58560999999997</v>
      </c>
      <c r="K145" s="1335">
        <v>100</v>
      </c>
      <c r="L145" s="1335">
        <v>0</v>
      </c>
      <c r="M145" s="1335" t="s">
        <v>901</v>
      </c>
      <c r="N145" s="1335">
        <v>0</v>
      </c>
      <c r="O145" s="1339">
        <v>42565</v>
      </c>
      <c r="P145" s="1339">
        <v>42699</v>
      </c>
      <c r="Q145" s="1338" t="s">
        <v>946</v>
      </c>
      <c r="R145" s="1338" t="s">
        <v>1000</v>
      </c>
      <c r="S145" s="1338" t="s">
        <v>950</v>
      </c>
    </row>
    <row r="146" spans="3:20" ht="29.25" customHeight="1" x14ac:dyDescent="0.25">
      <c r="C146" s="1336" t="s">
        <v>862</v>
      </c>
      <c r="D146" s="1336" t="s">
        <v>1132</v>
      </c>
      <c r="E146" s="1372" t="s">
        <v>383</v>
      </c>
      <c r="F146" s="1567" t="s">
        <v>1144</v>
      </c>
      <c r="G146" s="1568"/>
      <c r="H146" s="1561">
        <v>0</v>
      </c>
      <c r="I146" s="1562"/>
      <c r="J146" s="1335">
        <v>30.96049</v>
      </c>
      <c r="K146" s="1335">
        <v>100</v>
      </c>
      <c r="L146" s="1335">
        <v>0</v>
      </c>
      <c r="M146" s="1335" t="s">
        <v>901</v>
      </c>
      <c r="N146" s="1335">
        <v>0</v>
      </c>
      <c r="O146" s="1339">
        <v>42467</v>
      </c>
      <c r="P146" s="1339">
        <v>42699</v>
      </c>
      <c r="Q146" s="1338" t="s">
        <v>946</v>
      </c>
      <c r="R146" s="1338" t="s">
        <v>1000</v>
      </c>
      <c r="S146" s="1338" t="s">
        <v>950</v>
      </c>
    </row>
    <row r="147" spans="3:20" ht="48" customHeight="1" x14ac:dyDescent="0.25">
      <c r="C147" s="1336" t="s">
        <v>874</v>
      </c>
      <c r="D147" s="1336" t="s">
        <v>1132</v>
      </c>
      <c r="E147" s="1372" t="s">
        <v>1005</v>
      </c>
      <c r="F147" s="1567" t="s">
        <v>1145</v>
      </c>
      <c r="G147" s="1568"/>
      <c r="H147" s="1561">
        <v>0</v>
      </c>
      <c r="I147" s="1562"/>
      <c r="J147" s="1335">
        <v>842.60077999999999</v>
      </c>
      <c r="K147" s="1335">
        <v>100</v>
      </c>
      <c r="L147" s="1335">
        <v>0</v>
      </c>
      <c r="M147" s="1335" t="s">
        <v>901</v>
      </c>
      <c r="N147" s="1335">
        <v>0</v>
      </c>
      <c r="O147" s="1339">
        <v>42752</v>
      </c>
      <c r="P147" s="1339" t="s">
        <v>1146</v>
      </c>
      <c r="Q147" s="1338" t="s">
        <v>946</v>
      </c>
      <c r="R147" s="1338" t="s">
        <v>1000</v>
      </c>
      <c r="S147" s="1338" t="s">
        <v>950</v>
      </c>
    </row>
    <row r="148" spans="3:20" ht="46.15" customHeight="1" x14ac:dyDescent="0.25">
      <c r="C148" s="1336" t="s">
        <v>871</v>
      </c>
      <c r="D148" s="1336" t="s">
        <v>1132</v>
      </c>
      <c r="E148" s="1372" t="s">
        <v>1006</v>
      </c>
      <c r="F148" s="1567" t="s">
        <v>213</v>
      </c>
      <c r="G148" s="1568"/>
      <c r="H148" s="1561">
        <v>0</v>
      </c>
      <c r="I148" s="1562"/>
      <c r="J148" s="1335">
        <v>14.30636</v>
      </c>
      <c r="K148" s="1335">
        <v>100</v>
      </c>
      <c r="L148" s="1335">
        <v>0</v>
      </c>
      <c r="M148" s="1335" t="s">
        <v>901</v>
      </c>
      <c r="N148" s="1335">
        <v>0</v>
      </c>
      <c r="O148" s="1339">
        <v>42467</v>
      </c>
      <c r="P148" s="1339">
        <v>42500</v>
      </c>
      <c r="Q148" s="1338" t="s">
        <v>946</v>
      </c>
      <c r="R148" s="1338" t="s">
        <v>1000</v>
      </c>
      <c r="S148" s="1338" t="s">
        <v>950</v>
      </c>
    </row>
    <row r="149" spans="3:20" ht="33.75" x14ac:dyDescent="0.25">
      <c r="C149" s="1336" t="s">
        <v>876</v>
      </c>
      <c r="D149" s="1336" t="s">
        <v>1132</v>
      </c>
      <c r="E149" s="1372" t="s">
        <v>1007</v>
      </c>
      <c r="F149" s="1567" t="s">
        <v>214</v>
      </c>
      <c r="G149" s="1568"/>
      <c r="H149" s="1561">
        <v>0</v>
      </c>
      <c r="I149" s="1562"/>
      <c r="J149" s="1335">
        <v>432.15172999999999</v>
      </c>
      <c r="K149" s="1335">
        <v>100</v>
      </c>
      <c r="L149" s="1335">
        <v>0</v>
      </c>
      <c r="M149" s="1335" t="s">
        <v>901</v>
      </c>
      <c r="N149" s="1335">
        <v>0</v>
      </c>
      <c r="O149" s="1339">
        <v>42467</v>
      </c>
      <c r="P149" s="1339">
        <v>42500</v>
      </c>
      <c r="Q149" s="1338" t="s">
        <v>946</v>
      </c>
      <c r="R149" s="1338" t="s">
        <v>1000</v>
      </c>
      <c r="S149" s="1338" t="s">
        <v>950</v>
      </c>
    </row>
    <row r="150" spans="3:20" ht="34.5" customHeight="1" x14ac:dyDescent="0.25">
      <c r="C150" s="1336" t="s">
        <v>1147</v>
      </c>
      <c r="D150" s="1336" t="s">
        <v>1132</v>
      </c>
      <c r="E150" s="1372" t="s">
        <v>1008</v>
      </c>
      <c r="F150" s="1567" t="s">
        <v>212</v>
      </c>
      <c r="G150" s="1568"/>
      <c r="H150" s="1561">
        <v>0</v>
      </c>
      <c r="I150" s="1562"/>
      <c r="J150" s="1335">
        <v>210.77457000000001</v>
      </c>
      <c r="K150" s="1335">
        <v>100</v>
      </c>
      <c r="L150" s="1335">
        <v>0</v>
      </c>
      <c r="M150" s="1335" t="s">
        <v>901</v>
      </c>
      <c r="N150" s="1335">
        <v>0</v>
      </c>
      <c r="O150" s="1339">
        <v>42467</v>
      </c>
      <c r="P150" s="1339">
        <v>42495</v>
      </c>
      <c r="Q150" s="1338" t="s">
        <v>946</v>
      </c>
      <c r="R150" s="1338" t="s">
        <v>1000</v>
      </c>
      <c r="S150" s="1338" t="s">
        <v>950</v>
      </c>
    </row>
    <row r="151" spans="3:20" ht="84" customHeight="1" x14ac:dyDescent="0.25">
      <c r="C151" s="1336" t="s">
        <v>872</v>
      </c>
      <c r="D151" s="1336" t="s">
        <v>1132</v>
      </c>
      <c r="E151" s="1372" t="s">
        <v>1038</v>
      </c>
      <c r="F151" s="1567" t="s">
        <v>1148</v>
      </c>
      <c r="G151" s="1568"/>
      <c r="H151" s="1561">
        <v>0</v>
      </c>
      <c r="I151" s="1562"/>
      <c r="J151" s="1335">
        <v>505.80923999999999</v>
      </c>
      <c r="K151" s="1335">
        <v>100</v>
      </c>
      <c r="L151" s="1335">
        <v>0</v>
      </c>
      <c r="M151" s="1338" t="s">
        <v>901</v>
      </c>
      <c r="N151" s="1341">
        <v>0</v>
      </c>
      <c r="O151" s="1339">
        <v>42467</v>
      </c>
      <c r="P151" s="1339">
        <v>42495</v>
      </c>
      <c r="Q151" s="1338" t="s">
        <v>897</v>
      </c>
      <c r="R151" s="1338" t="s">
        <v>1000</v>
      </c>
      <c r="S151" s="1338" t="s">
        <v>950</v>
      </c>
    </row>
    <row r="152" spans="3:20" ht="26.25" customHeight="1" x14ac:dyDescent="0.25">
      <c r="C152" s="1410" t="s">
        <v>879</v>
      </c>
      <c r="D152" s="1410" t="s">
        <v>1130</v>
      </c>
      <c r="E152" s="1411" t="s">
        <v>1149</v>
      </c>
      <c r="F152" s="1561" t="s">
        <v>1155</v>
      </c>
      <c r="G152" s="1562"/>
      <c r="H152" s="1561"/>
      <c r="I152" s="1562"/>
      <c r="J152" s="1367"/>
      <c r="K152" s="1367"/>
      <c r="L152" s="1367"/>
      <c r="M152" s="1367"/>
      <c r="N152" s="1367"/>
      <c r="O152" s="1413"/>
      <c r="P152" s="1370"/>
      <c r="Q152" s="1348"/>
      <c r="R152" s="1348"/>
      <c r="S152" s="1348"/>
    </row>
    <row r="153" spans="3:20" ht="47.25" customHeight="1" x14ac:dyDescent="0.25">
      <c r="C153" s="1336" t="s">
        <v>1150</v>
      </c>
      <c r="D153" s="1336" t="s">
        <v>1130</v>
      </c>
      <c r="E153" s="1372" t="s">
        <v>388</v>
      </c>
      <c r="F153" s="1561" t="s">
        <v>1155</v>
      </c>
      <c r="G153" s="1562"/>
      <c r="H153" s="1561">
        <v>0</v>
      </c>
      <c r="I153" s="1562"/>
      <c r="J153" s="1335">
        <v>35.187830000000005</v>
      </c>
      <c r="K153" s="1335">
        <v>100</v>
      </c>
      <c r="L153" s="1335">
        <v>0</v>
      </c>
      <c r="M153" s="1335" t="s">
        <v>901</v>
      </c>
      <c r="N153" s="1341">
        <v>0</v>
      </c>
      <c r="O153" s="1339">
        <v>42865</v>
      </c>
      <c r="P153" s="1339">
        <v>42891</v>
      </c>
      <c r="Q153" s="1338" t="s">
        <v>973</v>
      </c>
      <c r="R153" s="1338">
        <v>0</v>
      </c>
      <c r="S153" s="1338" t="s">
        <v>950</v>
      </c>
    </row>
    <row r="154" spans="3:20" ht="32.25" customHeight="1" x14ac:dyDescent="0.25">
      <c r="C154" s="1336" t="s">
        <v>870</v>
      </c>
      <c r="D154" s="1336" t="s">
        <v>1130</v>
      </c>
      <c r="E154" s="1372" t="s">
        <v>1151</v>
      </c>
      <c r="F154" s="1567" t="s">
        <v>216</v>
      </c>
      <c r="G154" s="1568"/>
      <c r="H154" s="1561" t="s">
        <v>1152</v>
      </c>
      <c r="I154" s="1562"/>
      <c r="J154" s="1335">
        <v>0.79285000000000005</v>
      </c>
      <c r="K154" s="1335">
        <v>100</v>
      </c>
      <c r="L154" s="1335">
        <v>0</v>
      </c>
      <c r="M154" s="1335" t="s">
        <v>901</v>
      </c>
      <c r="N154" s="1341">
        <v>0</v>
      </c>
      <c r="O154" s="1339">
        <v>41857</v>
      </c>
      <c r="P154" s="1339">
        <v>41901</v>
      </c>
      <c r="Q154" s="1338" t="s">
        <v>967</v>
      </c>
      <c r="R154" s="1338" t="s">
        <v>64</v>
      </c>
      <c r="S154" s="1338" t="s">
        <v>950</v>
      </c>
    </row>
    <row r="155" spans="3:20" ht="26.25" customHeight="1" x14ac:dyDescent="0.25">
      <c r="C155" s="1336" t="s">
        <v>1153</v>
      </c>
      <c r="D155" s="1336" t="s">
        <v>1130</v>
      </c>
      <c r="E155" s="1372" t="s">
        <v>389</v>
      </c>
      <c r="F155" s="1561" t="s">
        <v>1155</v>
      </c>
      <c r="G155" s="1562"/>
      <c r="H155" s="1561">
        <v>0</v>
      </c>
      <c r="I155" s="1562"/>
      <c r="J155" s="1335">
        <v>0.97308000000000006</v>
      </c>
      <c r="K155" s="1335">
        <v>100</v>
      </c>
      <c r="L155" s="1335">
        <v>0</v>
      </c>
      <c r="M155" s="1335" t="s">
        <v>901</v>
      </c>
      <c r="N155" s="1341">
        <v>0</v>
      </c>
      <c r="O155" s="1339">
        <v>43010</v>
      </c>
      <c r="P155" s="1339">
        <v>43044</v>
      </c>
      <c r="Q155" s="1338">
        <v>0</v>
      </c>
      <c r="R155" s="1338">
        <v>0</v>
      </c>
      <c r="S155" s="1338" t="s">
        <v>950</v>
      </c>
    </row>
    <row r="156" spans="3:20" ht="15.75" customHeight="1" x14ac:dyDescent="0.25">
      <c r="C156" s="1404">
        <v>7</v>
      </c>
      <c r="D156" s="1566" t="s">
        <v>1207</v>
      </c>
      <c r="E156" s="1566"/>
      <c r="F156" s="1566"/>
      <c r="G156" s="1566"/>
      <c r="H156" s="1566"/>
      <c r="I156" s="1566"/>
      <c r="J156" s="1566"/>
      <c r="K156" s="1566"/>
      <c r="L156" s="1566"/>
      <c r="M156" s="1566"/>
      <c r="N156" s="1566"/>
      <c r="O156" s="1566"/>
      <c r="P156" s="1566"/>
      <c r="Q156" s="1566"/>
      <c r="R156" s="1566"/>
      <c r="S156" s="1566"/>
    </row>
    <row r="157" spans="3:20" ht="15" customHeight="1" x14ac:dyDescent="0.25">
      <c r="C157" s="1588"/>
      <c r="D157" s="1565" t="s">
        <v>910</v>
      </c>
      <c r="E157" s="1565" t="s">
        <v>1208</v>
      </c>
      <c r="F157" s="1565" t="s">
        <v>912</v>
      </c>
      <c r="G157" s="1565"/>
      <c r="H157" s="1565" t="s">
        <v>915</v>
      </c>
      <c r="I157" s="1565"/>
      <c r="J157" s="1572" t="s">
        <v>1195</v>
      </c>
      <c r="K157" s="1572"/>
      <c r="L157" s="1572"/>
      <c r="M157" s="1565" t="s">
        <v>917</v>
      </c>
      <c r="N157" s="1569" t="s">
        <v>1209</v>
      </c>
      <c r="O157" s="1565" t="s">
        <v>1197</v>
      </c>
      <c r="P157" s="1565"/>
      <c r="Q157" s="1565" t="s">
        <v>1210</v>
      </c>
      <c r="R157" s="1565" t="s">
        <v>921</v>
      </c>
      <c r="S157" s="1565" t="s">
        <v>922</v>
      </c>
    </row>
    <row r="158" spans="3:20" ht="60.6" customHeight="1" x14ac:dyDescent="0.25">
      <c r="C158" s="1588"/>
      <c r="D158" s="1565"/>
      <c r="E158" s="1565"/>
      <c r="F158" s="1565"/>
      <c r="G158" s="1565"/>
      <c r="H158" s="1565"/>
      <c r="I158" s="1565"/>
      <c r="J158" s="1331" t="s">
        <v>1405</v>
      </c>
      <c r="K158" s="1332" t="s">
        <v>924</v>
      </c>
      <c r="L158" s="1331" t="s">
        <v>925</v>
      </c>
      <c r="M158" s="1565"/>
      <c r="N158" s="1569"/>
      <c r="O158" s="1332" t="s">
        <v>1211</v>
      </c>
      <c r="P158" s="1332" t="s">
        <v>1212</v>
      </c>
      <c r="Q158" s="1565"/>
      <c r="R158" s="1565"/>
      <c r="S158" s="1565"/>
    </row>
    <row r="159" spans="3:20" ht="39" customHeight="1" x14ac:dyDescent="0.25">
      <c r="C159" s="1336" t="s">
        <v>1154</v>
      </c>
      <c r="D159" s="1336" t="s">
        <v>1130</v>
      </c>
      <c r="E159" s="1372" t="s">
        <v>390</v>
      </c>
      <c r="F159" s="1561" t="s">
        <v>1155</v>
      </c>
      <c r="G159" s="1562"/>
      <c r="H159" s="1561">
        <v>0</v>
      </c>
      <c r="I159" s="1562"/>
      <c r="J159" s="1335">
        <v>33.621066500112647</v>
      </c>
      <c r="K159" s="1335">
        <v>100</v>
      </c>
      <c r="L159" s="1335">
        <v>0</v>
      </c>
      <c r="M159" s="1335" t="s">
        <v>901</v>
      </c>
      <c r="N159" s="1341">
        <v>0</v>
      </c>
      <c r="O159" s="1360">
        <v>43344</v>
      </c>
      <c r="P159" s="1360">
        <v>43617</v>
      </c>
      <c r="Q159" s="1464">
        <v>0</v>
      </c>
      <c r="R159" s="1464" t="s">
        <v>1160</v>
      </c>
      <c r="S159" s="1464" t="s">
        <v>939</v>
      </c>
      <c r="T159" s="1460"/>
    </row>
    <row r="160" spans="3:20" ht="36" customHeight="1" x14ac:dyDescent="0.25">
      <c r="C160" s="1336" t="s">
        <v>1156</v>
      </c>
      <c r="D160" s="1336" t="s">
        <v>1130</v>
      </c>
      <c r="E160" s="1372" t="s">
        <v>391</v>
      </c>
      <c r="F160" s="1561" t="s">
        <v>1155</v>
      </c>
      <c r="G160" s="1562"/>
      <c r="H160" s="1561">
        <v>0</v>
      </c>
      <c r="I160" s="1562"/>
      <c r="J160" s="1335">
        <v>8.4038599999999999</v>
      </c>
      <c r="K160" s="1335">
        <v>100</v>
      </c>
      <c r="L160" s="1335">
        <v>0</v>
      </c>
      <c r="M160" s="1335" t="s">
        <v>901</v>
      </c>
      <c r="N160" s="1341">
        <v>0</v>
      </c>
      <c r="O160" s="1360">
        <v>43344</v>
      </c>
      <c r="P160" s="1360">
        <v>43435</v>
      </c>
      <c r="Q160" s="1464">
        <v>0</v>
      </c>
      <c r="R160" s="1464">
        <v>0</v>
      </c>
      <c r="S160" s="1464" t="s">
        <v>950</v>
      </c>
      <c r="T160" s="1460"/>
    </row>
    <row r="161" spans="1:20" ht="27.75" customHeight="1" x14ac:dyDescent="0.25">
      <c r="C161" s="1336" t="s">
        <v>873</v>
      </c>
      <c r="D161" s="1336" t="s">
        <v>1130</v>
      </c>
      <c r="E161" s="1372" t="s">
        <v>1157</v>
      </c>
      <c r="F161" s="1561" t="s">
        <v>210</v>
      </c>
      <c r="G161" s="1562"/>
      <c r="H161" s="1561" t="s">
        <v>1158</v>
      </c>
      <c r="I161" s="1562"/>
      <c r="J161" s="1335">
        <v>0.90185000000000004</v>
      </c>
      <c r="K161" s="1335">
        <v>100</v>
      </c>
      <c r="L161" s="1335">
        <v>0</v>
      </c>
      <c r="M161" s="1335" t="s">
        <v>901</v>
      </c>
      <c r="N161" s="1341">
        <v>0</v>
      </c>
      <c r="O161" s="1339">
        <v>41946</v>
      </c>
      <c r="P161" s="1339">
        <v>42128</v>
      </c>
      <c r="Q161" s="1464" t="s">
        <v>1159</v>
      </c>
      <c r="R161" s="1464" t="s">
        <v>1160</v>
      </c>
      <c r="S161" s="1464" t="s">
        <v>950</v>
      </c>
    </row>
    <row r="162" spans="1:20" ht="29.25" customHeight="1" x14ac:dyDescent="0.25">
      <c r="C162" s="1410" t="s">
        <v>1161</v>
      </c>
      <c r="D162" s="1410" t="s">
        <v>1132</v>
      </c>
      <c r="E162" s="1414" t="s">
        <v>1162</v>
      </c>
      <c r="F162" s="1561"/>
      <c r="G162" s="1562"/>
      <c r="H162" s="1415"/>
      <c r="I162" s="1416"/>
      <c r="J162" s="1335"/>
      <c r="K162" s="1335"/>
      <c r="L162" s="1335"/>
      <c r="M162" s="1335"/>
      <c r="N162" s="1341"/>
      <c r="O162" s="1359"/>
      <c r="P162" s="1360"/>
      <c r="Q162" s="1464"/>
      <c r="R162" s="1464"/>
      <c r="S162" s="1464"/>
    </row>
    <row r="163" spans="1:20" ht="45" x14ac:dyDescent="0.25">
      <c r="C163" s="1336" t="s">
        <v>867</v>
      </c>
      <c r="D163" s="1336" t="s">
        <v>1132</v>
      </c>
      <c r="E163" s="1337" t="s">
        <v>1023</v>
      </c>
      <c r="F163" s="1561" t="s">
        <v>1024</v>
      </c>
      <c r="G163" s="1562"/>
      <c r="H163" s="1561" t="s">
        <v>1163</v>
      </c>
      <c r="I163" s="1562"/>
      <c r="J163" s="1335">
        <v>879.11008000000038</v>
      </c>
      <c r="K163" s="1335">
        <v>100</v>
      </c>
      <c r="L163" s="1335">
        <v>0</v>
      </c>
      <c r="M163" s="1464" t="s">
        <v>901</v>
      </c>
      <c r="N163" s="1335">
        <v>0</v>
      </c>
      <c r="O163" s="1339">
        <v>42360</v>
      </c>
      <c r="P163" s="1360">
        <v>43617</v>
      </c>
      <c r="Q163" s="1464" t="s">
        <v>1164</v>
      </c>
      <c r="R163" s="1464" t="s">
        <v>1025</v>
      </c>
      <c r="S163" s="1464" t="s">
        <v>939</v>
      </c>
    </row>
    <row r="164" spans="1:20" ht="29.25" customHeight="1" x14ac:dyDescent="0.25">
      <c r="C164" s="1410" t="s">
        <v>1166</v>
      </c>
      <c r="D164" s="1410" t="s">
        <v>1165</v>
      </c>
      <c r="E164" s="1414" t="s">
        <v>1167</v>
      </c>
      <c r="F164" s="1561"/>
      <c r="G164" s="1562"/>
      <c r="H164" s="1564"/>
      <c r="I164" s="1564"/>
      <c r="J164" s="1367"/>
      <c r="K164" s="1367"/>
      <c r="L164" s="1367"/>
      <c r="M164" s="1348"/>
      <c r="N164" s="1367"/>
      <c r="O164" s="1413"/>
      <c r="P164" s="1370"/>
      <c r="Q164" s="1348"/>
      <c r="R164" s="1348"/>
      <c r="S164" s="1348"/>
    </row>
    <row r="165" spans="1:20" ht="39.75" customHeight="1" x14ac:dyDescent="0.25">
      <c r="C165" s="1336" t="s">
        <v>1168</v>
      </c>
      <c r="D165" s="1336" t="s">
        <v>1165</v>
      </c>
      <c r="E165" s="1337" t="s">
        <v>1169</v>
      </c>
      <c r="F165" s="1561" t="s">
        <v>747</v>
      </c>
      <c r="G165" s="1562"/>
      <c r="H165" s="1564">
        <v>0</v>
      </c>
      <c r="I165" s="1564"/>
      <c r="J165" s="1335">
        <v>0</v>
      </c>
      <c r="K165" s="1351">
        <v>100</v>
      </c>
      <c r="L165" s="1351">
        <v>0</v>
      </c>
      <c r="M165" s="1466" t="s">
        <v>901</v>
      </c>
      <c r="N165" s="1341">
        <v>0</v>
      </c>
      <c r="O165" s="1339">
        <v>43048</v>
      </c>
      <c r="P165" s="1339">
        <v>43435</v>
      </c>
      <c r="Q165" s="1464">
        <v>0</v>
      </c>
      <c r="R165" s="1464">
        <v>0</v>
      </c>
      <c r="S165" s="1464" t="s">
        <v>950</v>
      </c>
      <c r="T165" s="1460"/>
    </row>
    <row r="166" spans="1:20" ht="45" customHeight="1" x14ac:dyDescent="0.25">
      <c r="C166" s="1336" t="s">
        <v>892</v>
      </c>
      <c r="D166" s="1336" t="s">
        <v>1165</v>
      </c>
      <c r="E166" s="1337" t="s">
        <v>1170</v>
      </c>
      <c r="F166" s="1561" t="s">
        <v>747</v>
      </c>
      <c r="G166" s="1562"/>
      <c r="H166" s="1564">
        <v>0</v>
      </c>
      <c r="I166" s="1564"/>
      <c r="J166" s="1335">
        <v>180.90539000000001</v>
      </c>
      <c r="K166" s="1335">
        <v>100</v>
      </c>
      <c r="L166" s="1335">
        <v>0</v>
      </c>
      <c r="M166" s="1464" t="s">
        <v>901</v>
      </c>
      <c r="N166" s="1341">
        <v>0</v>
      </c>
      <c r="O166" s="1360">
        <v>43586</v>
      </c>
      <c r="P166" s="1360">
        <v>43770</v>
      </c>
      <c r="Q166" s="1464" t="s">
        <v>1164</v>
      </c>
      <c r="R166" s="1464">
        <v>0</v>
      </c>
      <c r="S166" s="1464" t="s">
        <v>944</v>
      </c>
    </row>
    <row r="167" spans="1:20" ht="22.5" customHeight="1" x14ac:dyDescent="0.25">
      <c r="C167" s="1410" t="s">
        <v>1172</v>
      </c>
      <c r="D167" s="1410" t="s">
        <v>1171</v>
      </c>
      <c r="E167" s="1414" t="s">
        <v>1173</v>
      </c>
      <c r="F167" s="1567"/>
      <c r="G167" s="1568"/>
      <c r="H167" s="1564"/>
      <c r="I167" s="1564"/>
      <c r="J167" s="1367"/>
      <c r="K167" s="1367"/>
      <c r="L167" s="1367"/>
      <c r="M167" s="1348"/>
      <c r="N167" s="1412"/>
      <c r="O167" s="1369"/>
      <c r="P167" s="1370"/>
      <c r="Q167" s="1348"/>
      <c r="R167" s="1391" t="s">
        <v>1482</v>
      </c>
      <c r="S167" s="1348"/>
    </row>
    <row r="168" spans="1:20" ht="26.25" customHeight="1" x14ac:dyDescent="0.25">
      <c r="C168" s="1466" t="s">
        <v>1310</v>
      </c>
      <c r="D168" s="1466" t="s">
        <v>1171</v>
      </c>
      <c r="E168" s="1337" t="s">
        <v>1434</v>
      </c>
      <c r="F168" s="1567" t="s">
        <v>1458</v>
      </c>
      <c r="G168" s="1568"/>
      <c r="H168" s="1564">
        <v>0</v>
      </c>
      <c r="I168" s="1564"/>
      <c r="J168" s="1335" t="s">
        <v>1397</v>
      </c>
      <c r="K168" s="1335">
        <v>100</v>
      </c>
      <c r="L168" s="1335">
        <v>0</v>
      </c>
      <c r="M168" s="1464" t="s">
        <v>901</v>
      </c>
      <c r="N168" s="1341">
        <v>0</v>
      </c>
      <c r="O168" s="1359">
        <v>42826</v>
      </c>
      <c r="P168" s="1360">
        <v>43891</v>
      </c>
      <c r="Q168" s="1464">
        <v>0</v>
      </c>
      <c r="R168" s="1464">
        <v>0</v>
      </c>
      <c r="S168" s="1464" t="s">
        <v>932</v>
      </c>
    </row>
    <row r="169" spans="1:20" ht="81.75" customHeight="1" x14ac:dyDescent="0.25">
      <c r="C169" s="1466" t="s">
        <v>1354</v>
      </c>
      <c r="D169" s="1466" t="s">
        <v>1171</v>
      </c>
      <c r="E169" s="1337" t="s">
        <v>1366</v>
      </c>
      <c r="F169" s="1561" t="s">
        <v>1459</v>
      </c>
      <c r="G169" s="1562"/>
      <c r="H169" s="1564">
        <v>0</v>
      </c>
      <c r="I169" s="1564"/>
      <c r="J169" s="1335">
        <v>147.88842000000002</v>
      </c>
      <c r="K169" s="1335">
        <v>100</v>
      </c>
      <c r="L169" s="1335">
        <v>0</v>
      </c>
      <c r="M169" s="1464" t="s">
        <v>901</v>
      </c>
      <c r="N169" s="1341">
        <v>0</v>
      </c>
      <c r="O169" s="1360">
        <v>43586</v>
      </c>
      <c r="P169" s="1360">
        <v>43770</v>
      </c>
      <c r="Q169" s="1464" t="s">
        <v>930</v>
      </c>
      <c r="R169" s="1464">
        <v>0</v>
      </c>
      <c r="S169" s="1464" t="s">
        <v>944</v>
      </c>
    </row>
    <row r="170" spans="1:20" ht="39" customHeight="1" x14ac:dyDescent="0.25">
      <c r="C170" s="1466" t="s">
        <v>1355</v>
      </c>
      <c r="D170" s="1466" t="s">
        <v>1171</v>
      </c>
      <c r="E170" s="1337" t="s">
        <v>1356</v>
      </c>
      <c r="F170" s="1561" t="s">
        <v>1460</v>
      </c>
      <c r="G170" s="1562"/>
      <c r="H170" s="1564">
        <v>0</v>
      </c>
      <c r="I170" s="1564"/>
      <c r="J170" s="1335">
        <v>563.68891000000008</v>
      </c>
      <c r="K170" s="1335">
        <v>100</v>
      </c>
      <c r="L170" s="1335">
        <v>0</v>
      </c>
      <c r="M170" s="1464" t="s">
        <v>901</v>
      </c>
      <c r="N170" s="1341">
        <v>0</v>
      </c>
      <c r="O170" s="1360">
        <v>43586</v>
      </c>
      <c r="P170" s="1360">
        <v>43770</v>
      </c>
      <c r="Q170" s="1464" t="s">
        <v>1347</v>
      </c>
      <c r="R170" s="1464">
        <v>0</v>
      </c>
      <c r="S170" s="1464" t="s">
        <v>944</v>
      </c>
    </row>
    <row r="171" spans="1:20" s="1326" customFormat="1" ht="22.5" customHeight="1" x14ac:dyDescent="0.25">
      <c r="A171" s="1327"/>
      <c r="B171" s="1325"/>
      <c r="C171" s="1410" t="s">
        <v>1175</v>
      </c>
      <c r="D171" s="1410" t="s">
        <v>1174</v>
      </c>
      <c r="E171" s="1414" t="s">
        <v>1176</v>
      </c>
      <c r="F171" s="1561" t="s">
        <v>1460</v>
      </c>
      <c r="G171" s="1562"/>
      <c r="H171" s="1564"/>
      <c r="I171" s="1564"/>
      <c r="J171" s="1367"/>
      <c r="K171" s="1367"/>
      <c r="L171" s="1367"/>
      <c r="M171" s="1348"/>
      <c r="N171" s="1412"/>
      <c r="O171" s="1369"/>
      <c r="P171" s="1370"/>
      <c r="Q171" s="1348"/>
      <c r="R171" s="1391" t="s">
        <v>1483</v>
      </c>
      <c r="S171" s="1348"/>
      <c r="T171" s="1570"/>
    </row>
    <row r="172" spans="1:20" s="1326" customFormat="1" ht="22.5" customHeight="1" x14ac:dyDescent="0.25">
      <c r="A172" s="1327"/>
      <c r="B172" s="1451"/>
      <c r="C172" s="1466" t="s">
        <v>841</v>
      </c>
      <c r="D172" s="1466" t="s">
        <v>1174</v>
      </c>
      <c r="E172" s="1337" t="s">
        <v>1492</v>
      </c>
      <c r="F172" s="1561" t="s">
        <v>1460</v>
      </c>
      <c r="G172" s="1562"/>
      <c r="H172" s="1561">
        <v>0</v>
      </c>
      <c r="I172" s="1562"/>
      <c r="J172" s="1335" t="s">
        <v>1425</v>
      </c>
      <c r="K172" s="1335">
        <v>100</v>
      </c>
      <c r="L172" s="1335">
        <v>0</v>
      </c>
      <c r="M172" s="1464" t="s">
        <v>901</v>
      </c>
      <c r="N172" s="1341">
        <v>0</v>
      </c>
      <c r="O172" s="1359">
        <v>43525</v>
      </c>
      <c r="P172" s="1360">
        <v>43891</v>
      </c>
      <c r="Q172" s="1464">
        <v>0</v>
      </c>
      <c r="R172" s="1464">
        <v>0</v>
      </c>
      <c r="S172" s="1464" t="s">
        <v>932</v>
      </c>
      <c r="T172" s="1570"/>
    </row>
    <row r="173" spans="1:20" ht="22.5" customHeight="1" x14ac:dyDescent="0.25">
      <c r="C173" s="1466" t="s">
        <v>1301</v>
      </c>
      <c r="D173" s="1466" t="s">
        <v>1174</v>
      </c>
      <c r="E173" s="1337" t="s">
        <v>1364</v>
      </c>
      <c r="F173" s="1561" t="s">
        <v>1460</v>
      </c>
      <c r="G173" s="1562"/>
      <c r="H173" s="1561">
        <v>0</v>
      </c>
      <c r="I173" s="1562"/>
      <c r="J173" s="1335">
        <v>50.13514</v>
      </c>
      <c r="K173" s="1335">
        <v>100</v>
      </c>
      <c r="L173" s="1335">
        <v>0</v>
      </c>
      <c r="M173" s="1464" t="s">
        <v>901</v>
      </c>
      <c r="N173" s="1341">
        <v>0</v>
      </c>
      <c r="O173" s="1359">
        <v>43586</v>
      </c>
      <c r="P173" s="1360">
        <v>43770</v>
      </c>
      <c r="Q173" s="1464" t="s">
        <v>1348</v>
      </c>
      <c r="R173" s="1464">
        <v>0</v>
      </c>
      <c r="S173" s="1464" t="s">
        <v>944</v>
      </c>
      <c r="T173" s="1570"/>
    </row>
    <row r="174" spans="1:20" ht="22.5" customHeight="1" x14ac:dyDescent="0.25">
      <c r="C174" s="1466" t="s">
        <v>1303</v>
      </c>
      <c r="D174" s="1466" t="s">
        <v>1174</v>
      </c>
      <c r="E174" s="1337" t="s">
        <v>1337</v>
      </c>
      <c r="F174" s="1561" t="s">
        <v>1460</v>
      </c>
      <c r="G174" s="1562"/>
      <c r="H174" s="1561">
        <v>0</v>
      </c>
      <c r="I174" s="1562"/>
      <c r="J174" s="1335">
        <v>81.08108</v>
      </c>
      <c r="K174" s="1335">
        <v>100</v>
      </c>
      <c r="L174" s="1335">
        <v>0</v>
      </c>
      <c r="M174" s="1464" t="s">
        <v>901</v>
      </c>
      <c r="N174" s="1341">
        <v>0</v>
      </c>
      <c r="O174" s="1359">
        <v>43586</v>
      </c>
      <c r="P174" s="1360">
        <v>43770</v>
      </c>
      <c r="Q174" s="1464" t="s">
        <v>1348</v>
      </c>
      <c r="R174" s="1464">
        <v>0</v>
      </c>
      <c r="S174" s="1464" t="s">
        <v>944</v>
      </c>
      <c r="T174" s="1462"/>
    </row>
    <row r="175" spans="1:20" ht="22.5" customHeight="1" x14ac:dyDescent="0.25">
      <c r="C175" s="1466" t="s">
        <v>1304</v>
      </c>
      <c r="D175" s="1466" t="s">
        <v>1174</v>
      </c>
      <c r="E175" s="1337" t="s">
        <v>1338</v>
      </c>
      <c r="F175" s="1561" t="s">
        <v>1460</v>
      </c>
      <c r="G175" s="1562"/>
      <c r="H175" s="1561">
        <v>0</v>
      </c>
      <c r="I175" s="1562"/>
      <c r="J175" s="1335">
        <v>54.651809999999998</v>
      </c>
      <c r="K175" s="1335">
        <v>100</v>
      </c>
      <c r="L175" s="1335">
        <v>0</v>
      </c>
      <c r="M175" s="1464" t="s">
        <v>901</v>
      </c>
      <c r="N175" s="1341">
        <v>0</v>
      </c>
      <c r="O175" s="1359">
        <v>43586</v>
      </c>
      <c r="P175" s="1360">
        <v>43770</v>
      </c>
      <c r="Q175" s="1464" t="s">
        <v>1348</v>
      </c>
      <c r="R175" s="1464">
        <v>0</v>
      </c>
      <c r="S175" s="1464" t="s">
        <v>944</v>
      </c>
      <c r="T175" s="1462"/>
    </row>
    <row r="176" spans="1:20" ht="22.5" customHeight="1" x14ac:dyDescent="0.25">
      <c r="C176" s="1466" t="s">
        <v>1305</v>
      </c>
      <c r="D176" s="1466" t="s">
        <v>1174</v>
      </c>
      <c r="E176" s="1337" t="s">
        <v>1339</v>
      </c>
      <c r="F176" s="1561" t="s">
        <v>1460</v>
      </c>
      <c r="G176" s="1562"/>
      <c r="H176" s="1561">
        <v>0</v>
      </c>
      <c r="I176" s="1562"/>
      <c r="J176" s="1335">
        <v>13.51351</v>
      </c>
      <c r="K176" s="1335">
        <v>100</v>
      </c>
      <c r="L176" s="1335">
        <v>0</v>
      </c>
      <c r="M176" s="1464" t="s">
        <v>901</v>
      </c>
      <c r="N176" s="1341">
        <v>0</v>
      </c>
      <c r="O176" s="1359">
        <v>43586</v>
      </c>
      <c r="P176" s="1360">
        <v>43770</v>
      </c>
      <c r="Q176" s="1464" t="s">
        <v>1349</v>
      </c>
      <c r="R176" s="1464">
        <v>0</v>
      </c>
      <c r="S176" s="1464" t="s">
        <v>944</v>
      </c>
      <c r="T176" s="1462"/>
    </row>
    <row r="177" spans="1:20" ht="22.5" customHeight="1" x14ac:dyDescent="0.25">
      <c r="C177" s="1466" t="s">
        <v>1306</v>
      </c>
      <c r="D177" s="1466" t="s">
        <v>1174</v>
      </c>
      <c r="E177" s="1337" t="s">
        <v>1340</v>
      </c>
      <c r="F177" s="1561" t="s">
        <v>1460</v>
      </c>
      <c r="G177" s="1562"/>
      <c r="H177" s="1561">
        <v>0</v>
      </c>
      <c r="I177" s="1562"/>
      <c r="J177" s="1335">
        <v>13.51351</v>
      </c>
      <c r="K177" s="1335">
        <v>100</v>
      </c>
      <c r="L177" s="1335">
        <v>0</v>
      </c>
      <c r="M177" s="1464" t="s">
        <v>901</v>
      </c>
      <c r="N177" s="1341">
        <v>0</v>
      </c>
      <c r="O177" s="1359">
        <v>43586</v>
      </c>
      <c r="P177" s="1360">
        <v>43770</v>
      </c>
      <c r="Q177" s="1464" t="s">
        <v>1349</v>
      </c>
      <c r="R177" s="1464">
        <v>0</v>
      </c>
      <c r="S177" s="1464" t="s">
        <v>944</v>
      </c>
      <c r="T177" s="1462"/>
    </row>
    <row r="178" spans="1:20" ht="22.5" customHeight="1" x14ac:dyDescent="0.25">
      <c r="C178" s="1466" t="s">
        <v>1302</v>
      </c>
      <c r="D178" s="1466" t="s">
        <v>1174</v>
      </c>
      <c r="E178" s="1337" t="s">
        <v>1341</v>
      </c>
      <c r="F178" s="1561" t="s">
        <v>1460</v>
      </c>
      <c r="G178" s="1562"/>
      <c r="H178" s="1561">
        <v>0</v>
      </c>
      <c r="I178" s="1562"/>
      <c r="J178" s="1335">
        <v>13.51351</v>
      </c>
      <c r="K178" s="1335">
        <v>100</v>
      </c>
      <c r="L178" s="1335">
        <v>0</v>
      </c>
      <c r="M178" s="1464" t="s">
        <v>901</v>
      </c>
      <c r="N178" s="1341">
        <v>0</v>
      </c>
      <c r="O178" s="1359">
        <v>43586</v>
      </c>
      <c r="P178" s="1360">
        <v>43770</v>
      </c>
      <c r="Q178" s="1464" t="s">
        <v>1349</v>
      </c>
      <c r="R178" s="1464">
        <v>0</v>
      </c>
      <c r="S178" s="1464" t="s">
        <v>944</v>
      </c>
      <c r="T178" s="1462"/>
    </row>
    <row r="179" spans="1:20" ht="22.5" customHeight="1" x14ac:dyDescent="0.25">
      <c r="C179" s="1466" t="s">
        <v>1307</v>
      </c>
      <c r="D179" s="1466" t="s">
        <v>1174</v>
      </c>
      <c r="E179" s="1337" t="s">
        <v>1342</v>
      </c>
      <c r="F179" s="1561" t="s">
        <v>1460</v>
      </c>
      <c r="G179" s="1562"/>
      <c r="H179" s="1561">
        <v>0</v>
      </c>
      <c r="I179" s="1562"/>
      <c r="J179" s="1335">
        <v>13.51351</v>
      </c>
      <c r="K179" s="1335">
        <v>100</v>
      </c>
      <c r="L179" s="1335">
        <v>0</v>
      </c>
      <c r="M179" s="1464" t="s">
        <v>901</v>
      </c>
      <c r="N179" s="1341">
        <v>0</v>
      </c>
      <c r="O179" s="1359">
        <v>43586</v>
      </c>
      <c r="P179" s="1360">
        <v>43770</v>
      </c>
      <c r="Q179" s="1464" t="s">
        <v>1349</v>
      </c>
      <c r="R179" s="1464">
        <v>0</v>
      </c>
      <c r="S179" s="1464" t="s">
        <v>944</v>
      </c>
      <c r="T179" s="1462"/>
    </row>
    <row r="180" spans="1:20" ht="22.5" customHeight="1" x14ac:dyDescent="0.25">
      <c r="C180" s="1466" t="s">
        <v>1308</v>
      </c>
      <c r="D180" s="1466" t="s">
        <v>1174</v>
      </c>
      <c r="E180" s="1337" t="s">
        <v>1343</v>
      </c>
      <c r="F180" s="1561" t="s">
        <v>1460</v>
      </c>
      <c r="G180" s="1562"/>
      <c r="H180" s="1561">
        <v>0</v>
      </c>
      <c r="I180" s="1562"/>
      <c r="J180" s="1335">
        <v>13.51351</v>
      </c>
      <c r="K180" s="1335">
        <v>100</v>
      </c>
      <c r="L180" s="1335">
        <v>0</v>
      </c>
      <c r="M180" s="1464" t="s">
        <v>901</v>
      </c>
      <c r="N180" s="1341">
        <v>0</v>
      </c>
      <c r="O180" s="1359">
        <v>43586</v>
      </c>
      <c r="P180" s="1360">
        <v>43770</v>
      </c>
      <c r="Q180" s="1464" t="s">
        <v>1349</v>
      </c>
      <c r="R180" s="1464">
        <v>0</v>
      </c>
      <c r="S180" s="1464" t="s">
        <v>944</v>
      </c>
      <c r="T180" s="1462"/>
    </row>
    <row r="181" spans="1:20" ht="38.25" customHeight="1" x14ac:dyDescent="0.25">
      <c r="C181" s="1466" t="s">
        <v>1309</v>
      </c>
      <c r="D181" s="1466" t="s">
        <v>1174</v>
      </c>
      <c r="E181" s="1337" t="s">
        <v>1344</v>
      </c>
      <c r="F181" s="1561" t="s">
        <v>1460</v>
      </c>
      <c r="G181" s="1562"/>
      <c r="H181" s="1561">
        <v>0</v>
      </c>
      <c r="I181" s="1562"/>
      <c r="J181" s="1335">
        <v>34.861699999999999</v>
      </c>
      <c r="K181" s="1335">
        <v>100</v>
      </c>
      <c r="L181" s="1335">
        <v>0</v>
      </c>
      <c r="M181" s="1464" t="s">
        <v>901</v>
      </c>
      <c r="N181" s="1341">
        <v>0</v>
      </c>
      <c r="O181" s="1359">
        <v>43586</v>
      </c>
      <c r="P181" s="1360">
        <v>43770</v>
      </c>
      <c r="Q181" s="1464" t="s">
        <v>1349</v>
      </c>
      <c r="R181" s="1464">
        <v>0</v>
      </c>
      <c r="S181" s="1464" t="s">
        <v>944</v>
      </c>
      <c r="T181" s="1462"/>
    </row>
    <row r="182" spans="1:20" ht="36" customHeight="1" x14ac:dyDescent="0.25">
      <c r="C182" s="1466" t="s">
        <v>1311</v>
      </c>
      <c r="D182" s="1466" t="s">
        <v>1174</v>
      </c>
      <c r="E182" s="1337" t="s">
        <v>1345</v>
      </c>
      <c r="F182" s="1561" t="s">
        <v>1460</v>
      </c>
      <c r="G182" s="1562"/>
      <c r="H182" s="1561">
        <v>0</v>
      </c>
      <c r="I182" s="1562"/>
      <c r="J182" s="1335">
        <v>90.08108</v>
      </c>
      <c r="K182" s="1335">
        <v>100</v>
      </c>
      <c r="L182" s="1335">
        <v>0</v>
      </c>
      <c r="M182" s="1464" t="s">
        <v>901</v>
      </c>
      <c r="N182" s="1341">
        <v>0</v>
      </c>
      <c r="O182" s="1359">
        <v>43586</v>
      </c>
      <c r="P182" s="1360">
        <v>43770</v>
      </c>
      <c r="Q182" s="1464" t="s">
        <v>1346</v>
      </c>
      <c r="R182" s="1464">
        <v>0</v>
      </c>
      <c r="S182" s="1464" t="s">
        <v>944</v>
      </c>
      <c r="T182" s="1462"/>
    </row>
    <row r="183" spans="1:20" ht="15.75" customHeight="1" x14ac:dyDescent="0.25">
      <c r="C183" s="1404">
        <v>7</v>
      </c>
      <c r="D183" s="1566" t="s">
        <v>1207</v>
      </c>
      <c r="E183" s="1566"/>
      <c r="F183" s="1566"/>
      <c r="G183" s="1566"/>
      <c r="H183" s="1566"/>
      <c r="I183" s="1566"/>
      <c r="J183" s="1566"/>
      <c r="K183" s="1566"/>
      <c r="L183" s="1566"/>
      <c r="M183" s="1566"/>
      <c r="N183" s="1566"/>
      <c r="O183" s="1566"/>
      <c r="P183" s="1566"/>
      <c r="Q183" s="1566"/>
      <c r="R183" s="1566"/>
      <c r="S183" s="1566"/>
    </row>
    <row r="184" spans="1:20" ht="15" customHeight="1" x14ac:dyDescent="0.25">
      <c r="C184" s="1588"/>
      <c r="D184" s="1565" t="s">
        <v>910</v>
      </c>
      <c r="E184" s="1565" t="s">
        <v>1208</v>
      </c>
      <c r="F184" s="1565" t="s">
        <v>912</v>
      </c>
      <c r="G184" s="1565"/>
      <c r="H184" s="1565" t="s">
        <v>915</v>
      </c>
      <c r="I184" s="1565"/>
      <c r="J184" s="1572" t="s">
        <v>1195</v>
      </c>
      <c r="K184" s="1572"/>
      <c r="L184" s="1572"/>
      <c r="M184" s="1565" t="s">
        <v>917</v>
      </c>
      <c r="N184" s="1569" t="s">
        <v>1209</v>
      </c>
      <c r="O184" s="1565" t="s">
        <v>1197</v>
      </c>
      <c r="P184" s="1565"/>
      <c r="Q184" s="1565" t="s">
        <v>1210</v>
      </c>
      <c r="R184" s="1565" t="s">
        <v>921</v>
      </c>
      <c r="S184" s="1565" t="s">
        <v>922</v>
      </c>
    </row>
    <row r="185" spans="1:20" ht="66" customHeight="1" x14ac:dyDescent="0.25">
      <c r="C185" s="1588"/>
      <c r="D185" s="1565"/>
      <c r="E185" s="1565"/>
      <c r="F185" s="1565"/>
      <c r="G185" s="1565"/>
      <c r="H185" s="1565"/>
      <c r="I185" s="1565"/>
      <c r="J185" s="1331" t="s">
        <v>1405</v>
      </c>
      <c r="K185" s="1332" t="s">
        <v>924</v>
      </c>
      <c r="L185" s="1331" t="s">
        <v>925</v>
      </c>
      <c r="M185" s="1565"/>
      <c r="N185" s="1569"/>
      <c r="O185" s="1332" t="s">
        <v>1211</v>
      </c>
      <c r="P185" s="1332" t="s">
        <v>1212</v>
      </c>
      <c r="Q185" s="1565"/>
      <c r="R185" s="1565"/>
      <c r="S185" s="1565"/>
    </row>
    <row r="186" spans="1:20" s="1340" customFormat="1" ht="44.25" customHeight="1" x14ac:dyDescent="0.25">
      <c r="A186" s="1327"/>
      <c r="B186" s="1366"/>
      <c r="C186" s="1336" t="s">
        <v>886</v>
      </c>
      <c r="D186" s="1336" t="s">
        <v>563</v>
      </c>
      <c r="E186" s="1337" t="s">
        <v>1177</v>
      </c>
      <c r="F186" s="1417">
        <v>0</v>
      </c>
      <c r="G186" s="1371">
        <v>0</v>
      </c>
      <c r="H186" s="1563">
        <v>0</v>
      </c>
      <c r="I186" s="1564"/>
      <c r="J186" s="1335">
        <v>83354.662539999932</v>
      </c>
      <c r="K186" s="1335">
        <v>98.234739863179328</v>
      </c>
      <c r="L186" s="1335">
        <v>1.7652601368206573</v>
      </c>
      <c r="M186" s="1336" t="s">
        <v>253</v>
      </c>
      <c r="N186" s="1338">
        <v>0</v>
      </c>
      <c r="O186" s="1339">
        <v>41061</v>
      </c>
      <c r="P186" s="1339">
        <v>43770</v>
      </c>
      <c r="Q186" s="1338">
        <v>0</v>
      </c>
      <c r="R186" s="1338">
        <v>0</v>
      </c>
      <c r="S186" s="1338" t="s">
        <v>939</v>
      </c>
    </row>
    <row r="187" spans="1:20" s="1340" customFormat="1" ht="36" customHeight="1" x14ac:dyDescent="0.25">
      <c r="A187" s="1327"/>
      <c r="B187" s="1366"/>
      <c r="C187" s="1410" t="s">
        <v>1264</v>
      </c>
      <c r="D187" s="1410" t="s">
        <v>1294</v>
      </c>
      <c r="E187" s="1414" t="s">
        <v>1315</v>
      </c>
      <c r="F187" s="1561" t="s">
        <v>1179</v>
      </c>
      <c r="G187" s="1562"/>
      <c r="H187" s="1563">
        <v>0</v>
      </c>
      <c r="I187" s="1564">
        <v>0</v>
      </c>
      <c r="J187" s="1335">
        <v>0</v>
      </c>
      <c r="K187" s="1335">
        <v>0</v>
      </c>
      <c r="L187" s="1335">
        <v>0</v>
      </c>
      <c r="M187" s="1449">
        <v>0</v>
      </c>
      <c r="N187" s="1450">
        <v>0</v>
      </c>
      <c r="O187" s="1339">
        <v>0</v>
      </c>
      <c r="P187" s="1339">
        <v>0</v>
      </c>
      <c r="Q187" s="1450">
        <v>0</v>
      </c>
      <c r="R187" s="1450">
        <v>0</v>
      </c>
      <c r="S187" s="1450">
        <v>0</v>
      </c>
    </row>
    <row r="188" spans="1:20" s="1340" customFormat="1" ht="37.5" customHeight="1" x14ac:dyDescent="0.25">
      <c r="A188" s="1327"/>
      <c r="B188" s="1366"/>
      <c r="C188" s="1456" t="s">
        <v>1272</v>
      </c>
      <c r="D188" s="1456" t="s">
        <v>1294</v>
      </c>
      <c r="E188" s="1337" t="s">
        <v>1431</v>
      </c>
      <c r="F188" s="1561" t="s">
        <v>1179</v>
      </c>
      <c r="G188" s="1562"/>
      <c r="H188" s="1563">
        <v>0</v>
      </c>
      <c r="I188" s="1564">
        <v>0</v>
      </c>
      <c r="J188" s="1335">
        <v>3243.2432400000002</v>
      </c>
      <c r="K188" s="1335">
        <v>95.255334903588661</v>
      </c>
      <c r="L188" s="1335">
        <v>4.7446650964113317</v>
      </c>
      <c r="M188" s="1456" t="s">
        <v>1428</v>
      </c>
      <c r="N188" s="1455">
        <v>0</v>
      </c>
      <c r="O188" s="1439">
        <v>43586</v>
      </c>
      <c r="P188" s="1439">
        <v>43770</v>
      </c>
      <c r="Q188" s="1455">
        <v>0</v>
      </c>
      <c r="R188" s="1455">
        <v>0</v>
      </c>
      <c r="S188" s="1455" t="s">
        <v>944</v>
      </c>
    </row>
    <row r="189" spans="1:20" s="1340" customFormat="1" ht="28.5" customHeight="1" x14ac:dyDescent="0.25">
      <c r="A189" s="1327"/>
      <c r="B189" s="1366"/>
      <c r="C189" s="1410" t="s">
        <v>1265</v>
      </c>
      <c r="D189" s="1410" t="s">
        <v>1279</v>
      </c>
      <c r="E189" s="1414" t="s">
        <v>1493</v>
      </c>
      <c r="F189" s="1561" t="s">
        <v>1461</v>
      </c>
      <c r="G189" s="1562"/>
      <c r="H189" s="1563">
        <v>0</v>
      </c>
      <c r="I189" s="1564">
        <v>0</v>
      </c>
      <c r="J189" s="1335">
        <v>0</v>
      </c>
      <c r="K189" s="1335">
        <v>0</v>
      </c>
      <c r="L189" s="1335">
        <v>0</v>
      </c>
      <c r="M189" s="1448">
        <v>0</v>
      </c>
      <c r="N189" s="1447">
        <v>0</v>
      </c>
      <c r="O189" s="1339">
        <v>0</v>
      </c>
      <c r="P189" s="1339">
        <v>0</v>
      </c>
      <c r="Q189" s="1447">
        <v>0</v>
      </c>
      <c r="R189" s="1391" t="s">
        <v>1484</v>
      </c>
      <c r="S189" s="1447">
        <v>0</v>
      </c>
    </row>
    <row r="190" spans="1:20" s="1340" customFormat="1" ht="27" customHeight="1" x14ac:dyDescent="0.25">
      <c r="A190" s="1327"/>
      <c r="B190" s="1366"/>
      <c r="C190" s="1466" t="s">
        <v>1273</v>
      </c>
      <c r="D190" s="1466" t="s">
        <v>1279</v>
      </c>
      <c r="E190" s="1337" t="s">
        <v>1288</v>
      </c>
      <c r="F190" s="1561" t="s">
        <v>1461</v>
      </c>
      <c r="G190" s="1562"/>
      <c r="H190" s="1563">
        <v>0</v>
      </c>
      <c r="I190" s="1564">
        <v>0</v>
      </c>
      <c r="J190" s="1335" t="s">
        <v>1418</v>
      </c>
      <c r="K190" s="1335">
        <v>100</v>
      </c>
      <c r="L190" s="1335">
        <v>0</v>
      </c>
      <c r="M190" s="1466" t="s">
        <v>253</v>
      </c>
      <c r="N190" s="1464">
        <v>0</v>
      </c>
      <c r="O190" s="1439">
        <v>43586</v>
      </c>
      <c r="P190" s="1439">
        <v>43891</v>
      </c>
      <c r="Q190" s="1464">
        <v>0</v>
      </c>
      <c r="R190" s="1464">
        <v>0</v>
      </c>
      <c r="S190" s="1464" t="s">
        <v>932</v>
      </c>
    </row>
    <row r="191" spans="1:20" s="1340" customFormat="1" ht="147.75" customHeight="1" x14ac:dyDescent="0.25">
      <c r="A191" s="1327"/>
      <c r="B191" s="1366"/>
      <c r="C191" s="1466" t="s">
        <v>1357</v>
      </c>
      <c r="D191" s="1466" t="s">
        <v>1279</v>
      </c>
      <c r="E191" s="1337" t="s">
        <v>1365</v>
      </c>
      <c r="F191" s="1561" t="s">
        <v>1494</v>
      </c>
      <c r="G191" s="1562"/>
      <c r="H191" s="1563">
        <v>0</v>
      </c>
      <c r="I191" s="1564">
        <v>0</v>
      </c>
      <c r="J191" s="1335">
        <v>422.96714000000003</v>
      </c>
      <c r="K191" s="1335">
        <v>100</v>
      </c>
      <c r="L191" s="1335">
        <v>0</v>
      </c>
      <c r="M191" s="1466" t="s">
        <v>253</v>
      </c>
      <c r="N191" s="1464">
        <v>0</v>
      </c>
      <c r="O191" s="1439">
        <v>43586</v>
      </c>
      <c r="P191" s="1439">
        <v>43770</v>
      </c>
      <c r="Q191" s="1464" t="s">
        <v>930</v>
      </c>
      <c r="R191" s="1464">
        <v>0</v>
      </c>
      <c r="S191" s="1464" t="s">
        <v>944</v>
      </c>
    </row>
    <row r="192" spans="1:20" s="1340" customFormat="1" ht="22.5" customHeight="1" x14ac:dyDescent="0.25">
      <c r="A192" s="1327"/>
      <c r="B192" s="1366"/>
      <c r="C192" s="1466" t="s">
        <v>1358</v>
      </c>
      <c r="D192" s="1466" t="s">
        <v>1279</v>
      </c>
      <c r="E192" s="1337" t="s">
        <v>1368</v>
      </c>
      <c r="F192" s="1561" t="s">
        <v>1461</v>
      </c>
      <c r="G192" s="1562"/>
      <c r="H192" s="1563">
        <v>0</v>
      </c>
      <c r="I192" s="1564">
        <v>0</v>
      </c>
      <c r="J192" s="1335">
        <v>13.705950000000001</v>
      </c>
      <c r="K192" s="1335">
        <v>100</v>
      </c>
      <c r="L192" s="1335">
        <v>0</v>
      </c>
      <c r="M192" s="1466" t="s">
        <v>253</v>
      </c>
      <c r="N192" s="1464">
        <v>0</v>
      </c>
      <c r="O192" s="1439">
        <v>43586</v>
      </c>
      <c r="P192" s="1439">
        <v>43770</v>
      </c>
      <c r="Q192" s="1464" t="s">
        <v>1347</v>
      </c>
      <c r="R192" s="1464">
        <v>0</v>
      </c>
      <c r="S192" s="1464" t="s">
        <v>944</v>
      </c>
    </row>
    <row r="193" spans="1:19" s="1340" customFormat="1" ht="22.5" customHeight="1" x14ac:dyDescent="0.25">
      <c r="A193" s="1327"/>
      <c r="B193" s="1366"/>
      <c r="C193" s="1466" t="s">
        <v>1359</v>
      </c>
      <c r="D193" s="1466" t="s">
        <v>1279</v>
      </c>
      <c r="E193" s="1337" t="s">
        <v>1369</v>
      </c>
      <c r="F193" s="1561" t="s">
        <v>1461</v>
      </c>
      <c r="G193" s="1562"/>
      <c r="H193" s="1563">
        <v>0</v>
      </c>
      <c r="I193" s="1564">
        <v>0</v>
      </c>
      <c r="J193" s="1335">
        <v>5.6432399999999996</v>
      </c>
      <c r="K193" s="1335">
        <v>100</v>
      </c>
      <c r="L193" s="1335">
        <v>0</v>
      </c>
      <c r="M193" s="1466" t="s">
        <v>253</v>
      </c>
      <c r="N193" s="1464">
        <v>0</v>
      </c>
      <c r="O193" s="1439">
        <v>43586</v>
      </c>
      <c r="P193" s="1439">
        <v>43770</v>
      </c>
      <c r="Q193" s="1464" t="s">
        <v>1347</v>
      </c>
      <c r="R193" s="1464">
        <v>0</v>
      </c>
      <c r="S193" s="1464" t="s">
        <v>944</v>
      </c>
    </row>
    <row r="194" spans="1:19" s="1340" customFormat="1" ht="22.5" customHeight="1" x14ac:dyDescent="0.25">
      <c r="A194" s="1327"/>
      <c r="B194" s="1366"/>
      <c r="C194" s="1466" t="s">
        <v>1360</v>
      </c>
      <c r="D194" s="1466" t="s">
        <v>1279</v>
      </c>
      <c r="E194" s="1337" t="s">
        <v>1370</v>
      </c>
      <c r="F194" s="1561" t="s">
        <v>1461</v>
      </c>
      <c r="G194" s="1562"/>
      <c r="H194" s="1563">
        <v>0</v>
      </c>
      <c r="I194" s="1564">
        <v>0</v>
      </c>
      <c r="J194" s="1335">
        <v>1.68919</v>
      </c>
      <c r="K194" s="1335">
        <v>100</v>
      </c>
      <c r="L194" s="1335">
        <v>0</v>
      </c>
      <c r="M194" s="1466" t="s">
        <v>253</v>
      </c>
      <c r="N194" s="1464">
        <v>0</v>
      </c>
      <c r="O194" s="1439">
        <v>43586</v>
      </c>
      <c r="P194" s="1439">
        <v>43770</v>
      </c>
      <c r="Q194" s="1464" t="s">
        <v>1349</v>
      </c>
      <c r="R194" s="1464">
        <v>0</v>
      </c>
      <c r="S194" s="1464" t="s">
        <v>944</v>
      </c>
    </row>
    <row r="195" spans="1:19" s="1340" customFormat="1" ht="33.75" x14ac:dyDescent="0.25">
      <c r="A195" s="1327"/>
      <c r="B195" s="1366"/>
      <c r="C195" s="1466" t="s">
        <v>1361</v>
      </c>
      <c r="D195" s="1466" t="s">
        <v>1279</v>
      </c>
      <c r="E195" s="1337" t="s">
        <v>1371</v>
      </c>
      <c r="F195" s="1561" t="s">
        <v>1461</v>
      </c>
      <c r="G195" s="1562"/>
      <c r="H195" s="1563">
        <v>0</v>
      </c>
      <c r="I195" s="1564">
        <v>0</v>
      </c>
      <c r="J195" s="1335">
        <v>0.50135000000000007</v>
      </c>
      <c r="K195" s="1335">
        <v>100</v>
      </c>
      <c r="L195" s="1335">
        <v>0</v>
      </c>
      <c r="M195" s="1466" t="s">
        <v>253</v>
      </c>
      <c r="N195" s="1464">
        <v>0</v>
      </c>
      <c r="O195" s="1439">
        <v>43586</v>
      </c>
      <c r="P195" s="1439">
        <v>43770</v>
      </c>
      <c r="Q195" s="1464" t="s">
        <v>1349</v>
      </c>
      <c r="R195" s="1464">
        <v>0</v>
      </c>
      <c r="S195" s="1464" t="s">
        <v>944</v>
      </c>
    </row>
    <row r="196" spans="1:19" s="1340" customFormat="1" ht="22.5" customHeight="1" x14ac:dyDescent="0.25">
      <c r="A196" s="1327"/>
      <c r="B196" s="1366"/>
      <c r="C196" s="1466" t="s">
        <v>1362</v>
      </c>
      <c r="D196" s="1466" t="s">
        <v>1279</v>
      </c>
      <c r="E196" s="1337" t="s">
        <v>1372</v>
      </c>
      <c r="F196" s="1561" t="s">
        <v>1461</v>
      </c>
      <c r="G196" s="1562"/>
      <c r="H196" s="1563">
        <v>0</v>
      </c>
      <c r="I196" s="1564">
        <v>0</v>
      </c>
      <c r="J196" s="1335">
        <v>313.49715000000003</v>
      </c>
      <c r="K196" s="1335">
        <v>100</v>
      </c>
      <c r="L196" s="1335">
        <v>0</v>
      </c>
      <c r="M196" s="1466" t="s">
        <v>253</v>
      </c>
      <c r="N196" s="1464">
        <v>0</v>
      </c>
      <c r="O196" s="1439">
        <v>43586</v>
      </c>
      <c r="P196" s="1439">
        <v>43770</v>
      </c>
      <c r="Q196" s="1464" t="s">
        <v>1349</v>
      </c>
      <c r="R196" s="1464">
        <v>0</v>
      </c>
      <c r="S196" s="1464" t="s">
        <v>944</v>
      </c>
    </row>
    <row r="197" spans="1:19" s="1340" customFormat="1" ht="90.75" customHeight="1" x14ac:dyDescent="0.25">
      <c r="A197" s="1327"/>
      <c r="B197" s="1366"/>
      <c r="C197" s="1466" t="s">
        <v>1363</v>
      </c>
      <c r="D197" s="1466" t="s">
        <v>1279</v>
      </c>
      <c r="E197" s="1337" t="s">
        <v>1373</v>
      </c>
      <c r="F197" s="1561" t="s">
        <v>1462</v>
      </c>
      <c r="G197" s="1562"/>
      <c r="H197" s="1563">
        <v>0</v>
      </c>
      <c r="I197" s="1564">
        <v>0</v>
      </c>
      <c r="J197" s="1335">
        <v>187.94192000000001</v>
      </c>
      <c r="K197" s="1335">
        <v>100</v>
      </c>
      <c r="L197" s="1335">
        <v>0</v>
      </c>
      <c r="M197" s="1466" t="s">
        <v>253</v>
      </c>
      <c r="N197" s="1464">
        <v>0</v>
      </c>
      <c r="O197" s="1439">
        <v>43586</v>
      </c>
      <c r="P197" s="1439">
        <v>43770</v>
      </c>
      <c r="Q197" s="1464" t="s">
        <v>1349</v>
      </c>
      <c r="R197" s="1464">
        <v>0</v>
      </c>
      <c r="S197" s="1464" t="s">
        <v>944</v>
      </c>
    </row>
    <row r="198" spans="1:19" s="1340" customFormat="1" ht="35.25" customHeight="1" x14ac:dyDescent="0.25">
      <c r="A198" s="1327"/>
      <c r="B198" s="1366"/>
      <c r="C198" s="1410" t="s">
        <v>1266</v>
      </c>
      <c r="D198" s="1410" t="s">
        <v>1299</v>
      </c>
      <c r="E198" s="1414" t="s">
        <v>1297</v>
      </c>
      <c r="F198" s="1561" t="s">
        <v>1463</v>
      </c>
      <c r="G198" s="1562"/>
      <c r="H198" s="1563">
        <v>0</v>
      </c>
      <c r="I198" s="1564">
        <v>0</v>
      </c>
      <c r="J198" s="1335">
        <v>0</v>
      </c>
      <c r="K198" s="1335">
        <v>0</v>
      </c>
      <c r="L198" s="1335">
        <v>0</v>
      </c>
      <c r="M198" s="1466">
        <v>0</v>
      </c>
      <c r="N198" s="1464">
        <v>0</v>
      </c>
      <c r="O198" s="1339">
        <v>0</v>
      </c>
      <c r="P198" s="1339">
        <v>0</v>
      </c>
      <c r="Q198" s="1464">
        <v>0</v>
      </c>
      <c r="R198" s="1391" t="s">
        <v>1485</v>
      </c>
      <c r="S198" s="1464">
        <v>0</v>
      </c>
    </row>
    <row r="199" spans="1:19" s="1340" customFormat="1" ht="27.75" customHeight="1" x14ac:dyDescent="0.25">
      <c r="A199" s="1327"/>
      <c r="B199" s="1366"/>
      <c r="C199" s="1466" t="s">
        <v>1274</v>
      </c>
      <c r="D199" s="1466" t="s">
        <v>1299</v>
      </c>
      <c r="E199" s="1337" t="s">
        <v>1297</v>
      </c>
      <c r="F199" s="1561" t="s">
        <v>1463</v>
      </c>
      <c r="G199" s="1562"/>
      <c r="H199" s="1563">
        <v>0</v>
      </c>
      <c r="I199" s="1564">
        <v>0</v>
      </c>
      <c r="J199" s="1335" t="s">
        <v>1418</v>
      </c>
      <c r="K199" s="1335"/>
      <c r="L199" s="1335"/>
      <c r="M199" s="1466" t="s">
        <v>253</v>
      </c>
      <c r="N199" s="1464">
        <v>0</v>
      </c>
      <c r="O199" s="1439">
        <v>43586</v>
      </c>
      <c r="P199" s="1439">
        <v>43891</v>
      </c>
      <c r="Q199" s="1464">
        <v>0</v>
      </c>
      <c r="R199" s="1464">
        <v>0</v>
      </c>
      <c r="S199" s="1464" t="s">
        <v>932</v>
      </c>
    </row>
    <row r="200" spans="1:19" s="1340" customFormat="1" ht="76.5" customHeight="1" x14ac:dyDescent="0.25">
      <c r="A200" s="1327"/>
      <c r="B200" s="1366"/>
      <c r="C200" s="1466" t="s">
        <v>1386</v>
      </c>
      <c r="D200" s="1466" t="s">
        <v>1299</v>
      </c>
      <c r="E200" s="1337" t="s">
        <v>1388</v>
      </c>
      <c r="F200" s="1561" t="s">
        <v>1495</v>
      </c>
      <c r="G200" s="1562">
        <v>0</v>
      </c>
      <c r="H200" s="1563">
        <v>0</v>
      </c>
      <c r="I200" s="1564">
        <v>0</v>
      </c>
      <c r="J200" s="1335">
        <v>104.23195</v>
      </c>
      <c r="K200" s="1335">
        <v>100</v>
      </c>
      <c r="L200" s="1335">
        <v>0</v>
      </c>
      <c r="M200" s="1466" t="s">
        <v>253</v>
      </c>
      <c r="N200" s="1464">
        <v>0</v>
      </c>
      <c r="O200" s="1439">
        <v>43586</v>
      </c>
      <c r="P200" s="1439">
        <v>43770</v>
      </c>
      <c r="Q200" s="1464" t="s">
        <v>930</v>
      </c>
      <c r="R200" s="1464">
        <v>0</v>
      </c>
      <c r="S200" s="1464" t="s">
        <v>944</v>
      </c>
    </row>
    <row r="201" spans="1:19" s="1340" customFormat="1" ht="27.75" customHeight="1" x14ac:dyDescent="0.25">
      <c r="A201" s="1327"/>
      <c r="B201" s="1366"/>
      <c r="C201" s="1466" t="s">
        <v>1387</v>
      </c>
      <c r="D201" s="1466" t="s">
        <v>1299</v>
      </c>
      <c r="E201" s="1337" t="s">
        <v>1389</v>
      </c>
      <c r="F201" s="1467"/>
      <c r="G201" s="1463">
        <v>0</v>
      </c>
      <c r="H201" s="1563">
        <v>0</v>
      </c>
      <c r="I201" s="1564">
        <v>0</v>
      </c>
      <c r="J201" s="1335">
        <v>27.97297</v>
      </c>
      <c r="K201" s="1335">
        <v>100</v>
      </c>
      <c r="L201" s="1335">
        <v>0</v>
      </c>
      <c r="M201" s="1466" t="s">
        <v>253</v>
      </c>
      <c r="N201" s="1464">
        <v>0</v>
      </c>
      <c r="O201" s="1439">
        <v>43586</v>
      </c>
      <c r="P201" s="1439">
        <v>43770</v>
      </c>
      <c r="Q201" s="1464" t="s">
        <v>1346</v>
      </c>
      <c r="R201" s="1464">
        <v>0</v>
      </c>
      <c r="S201" s="1464" t="s">
        <v>944</v>
      </c>
    </row>
    <row r="202" spans="1:19" s="1340" customFormat="1" ht="21" customHeight="1" x14ac:dyDescent="0.25">
      <c r="A202" s="1327"/>
      <c r="B202" s="1366"/>
      <c r="C202" s="1410" t="s">
        <v>1267</v>
      </c>
      <c r="D202" s="1410" t="s">
        <v>1314</v>
      </c>
      <c r="E202" s="1414" t="s">
        <v>1317</v>
      </c>
      <c r="F202" s="1561" t="s">
        <v>1464</v>
      </c>
      <c r="G202" s="1562"/>
      <c r="H202" s="1563">
        <v>0</v>
      </c>
      <c r="I202" s="1564">
        <v>0</v>
      </c>
      <c r="J202" s="1335">
        <v>0</v>
      </c>
      <c r="K202" s="1335">
        <v>0</v>
      </c>
      <c r="L202" s="1335">
        <v>0</v>
      </c>
      <c r="M202" s="1466">
        <v>0</v>
      </c>
      <c r="N202" s="1464">
        <v>0</v>
      </c>
      <c r="O202" s="1439">
        <v>0</v>
      </c>
      <c r="P202" s="1439">
        <v>0</v>
      </c>
      <c r="Q202" s="1464">
        <v>0</v>
      </c>
      <c r="R202" s="1391" t="s">
        <v>1486</v>
      </c>
      <c r="S202" s="1464">
        <v>0</v>
      </c>
    </row>
    <row r="203" spans="1:19" s="1340" customFormat="1" ht="58.5" customHeight="1" x14ac:dyDescent="0.25">
      <c r="A203" s="1327"/>
      <c r="B203" s="1366"/>
      <c r="C203" s="1466" t="s">
        <v>1275</v>
      </c>
      <c r="D203" s="1466" t="s">
        <v>1314</v>
      </c>
      <c r="E203" s="1337" t="s">
        <v>1316</v>
      </c>
      <c r="F203" s="1561" t="s">
        <v>1464</v>
      </c>
      <c r="G203" s="1562"/>
      <c r="H203" s="1563">
        <v>0</v>
      </c>
      <c r="I203" s="1564">
        <v>0</v>
      </c>
      <c r="J203" s="1335" t="s">
        <v>1419</v>
      </c>
      <c r="K203" s="1335">
        <v>100</v>
      </c>
      <c r="L203" s="1335">
        <v>0</v>
      </c>
      <c r="M203" s="1466" t="s">
        <v>253</v>
      </c>
      <c r="N203" s="1464">
        <v>0</v>
      </c>
      <c r="O203" s="1439">
        <v>43586</v>
      </c>
      <c r="P203" s="1439">
        <v>43891</v>
      </c>
      <c r="Q203" s="1464">
        <v>0</v>
      </c>
      <c r="R203" s="1464">
        <v>0</v>
      </c>
      <c r="S203" s="1464" t="s">
        <v>932</v>
      </c>
    </row>
    <row r="204" spans="1:19" ht="15.75" customHeight="1" x14ac:dyDescent="0.25">
      <c r="C204" s="1471">
        <v>7</v>
      </c>
      <c r="D204" s="1566" t="s">
        <v>1207</v>
      </c>
      <c r="E204" s="1566"/>
      <c r="F204" s="1566"/>
      <c r="G204" s="1566"/>
      <c r="H204" s="1566"/>
      <c r="I204" s="1566"/>
      <c r="J204" s="1566"/>
      <c r="K204" s="1566"/>
      <c r="L204" s="1566"/>
      <c r="M204" s="1566"/>
      <c r="N204" s="1566"/>
      <c r="O204" s="1566"/>
      <c r="P204" s="1566"/>
      <c r="Q204" s="1566"/>
      <c r="R204" s="1566"/>
      <c r="S204" s="1566"/>
    </row>
    <row r="205" spans="1:19" ht="15" customHeight="1" x14ac:dyDescent="0.25">
      <c r="C205" s="1588"/>
      <c r="D205" s="1565" t="s">
        <v>910</v>
      </c>
      <c r="E205" s="1565" t="s">
        <v>1208</v>
      </c>
      <c r="F205" s="1565" t="s">
        <v>912</v>
      </c>
      <c r="G205" s="1565"/>
      <c r="H205" s="1565" t="s">
        <v>915</v>
      </c>
      <c r="I205" s="1565"/>
      <c r="J205" s="1572" t="s">
        <v>1195</v>
      </c>
      <c r="K205" s="1572"/>
      <c r="L205" s="1572"/>
      <c r="M205" s="1565" t="s">
        <v>917</v>
      </c>
      <c r="N205" s="1569" t="s">
        <v>1209</v>
      </c>
      <c r="O205" s="1565" t="s">
        <v>1197</v>
      </c>
      <c r="P205" s="1565"/>
      <c r="Q205" s="1565" t="s">
        <v>1210</v>
      </c>
      <c r="R205" s="1565" t="s">
        <v>921</v>
      </c>
      <c r="S205" s="1565" t="s">
        <v>922</v>
      </c>
    </row>
    <row r="206" spans="1:19" ht="66" customHeight="1" x14ac:dyDescent="0.25">
      <c r="C206" s="1588"/>
      <c r="D206" s="1565"/>
      <c r="E206" s="1565"/>
      <c r="F206" s="1565"/>
      <c r="G206" s="1565"/>
      <c r="H206" s="1565"/>
      <c r="I206" s="1565"/>
      <c r="J206" s="1331" t="s">
        <v>1405</v>
      </c>
      <c r="K206" s="1469" t="s">
        <v>924</v>
      </c>
      <c r="L206" s="1331" t="s">
        <v>925</v>
      </c>
      <c r="M206" s="1565"/>
      <c r="N206" s="1569"/>
      <c r="O206" s="1469" t="s">
        <v>1211</v>
      </c>
      <c r="P206" s="1469" t="s">
        <v>1212</v>
      </c>
      <c r="Q206" s="1565"/>
      <c r="R206" s="1565"/>
      <c r="S206" s="1565"/>
    </row>
    <row r="207" spans="1:19" s="1340" customFormat="1" ht="135.75" customHeight="1" x14ac:dyDescent="0.25">
      <c r="A207" s="1327"/>
      <c r="B207" s="1366"/>
      <c r="C207" s="1466" t="s">
        <v>1384</v>
      </c>
      <c r="D207" s="1466" t="s">
        <v>1314</v>
      </c>
      <c r="E207" s="1337" t="s">
        <v>1385</v>
      </c>
      <c r="F207" s="1561" t="s">
        <v>1496</v>
      </c>
      <c r="G207" s="1562"/>
      <c r="H207" s="1563">
        <v>0</v>
      </c>
      <c r="I207" s="1564">
        <v>0</v>
      </c>
      <c r="J207" s="1335">
        <v>248.56039999999999</v>
      </c>
      <c r="K207" s="1335">
        <v>100</v>
      </c>
      <c r="L207" s="1335">
        <v>0</v>
      </c>
      <c r="M207" s="1466" t="s">
        <v>253</v>
      </c>
      <c r="N207" s="1464">
        <v>0</v>
      </c>
      <c r="O207" s="1439">
        <v>43586</v>
      </c>
      <c r="P207" s="1439">
        <v>43770</v>
      </c>
      <c r="Q207" s="1464" t="s">
        <v>930</v>
      </c>
      <c r="R207" s="1464">
        <v>0</v>
      </c>
      <c r="S207" s="1464" t="s">
        <v>944</v>
      </c>
    </row>
    <row r="208" spans="1:19" s="1340" customFormat="1" ht="19.5" customHeight="1" x14ac:dyDescent="0.25">
      <c r="A208" s="1327"/>
      <c r="B208" s="1366"/>
      <c r="C208" s="1410" t="s">
        <v>1268</v>
      </c>
      <c r="D208" s="1410" t="s">
        <v>1280</v>
      </c>
      <c r="E208" s="1414" t="s">
        <v>1318</v>
      </c>
      <c r="F208" s="1561" t="s">
        <v>1465</v>
      </c>
      <c r="G208" s="1562"/>
      <c r="H208" s="1563">
        <v>0</v>
      </c>
      <c r="I208" s="1564">
        <v>0</v>
      </c>
      <c r="J208" s="1335">
        <v>0</v>
      </c>
      <c r="K208" s="1335">
        <v>0</v>
      </c>
      <c r="L208" s="1335">
        <v>0</v>
      </c>
      <c r="M208" s="1466">
        <v>0</v>
      </c>
      <c r="N208" s="1464">
        <v>0</v>
      </c>
      <c r="O208" s="1439">
        <v>0</v>
      </c>
      <c r="P208" s="1439">
        <v>0</v>
      </c>
      <c r="Q208" s="1464">
        <v>0</v>
      </c>
      <c r="R208" s="1464">
        <v>0</v>
      </c>
      <c r="S208" s="1464">
        <v>0</v>
      </c>
    </row>
    <row r="209" spans="1:19" s="1340" customFormat="1" ht="35.25" customHeight="1" x14ac:dyDescent="0.25">
      <c r="A209" s="1327"/>
      <c r="B209" s="1366"/>
      <c r="C209" s="1466" t="s">
        <v>1276</v>
      </c>
      <c r="D209" s="1466" t="s">
        <v>1280</v>
      </c>
      <c r="E209" s="1337" t="s">
        <v>1319</v>
      </c>
      <c r="F209" s="1561" t="s">
        <v>1465</v>
      </c>
      <c r="G209" s="1562"/>
      <c r="H209" s="1563">
        <v>0</v>
      </c>
      <c r="I209" s="1564">
        <v>0</v>
      </c>
      <c r="J209" s="1335" t="s">
        <v>1420</v>
      </c>
      <c r="K209" s="1335">
        <v>100</v>
      </c>
      <c r="L209" s="1335">
        <v>0</v>
      </c>
      <c r="M209" s="1466" t="s">
        <v>253</v>
      </c>
      <c r="N209" s="1464">
        <v>0</v>
      </c>
      <c r="O209" s="1439">
        <v>43586</v>
      </c>
      <c r="P209" s="1439">
        <v>43891</v>
      </c>
      <c r="Q209" s="1464">
        <v>0</v>
      </c>
      <c r="R209" s="1464">
        <v>0</v>
      </c>
      <c r="S209" s="1464" t="s">
        <v>932</v>
      </c>
    </row>
    <row r="210" spans="1:19" s="1340" customFormat="1" ht="102.75" customHeight="1" x14ac:dyDescent="0.25">
      <c r="A210" s="1327"/>
      <c r="B210" s="1366"/>
      <c r="C210" s="1466" t="s">
        <v>1380</v>
      </c>
      <c r="D210" s="1466" t="s">
        <v>1280</v>
      </c>
      <c r="E210" s="1337" t="s">
        <v>1382</v>
      </c>
      <c r="F210" s="1561" t="s">
        <v>1497</v>
      </c>
      <c r="G210" s="1562"/>
      <c r="H210" s="1563">
        <v>0</v>
      </c>
      <c r="I210" s="1564">
        <v>0</v>
      </c>
      <c r="J210" s="1335">
        <v>455.81608</v>
      </c>
      <c r="K210" s="1335">
        <v>100</v>
      </c>
      <c r="L210" s="1335">
        <v>0</v>
      </c>
      <c r="M210" s="1466" t="s">
        <v>253</v>
      </c>
      <c r="N210" s="1464">
        <v>0</v>
      </c>
      <c r="O210" s="1439">
        <v>43586</v>
      </c>
      <c r="P210" s="1439">
        <v>43770</v>
      </c>
      <c r="Q210" s="1464" t="s">
        <v>930</v>
      </c>
      <c r="R210" s="1464">
        <v>0</v>
      </c>
      <c r="S210" s="1464" t="s">
        <v>944</v>
      </c>
    </row>
    <row r="211" spans="1:19" s="1340" customFormat="1" ht="23.25" customHeight="1" x14ac:dyDescent="0.25">
      <c r="A211" s="1327"/>
      <c r="B211" s="1366"/>
      <c r="C211" s="1466" t="s">
        <v>1381</v>
      </c>
      <c r="D211" s="1466" t="s">
        <v>1280</v>
      </c>
      <c r="E211" s="1337" t="s">
        <v>1383</v>
      </c>
      <c r="F211" s="1561" t="s">
        <v>1465</v>
      </c>
      <c r="G211" s="1562"/>
      <c r="H211" s="1563">
        <v>0</v>
      </c>
      <c r="I211" s="1564">
        <v>0</v>
      </c>
      <c r="J211" s="1335">
        <v>12.94595</v>
      </c>
      <c r="K211" s="1335">
        <v>100</v>
      </c>
      <c r="L211" s="1335">
        <v>0</v>
      </c>
      <c r="M211" s="1466" t="s">
        <v>253</v>
      </c>
      <c r="N211" s="1464">
        <v>0</v>
      </c>
      <c r="O211" s="1439">
        <v>43586</v>
      </c>
      <c r="P211" s="1439">
        <v>43770</v>
      </c>
      <c r="Q211" s="1464" t="s">
        <v>1346</v>
      </c>
      <c r="R211" s="1464">
        <v>0</v>
      </c>
      <c r="S211" s="1464" t="s">
        <v>944</v>
      </c>
    </row>
    <row r="212" spans="1:19" s="1340" customFormat="1" ht="22.5" customHeight="1" x14ac:dyDescent="0.25">
      <c r="A212" s="1327"/>
      <c r="B212" s="1366"/>
      <c r="C212" s="1410" t="s">
        <v>1269</v>
      </c>
      <c r="D212" s="1410" t="s">
        <v>1281</v>
      </c>
      <c r="E212" s="1414" t="s">
        <v>1321</v>
      </c>
      <c r="F212" s="1561" t="s">
        <v>1466</v>
      </c>
      <c r="G212" s="1562"/>
      <c r="H212" s="1563">
        <v>0</v>
      </c>
      <c r="I212" s="1564">
        <v>0</v>
      </c>
      <c r="J212" s="1335">
        <v>0</v>
      </c>
      <c r="K212" s="1335">
        <v>0</v>
      </c>
      <c r="L212" s="1335">
        <v>0</v>
      </c>
      <c r="M212" s="1466">
        <v>0</v>
      </c>
      <c r="N212" s="1464">
        <v>0</v>
      </c>
      <c r="O212" s="1439">
        <v>0</v>
      </c>
      <c r="P212" s="1439">
        <v>0</v>
      </c>
      <c r="Q212" s="1464">
        <v>0</v>
      </c>
      <c r="R212" s="1391" t="s">
        <v>1487</v>
      </c>
      <c r="S212" s="1464">
        <v>0</v>
      </c>
    </row>
    <row r="213" spans="1:19" s="1340" customFormat="1" ht="71.25" customHeight="1" x14ac:dyDescent="0.25">
      <c r="A213" s="1327"/>
      <c r="B213" s="1366"/>
      <c r="C213" s="1466" t="s">
        <v>1277</v>
      </c>
      <c r="D213" s="1466" t="s">
        <v>1281</v>
      </c>
      <c r="E213" s="1337" t="s">
        <v>1320</v>
      </c>
      <c r="F213" s="1561" t="s">
        <v>1466</v>
      </c>
      <c r="G213" s="1562"/>
      <c r="H213" s="1563">
        <v>0</v>
      </c>
      <c r="I213" s="1564">
        <v>0</v>
      </c>
      <c r="J213" s="1335" t="s">
        <v>1421</v>
      </c>
      <c r="K213" s="1335">
        <v>100</v>
      </c>
      <c r="L213" s="1335">
        <v>0</v>
      </c>
      <c r="M213" s="1466" t="s">
        <v>253</v>
      </c>
      <c r="N213" s="1464">
        <v>0</v>
      </c>
      <c r="O213" s="1439">
        <v>43586</v>
      </c>
      <c r="P213" s="1439">
        <v>43891</v>
      </c>
      <c r="Q213" s="1464">
        <v>0</v>
      </c>
      <c r="R213" s="1464">
        <v>0</v>
      </c>
      <c r="S213" s="1464" t="s">
        <v>932</v>
      </c>
    </row>
    <row r="214" spans="1:19" s="1340" customFormat="1" ht="198.75" customHeight="1" x14ac:dyDescent="0.25">
      <c r="A214" s="1327"/>
      <c r="B214" s="1366"/>
      <c r="C214" s="1466" t="s">
        <v>1350</v>
      </c>
      <c r="D214" s="1466" t="s">
        <v>1281</v>
      </c>
      <c r="E214" s="1337" t="s">
        <v>1367</v>
      </c>
      <c r="F214" s="1561" t="s">
        <v>1498</v>
      </c>
      <c r="G214" s="1562"/>
      <c r="H214" s="1563">
        <v>0</v>
      </c>
      <c r="I214" s="1564">
        <v>0</v>
      </c>
      <c r="J214" s="1335">
        <v>658.04800999999998</v>
      </c>
      <c r="K214" s="1335">
        <v>100</v>
      </c>
      <c r="L214" s="1335">
        <v>0</v>
      </c>
      <c r="M214" s="1466" t="s">
        <v>1427</v>
      </c>
      <c r="N214" s="1464">
        <v>0</v>
      </c>
      <c r="O214" s="1439">
        <v>43586</v>
      </c>
      <c r="P214" s="1439">
        <v>43770</v>
      </c>
      <c r="Q214" s="1464" t="s">
        <v>930</v>
      </c>
      <c r="R214" s="1464">
        <v>0</v>
      </c>
      <c r="S214" s="1464" t="s">
        <v>944</v>
      </c>
    </row>
    <row r="215" spans="1:19" s="1340" customFormat="1" ht="30.75" customHeight="1" x14ac:dyDescent="0.25">
      <c r="A215" s="1327"/>
      <c r="B215" s="1366"/>
      <c r="C215" s="1466" t="s">
        <v>1351</v>
      </c>
      <c r="D215" s="1466" t="s">
        <v>1281</v>
      </c>
      <c r="E215" s="1337" t="s">
        <v>1377</v>
      </c>
      <c r="F215" s="1561" t="s">
        <v>1466</v>
      </c>
      <c r="G215" s="1562">
        <v>0</v>
      </c>
      <c r="H215" s="1563">
        <v>0</v>
      </c>
      <c r="I215" s="1564">
        <v>0</v>
      </c>
      <c r="J215" s="1335">
        <v>264.27715000000001</v>
      </c>
      <c r="K215" s="1335">
        <v>100</v>
      </c>
      <c r="L215" s="1335">
        <v>0</v>
      </c>
      <c r="M215" s="1466" t="s">
        <v>1427</v>
      </c>
      <c r="N215" s="1464">
        <v>0</v>
      </c>
      <c r="O215" s="1439">
        <v>43586</v>
      </c>
      <c r="P215" s="1439">
        <v>43770</v>
      </c>
      <c r="Q215" s="1464" t="s">
        <v>1347</v>
      </c>
      <c r="R215" s="1464">
        <v>0</v>
      </c>
      <c r="S215" s="1464" t="s">
        <v>944</v>
      </c>
    </row>
    <row r="216" spans="1:19" s="1340" customFormat="1" ht="30.75" customHeight="1" x14ac:dyDescent="0.25">
      <c r="A216" s="1327"/>
      <c r="B216" s="1366"/>
      <c r="C216" s="1466" t="s">
        <v>1352</v>
      </c>
      <c r="D216" s="1466" t="s">
        <v>1281</v>
      </c>
      <c r="E216" s="1337" t="s">
        <v>1378</v>
      </c>
      <c r="F216" s="1561" t="s">
        <v>1466</v>
      </c>
      <c r="G216" s="1562">
        <v>0</v>
      </c>
      <c r="H216" s="1563">
        <v>0</v>
      </c>
      <c r="I216" s="1564">
        <v>0</v>
      </c>
      <c r="J216" s="1335">
        <v>20.407070000000001</v>
      </c>
      <c r="K216" s="1335">
        <v>100</v>
      </c>
      <c r="L216" s="1335">
        <v>0</v>
      </c>
      <c r="M216" s="1466" t="s">
        <v>1427</v>
      </c>
      <c r="N216" s="1464">
        <v>0</v>
      </c>
      <c r="O216" s="1439">
        <v>43586</v>
      </c>
      <c r="P216" s="1439">
        <v>43770</v>
      </c>
      <c r="Q216" s="1464" t="s">
        <v>1347</v>
      </c>
      <c r="R216" s="1464">
        <v>0</v>
      </c>
      <c r="S216" s="1464" t="s">
        <v>944</v>
      </c>
    </row>
    <row r="217" spans="1:19" s="1340" customFormat="1" ht="30.75" customHeight="1" x14ac:dyDescent="0.25">
      <c r="A217" s="1327"/>
      <c r="B217" s="1366"/>
      <c r="C217" s="1466" t="s">
        <v>1353</v>
      </c>
      <c r="D217" s="1466" t="s">
        <v>1281</v>
      </c>
      <c r="E217" s="1337" t="s">
        <v>1379</v>
      </c>
      <c r="F217" s="1561" t="s">
        <v>1466</v>
      </c>
      <c r="G217" s="1562">
        <v>0</v>
      </c>
      <c r="H217" s="1563">
        <v>0</v>
      </c>
      <c r="I217" s="1564">
        <v>0</v>
      </c>
      <c r="J217" s="1335">
        <v>3.0459500000000004</v>
      </c>
      <c r="K217" s="1335">
        <v>100</v>
      </c>
      <c r="L217" s="1335">
        <v>0</v>
      </c>
      <c r="M217" s="1466" t="s">
        <v>1427</v>
      </c>
      <c r="N217" s="1464">
        <v>0</v>
      </c>
      <c r="O217" s="1439">
        <v>43586</v>
      </c>
      <c r="P217" s="1439">
        <v>43770</v>
      </c>
      <c r="Q217" s="1464" t="s">
        <v>1346</v>
      </c>
      <c r="R217" s="1464">
        <v>0</v>
      </c>
      <c r="S217" s="1464" t="s">
        <v>944</v>
      </c>
    </row>
    <row r="218" spans="1:19" s="1340" customFormat="1" ht="23.25" customHeight="1" x14ac:dyDescent="0.25">
      <c r="A218" s="1327"/>
      <c r="B218" s="1366"/>
      <c r="C218" s="1471">
        <v>7</v>
      </c>
      <c r="D218" s="1566" t="s">
        <v>1207</v>
      </c>
      <c r="E218" s="1566"/>
      <c r="F218" s="1566"/>
      <c r="G218" s="1566"/>
      <c r="H218" s="1566"/>
      <c r="I218" s="1566"/>
      <c r="J218" s="1566"/>
      <c r="K218" s="1566"/>
      <c r="L218" s="1566"/>
      <c r="M218" s="1566"/>
      <c r="N218" s="1566"/>
      <c r="O218" s="1566"/>
      <c r="P218" s="1566"/>
      <c r="Q218" s="1566"/>
      <c r="R218" s="1566"/>
      <c r="S218" s="1566"/>
    </row>
    <row r="219" spans="1:19" s="1340" customFormat="1" ht="24" customHeight="1" x14ac:dyDescent="0.25">
      <c r="A219" s="1327"/>
      <c r="B219" s="1366"/>
      <c r="C219" s="1588"/>
      <c r="D219" s="1565" t="s">
        <v>910</v>
      </c>
      <c r="E219" s="1565" t="s">
        <v>1208</v>
      </c>
      <c r="F219" s="1565" t="s">
        <v>912</v>
      </c>
      <c r="G219" s="1565"/>
      <c r="H219" s="1565" t="s">
        <v>915</v>
      </c>
      <c r="I219" s="1565"/>
      <c r="J219" s="1572" t="s">
        <v>1195</v>
      </c>
      <c r="K219" s="1572"/>
      <c r="L219" s="1572"/>
      <c r="M219" s="1565" t="s">
        <v>917</v>
      </c>
      <c r="N219" s="1569" t="s">
        <v>1209</v>
      </c>
      <c r="O219" s="1565" t="s">
        <v>1197</v>
      </c>
      <c r="P219" s="1565"/>
      <c r="Q219" s="1565" t="s">
        <v>1210</v>
      </c>
      <c r="R219" s="1565" t="s">
        <v>921</v>
      </c>
      <c r="S219" s="1565" t="s">
        <v>922</v>
      </c>
    </row>
    <row r="220" spans="1:19" s="1340" customFormat="1" ht="34.5" customHeight="1" x14ac:dyDescent="0.25">
      <c r="A220" s="1327"/>
      <c r="B220" s="1366"/>
      <c r="C220" s="1588"/>
      <c r="D220" s="1565"/>
      <c r="E220" s="1565"/>
      <c r="F220" s="1565"/>
      <c r="G220" s="1565"/>
      <c r="H220" s="1565"/>
      <c r="I220" s="1565"/>
      <c r="J220" s="1331" t="s">
        <v>1405</v>
      </c>
      <c r="K220" s="1469" t="s">
        <v>924</v>
      </c>
      <c r="L220" s="1331" t="s">
        <v>925</v>
      </c>
      <c r="M220" s="1565"/>
      <c r="N220" s="1569"/>
      <c r="O220" s="1469" t="s">
        <v>1211</v>
      </c>
      <c r="P220" s="1469" t="s">
        <v>1212</v>
      </c>
      <c r="Q220" s="1565"/>
      <c r="R220" s="1565"/>
      <c r="S220" s="1565"/>
    </row>
    <row r="221" spans="1:19" s="1340" customFormat="1" ht="36.75" customHeight="1" x14ac:dyDescent="0.25">
      <c r="A221" s="1327"/>
      <c r="B221" s="1366"/>
      <c r="C221" s="1410" t="s">
        <v>1270</v>
      </c>
      <c r="D221" s="1410" t="s">
        <v>1290</v>
      </c>
      <c r="E221" s="1414" t="s">
        <v>1499</v>
      </c>
      <c r="F221" s="1561" t="s">
        <v>1467</v>
      </c>
      <c r="G221" s="1562"/>
      <c r="H221" s="1563">
        <v>0</v>
      </c>
      <c r="I221" s="1564">
        <v>0</v>
      </c>
      <c r="J221" s="1335">
        <v>0</v>
      </c>
      <c r="K221" s="1335">
        <v>0</v>
      </c>
      <c r="L221" s="1335">
        <v>0</v>
      </c>
      <c r="M221" s="1466">
        <v>0</v>
      </c>
      <c r="N221" s="1464">
        <v>0</v>
      </c>
      <c r="O221" s="1360">
        <v>0</v>
      </c>
      <c r="P221" s="1439">
        <v>0</v>
      </c>
      <c r="Q221" s="1464">
        <v>0</v>
      </c>
      <c r="R221" s="1464">
        <v>0</v>
      </c>
      <c r="S221" s="1464">
        <v>0</v>
      </c>
    </row>
    <row r="222" spans="1:19" s="1340" customFormat="1" ht="42" customHeight="1" x14ac:dyDescent="0.25">
      <c r="A222" s="1327"/>
      <c r="B222" s="1366"/>
      <c r="C222" s="1466" t="s">
        <v>1278</v>
      </c>
      <c r="D222" s="1466" t="s">
        <v>1290</v>
      </c>
      <c r="E222" s="1337" t="s">
        <v>1499</v>
      </c>
      <c r="F222" s="1561" t="s">
        <v>1467</v>
      </c>
      <c r="G222" s="1562"/>
      <c r="H222" s="1563">
        <v>0</v>
      </c>
      <c r="I222" s="1564">
        <v>0</v>
      </c>
      <c r="J222" s="1335" t="s">
        <v>1432</v>
      </c>
      <c r="K222" s="1335">
        <v>100</v>
      </c>
      <c r="L222" s="1335">
        <v>0</v>
      </c>
      <c r="M222" s="1466" t="s">
        <v>901</v>
      </c>
      <c r="N222" s="1464">
        <v>0</v>
      </c>
      <c r="O222" s="1439">
        <v>43586</v>
      </c>
      <c r="P222" s="1439">
        <v>43891</v>
      </c>
      <c r="Q222" s="1464">
        <v>0</v>
      </c>
      <c r="R222" s="1464">
        <v>0</v>
      </c>
      <c r="S222" s="1464" t="s">
        <v>932</v>
      </c>
    </row>
    <row r="223" spans="1:19" s="1340" customFormat="1" ht="119.25" customHeight="1" x14ac:dyDescent="0.25">
      <c r="A223" s="1327"/>
      <c r="B223" s="1366"/>
      <c r="C223" s="1466" t="s">
        <v>1390</v>
      </c>
      <c r="D223" s="1466" t="s">
        <v>1290</v>
      </c>
      <c r="E223" s="1337" t="s">
        <v>1392</v>
      </c>
      <c r="F223" s="1561" t="s">
        <v>1500</v>
      </c>
      <c r="G223" s="1562"/>
      <c r="H223" s="1563">
        <v>0</v>
      </c>
      <c r="I223" s="1564">
        <v>0</v>
      </c>
      <c r="J223" s="1335">
        <v>98.307570000000013</v>
      </c>
      <c r="K223" s="1335">
        <v>100</v>
      </c>
      <c r="L223" s="1335">
        <v>0</v>
      </c>
      <c r="M223" s="1466" t="s">
        <v>901</v>
      </c>
      <c r="N223" s="1464">
        <v>0</v>
      </c>
      <c r="O223" s="1439">
        <v>43586</v>
      </c>
      <c r="P223" s="1439">
        <v>43770</v>
      </c>
      <c r="Q223" s="1464" t="s">
        <v>1348</v>
      </c>
      <c r="R223" s="1464">
        <v>0</v>
      </c>
      <c r="S223" s="1464" t="s">
        <v>944</v>
      </c>
    </row>
    <row r="224" spans="1:19" s="1340" customFormat="1" ht="38.25" customHeight="1" x14ac:dyDescent="0.25">
      <c r="A224" s="1327"/>
      <c r="B224" s="1366"/>
      <c r="C224" s="1466" t="s">
        <v>1391</v>
      </c>
      <c r="D224" s="1466" t="s">
        <v>1290</v>
      </c>
      <c r="E224" s="1337" t="s">
        <v>1501</v>
      </c>
      <c r="F224" s="1561" t="s">
        <v>1467</v>
      </c>
      <c r="G224" s="1562"/>
      <c r="H224" s="1563">
        <v>0</v>
      </c>
      <c r="I224" s="1564">
        <v>0</v>
      </c>
      <c r="J224" s="1335">
        <v>2.4324299999999996</v>
      </c>
      <c r="K224" s="1335">
        <v>100</v>
      </c>
      <c r="L224" s="1335">
        <v>0</v>
      </c>
      <c r="M224" s="1466" t="s">
        <v>901</v>
      </c>
      <c r="N224" s="1464">
        <v>0</v>
      </c>
      <c r="O224" s="1439">
        <v>43586</v>
      </c>
      <c r="P224" s="1439">
        <v>43770</v>
      </c>
      <c r="Q224" s="1464" t="s">
        <v>1347</v>
      </c>
      <c r="R224" s="1464">
        <v>0</v>
      </c>
      <c r="S224" s="1464" t="s">
        <v>944</v>
      </c>
    </row>
    <row r="225" spans="1:21" s="1340" customFormat="1" ht="64.5" customHeight="1" x14ac:dyDescent="0.25">
      <c r="A225" s="1327"/>
      <c r="B225" s="1366"/>
      <c r="C225" s="1410" t="s">
        <v>1291</v>
      </c>
      <c r="D225" s="1410" t="s">
        <v>1130</v>
      </c>
      <c r="E225" s="1414" t="s">
        <v>1512</v>
      </c>
      <c r="F225" s="1561" t="s">
        <v>1489</v>
      </c>
      <c r="G225" s="1562"/>
      <c r="H225" s="1563">
        <v>0</v>
      </c>
      <c r="I225" s="1564">
        <v>0</v>
      </c>
      <c r="J225" s="1335">
        <v>0</v>
      </c>
      <c r="K225" s="1335">
        <v>0</v>
      </c>
      <c r="L225" s="1335">
        <v>0</v>
      </c>
      <c r="M225" s="1466">
        <v>0</v>
      </c>
      <c r="N225" s="1464">
        <v>0</v>
      </c>
      <c r="O225" s="1439">
        <v>0</v>
      </c>
      <c r="P225" s="1439">
        <v>0</v>
      </c>
      <c r="Q225" s="1464">
        <v>0</v>
      </c>
      <c r="R225" s="1391" t="s">
        <v>1488</v>
      </c>
      <c r="S225" s="1464">
        <v>0</v>
      </c>
    </row>
    <row r="226" spans="1:21" s="1340" customFormat="1" ht="63.75" customHeight="1" x14ac:dyDescent="0.25">
      <c r="A226" s="1327"/>
      <c r="B226" s="1366"/>
      <c r="C226" s="1466" t="s">
        <v>1422</v>
      </c>
      <c r="D226" s="1466" t="s">
        <v>1130</v>
      </c>
      <c r="E226" s="1337" t="s">
        <v>1322</v>
      </c>
      <c r="F226" s="1561" t="s">
        <v>1489</v>
      </c>
      <c r="G226" s="1562"/>
      <c r="H226" s="1563">
        <v>0</v>
      </c>
      <c r="I226" s="1564">
        <v>0</v>
      </c>
      <c r="J226" s="1483" t="s">
        <v>1423</v>
      </c>
      <c r="K226" s="1335">
        <v>100</v>
      </c>
      <c r="L226" s="1335">
        <v>0</v>
      </c>
      <c r="M226" s="1466" t="s">
        <v>901</v>
      </c>
      <c r="N226" s="1464">
        <v>0</v>
      </c>
      <c r="O226" s="1439">
        <v>43586</v>
      </c>
      <c r="P226" s="1439">
        <v>43891</v>
      </c>
      <c r="Q226" s="1464">
        <v>0</v>
      </c>
      <c r="R226" s="1464">
        <v>0</v>
      </c>
      <c r="S226" s="1464" t="s">
        <v>932</v>
      </c>
    </row>
    <row r="227" spans="1:21" s="1340" customFormat="1" ht="28.5" customHeight="1" x14ac:dyDescent="0.25">
      <c r="A227" s="1327"/>
      <c r="B227" s="1366"/>
      <c r="C227" s="1466" t="s">
        <v>1335</v>
      </c>
      <c r="D227" s="1466" t="s">
        <v>1130</v>
      </c>
      <c r="E227" s="1337" t="s">
        <v>1374</v>
      </c>
      <c r="F227" s="1561" t="s">
        <v>1489</v>
      </c>
      <c r="G227" s="1562"/>
      <c r="H227" s="1563">
        <v>0</v>
      </c>
      <c r="I227" s="1564">
        <v>0</v>
      </c>
      <c r="J227" s="1335">
        <v>17.45092</v>
      </c>
      <c r="K227" s="1335">
        <v>100</v>
      </c>
      <c r="L227" s="1335">
        <v>0</v>
      </c>
      <c r="M227" s="1466" t="s">
        <v>901</v>
      </c>
      <c r="N227" s="1464">
        <v>0</v>
      </c>
      <c r="O227" s="1439">
        <v>43586</v>
      </c>
      <c r="P227" s="1439">
        <v>43770</v>
      </c>
      <c r="Q227" s="1464" t="s">
        <v>1348</v>
      </c>
      <c r="R227" s="1464">
        <v>0</v>
      </c>
      <c r="S227" s="1464" t="s">
        <v>944</v>
      </c>
    </row>
    <row r="228" spans="1:21" s="1340" customFormat="1" ht="32.25" customHeight="1" x14ac:dyDescent="0.25">
      <c r="A228" s="1327"/>
      <c r="B228" s="1366"/>
      <c r="C228" s="1466" t="s">
        <v>1336</v>
      </c>
      <c r="D228" s="1466" t="s">
        <v>1130</v>
      </c>
      <c r="E228" s="1337" t="s">
        <v>1375</v>
      </c>
      <c r="F228" s="1561" t="s">
        <v>1489</v>
      </c>
      <c r="G228" s="1562"/>
      <c r="H228" s="1563">
        <v>0</v>
      </c>
      <c r="I228" s="1564">
        <v>0</v>
      </c>
      <c r="J228" s="1335">
        <v>4.9464899999999998</v>
      </c>
      <c r="K228" s="1335">
        <v>100</v>
      </c>
      <c r="L228" s="1335">
        <v>0</v>
      </c>
      <c r="M228" s="1466" t="s">
        <v>901</v>
      </c>
      <c r="N228" s="1464">
        <v>0</v>
      </c>
      <c r="O228" s="1439">
        <v>43586</v>
      </c>
      <c r="P228" s="1439">
        <v>43770</v>
      </c>
      <c r="Q228" s="1464" t="s">
        <v>1347</v>
      </c>
      <c r="R228" s="1464">
        <v>0</v>
      </c>
      <c r="S228" s="1464" t="s">
        <v>944</v>
      </c>
    </row>
    <row r="229" spans="1:21" s="1340" customFormat="1" ht="27" customHeight="1" x14ac:dyDescent="0.25">
      <c r="A229" s="1327"/>
      <c r="B229" s="1366"/>
      <c r="C229" s="1466" t="s">
        <v>1393</v>
      </c>
      <c r="D229" s="1466" t="s">
        <v>1130</v>
      </c>
      <c r="E229" s="1337" t="s">
        <v>1376</v>
      </c>
      <c r="F229" s="1561" t="s">
        <v>1489</v>
      </c>
      <c r="G229" s="1562"/>
      <c r="H229" s="1563">
        <v>0</v>
      </c>
      <c r="I229" s="1564">
        <v>0</v>
      </c>
      <c r="J229" s="1335">
        <v>31.656650000000003</v>
      </c>
      <c r="K229" s="1335">
        <v>100</v>
      </c>
      <c r="L229" s="1335">
        <v>0</v>
      </c>
      <c r="M229" s="1466" t="s">
        <v>901</v>
      </c>
      <c r="N229" s="1464">
        <v>0</v>
      </c>
      <c r="O229" s="1439">
        <v>43586</v>
      </c>
      <c r="P229" s="1439">
        <v>43770</v>
      </c>
      <c r="Q229" s="1464" t="s">
        <v>1348</v>
      </c>
      <c r="R229" s="1464">
        <v>0</v>
      </c>
      <c r="S229" s="1464" t="s">
        <v>944</v>
      </c>
    </row>
    <row r="230" spans="1:21" s="1340" customFormat="1" ht="32.25" customHeight="1" x14ac:dyDescent="0.25">
      <c r="A230" s="1327"/>
      <c r="B230" s="1366"/>
      <c r="C230" s="1410" t="s">
        <v>1293</v>
      </c>
      <c r="D230" s="1410" t="s">
        <v>1174</v>
      </c>
      <c r="E230" s="1414" t="s">
        <v>1323</v>
      </c>
      <c r="F230" s="1467">
        <v>0</v>
      </c>
      <c r="G230" s="1463">
        <v>0</v>
      </c>
      <c r="H230" s="1563">
        <v>0</v>
      </c>
      <c r="I230" s="1564">
        <v>0</v>
      </c>
      <c r="J230" s="1335">
        <v>0</v>
      </c>
      <c r="K230" s="1335">
        <v>0</v>
      </c>
      <c r="L230" s="1335">
        <v>0</v>
      </c>
      <c r="M230" s="1466">
        <v>0</v>
      </c>
      <c r="N230" s="1464">
        <v>0</v>
      </c>
      <c r="O230" s="1439">
        <v>0</v>
      </c>
      <c r="P230" s="1439">
        <v>0</v>
      </c>
      <c r="Q230" s="1464">
        <v>0</v>
      </c>
      <c r="R230" s="1464">
        <v>0</v>
      </c>
      <c r="S230" s="1464">
        <v>0</v>
      </c>
    </row>
    <row r="231" spans="1:21" s="1340" customFormat="1" ht="27" customHeight="1" x14ac:dyDescent="0.25">
      <c r="A231" s="1327"/>
      <c r="B231" s="1366"/>
      <c r="C231" s="1466" t="s">
        <v>1298</v>
      </c>
      <c r="D231" s="1466" t="s">
        <v>1174</v>
      </c>
      <c r="E231" s="1337" t="s">
        <v>1323</v>
      </c>
      <c r="F231" s="1561" t="s">
        <v>1179</v>
      </c>
      <c r="G231" s="1562"/>
      <c r="H231" s="1563">
        <v>0</v>
      </c>
      <c r="I231" s="1564">
        <v>0</v>
      </c>
      <c r="J231" s="1335" t="s">
        <v>1407</v>
      </c>
      <c r="K231" s="1335">
        <v>100</v>
      </c>
      <c r="L231" s="1335">
        <v>0</v>
      </c>
      <c r="M231" s="1466" t="s">
        <v>901</v>
      </c>
      <c r="N231" s="1464">
        <v>0</v>
      </c>
      <c r="O231" s="1439">
        <v>43586</v>
      </c>
      <c r="P231" s="1439">
        <v>43891</v>
      </c>
      <c r="Q231" s="1464">
        <v>0</v>
      </c>
      <c r="R231" s="1464">
        <v>0</v>
      </c>
      <c r="S231" s="1464" t="s">
        <v>932</v>
      </c>
    </row>
    <row r="232" spans="1:21" s="1340" customFormat="1" ht="24.75" customHeight="1" x14ac:dyDescent="0.25">
      <c r="A232" s="1327"/>
      <c r="B232" s="1366"/>
      <c r="C232" s="1410" t="s">
        <v>1401</v>
      </c>
      <c r="D232" s="1410" t="s">
        <v>1165</v>
      </c>
      <c r="E232" s="1414" t="s">
        <v>1506</v>
      </c>
      <c r="F232" s="1561">
        <v>0</v>
      </c>
      <c r="G232" s="1562"/>
      <c r="H232" s="1563">
        <v>0</v>
      </c>
      <c r="I232" s="1564">
        <v>0</v>
      </c>
      <c r="J232" s="1335">
        <v>0</v>
      </c>
      <c r="K232" s="1335">
        <v>0</v>
      </c>
      <c r="L232" s="1335">
        <v>0</v>
      </c>
      <c r="M232" s="1466">
        <v>0</v>
      </c>
      <c r="N232" s="1464">
        <v>0</v>
      </c>
      <c r="O232" s="1439">
        <v>0</v>
      </c>
      <c r="P232" s="1439">
        <v>0</v>
      </c>
      <c r="Q232" s="1464">
        <v>0</v>
      </c>
      <c r="R232" s="1464">
        <v>0</v>
      </c>
      <c r="S232" s="1464">
        <v>0</v>
      </c>
    </row>
    <row r="233" spans="1:21" s="1340" customFormat="1" ht="33" customHeight="1" x14ac:dyDescent="0.25">
      <c r="A233" s="1327"/>
      <c r="B233" s="1366"/>
      <c r="C233" s="1466" t="s">
        <v>1395</v>
      </c>
      <c r="D233" s="1466" t="s">
        <v>1165</v>
      </c>
      <c r="E233" s="1337" t="s">
        <v>1507</v>
      </c>
      <c r="F233" s="1561" t="s">
        <v>1179</v>
      </c>
      <c r="G233" s="1562"/>
      <c r="H233" s="1563">
        <v>0</v>
      </c>
      <c r="I233" s="1564">
        <v>0</v>
      </c>
      <c r="J233" s="1335">
        <v>408.41669999999999</v>
      </c>
      <c r="K233" s="1335">
        <v>100</v>
      </c>
      <c r="L233" s="1335">
        <v>0</v>
      </c>
      <c r="M233" s="1466" t="s">
        <v>901</v>
      </c>
      <c r="N233" s="1464">
        <v>0</v>
      </c>
      <c r="O233" s="1439">
        <v>43617</v>
      </c>
      <c r="P233" s="1439">
        <v>43770</v>
      </c>
      <c r="Q233" s="1464">
        <v>0</v>
      </c>
      <c r="R233" s="1464">
        <v>0</v>
      </c>
      <c r="S233" s="1464" t="s">
        <v>944</v>
      </c>
    </row>
    <row r="234" spans="1:21" s="1340" customFormat="1" ht="21" customHeight="1" x14ac:dyDescent="0.25">
      <c r="A234" s="1327"/>
      <c r="B234" s="1366"/>
      <c r="C234" s="1410" t="s">
        <v>1402</v>
      </c>
      <c r="D234" s="1410" t="s">
        <v>1404</v>
      </c>
      <c r="E234" s="1414" t="s">
        <v>1508</v>
      </c>
      <c r="F234" s="1561">
        <v>0</v>
      </c>
      <c r="G234" s="1562"/>
      <c r="H234" s="1563">
        <v>0</v>
      </c>
      <c r="I234" s="1564">
        <v>0</v>
      </c>
      <c r="J234" s="1335">
        <v>0</v>
      </c>
      <c r="K234" s="1335">
        <v>0</v>
      </c>
      <c r="L234" s="1335">
        <v>0</v>
      </c>
      <c r="M234" s="1466">
        <v>0</v>
      </c>
      <c r="N234" s="1464">
        <v>0</v>
      </c>
      <c r="O234" s="1439">
        <v>0</v>
      </c>
      <c r="P234" s="1439">
        <v>0</v>
      </c>
      <c r="Q234" s="1464">
        <v>0</v>
      </c>
      <c r="R234" s="1464">
        <v>0</v>
      </c>
      <c r="S234" s="1464">
        <v>0</v>
      </c>
    </row>
    <row r="235" spans="1:21" s="1326" customFormat="1" ht="27" customHeight="1" x14ac:dyDescent="0.25">
      <c r="A235" s="1325"/>
      <c r="B235" s="1325"/>
      <c r="C235" s="1466" t="s">
        <v>1399</v>
      </c>
      <c r="D235" s="1466" t="s">
        <v>1404</v>
      </c>
      <c r="E235" s="1337" t="s">
        <v>1511</v>
      </c>
      <c r="F235" s="1561" t="s">
        <v>1179</v>
      </c>
      <c r="G235" s="1562"/>
      <c r="H235" s="1563">
        <v>0</v>
      </c>
      <c r="I235" s="1564">
        <v>0</v>
      </c>
      <c r="J235" s="1335">
        <v>405.40540999999996</v>
      </c>
      <c r="K235" s="1335">
        <v>100</v>
      </c>
      <c r="L235" s="1335">
        <v>0</v>
      </c>
      <c r="M235" s="1466" t="s">
        <v>901</v>
      </c>
      <c r="N235" s="1464">
        <v>0</v>
      </c>
      <c r="O235" s="1439">
        <v>43617</v>
      </c>
      <c r="P235" s="1439">
        <v>43770</v>
      </c>
      <c r="Q235" s="1464">
        <v>0</v>
      </c>
      <c r="R235" s="1464">
        <v>0</v>
      </c>
      <c r="S235" s="1464" t="s">
        <v>944</v>
      </c>
    </row>
    <row r="236" spans="1:21" ht="28.5" customHeight="1" x14ac:dyDescent="0.25">
      <c r="C236" s="1410" t="s">
        <v>1403</v>
      </c>
      <c r="D236" s="1410" t="s">
        <v>1299</v>
      </c>
      <c r="E236" s="1414" t="s">
        <v>1509</v>
      </c>
      <c r="F236" s="1561">
        <v>0</v>
      </c>
      <c r="G236" s="1562"/>
      <c r="H236" s="1563">
        <v>0</v>
      </c>
      <c r="I236" s="1564">
        <v>0</v>
      </c>
      <c r="J236" s="1335">
        <v>0</v>
      </c>
      <c r="K236" s="1335">
        <v>0</v>
      </c>
      <c r="L236" s="1335">
        <v>0</v>
      </c>
      <c r="M236" s="1466">
        <v>0</v>
      </c>
      <c r="N236" s="1464">
        <v>0</v>
      </c>
      <c r="O236" s="1439">
        <v>0</v>
      </c>
      <c r="P236" s="1439">
        <v>0</v>
      </c>
      <c r="Q236" s="1464">
        <v>0</v>
      </c>
      <c r="R236" s="1464">
        <v>0</v>
      </c>
      <c r="S236" s="1464">
        <v>0</v>
      </c>
    </row>
    <row r="237" spans="1:21" ht="30" customHeight="1" x14ac:dyDescent="0.25">
      <c r="C237" s="1466" t="s">
        <v>1400</v>
      </c>
      <c r="D237" s="1342" t="s">
        <v>1299</v>
      </c>
      <c r="E237" s="1337" t="s">
        <v>1510</v>
      </c>
      <c r="F237" s="1561" t="s">
        <v>1179</v>
      </c>
      <c r="G237" s="1562"/>
      <c r="H237" s="1563">
        <v>0</v>
      </c>
      <c r="I237" s="1564">
        <v>0</v>
      </c>
      <c r="J237" s="1335">
        <v>270.27027000000004</v>
      </c>
      <c r="K237" s="1335">
        <v>100</v>
      </c>
      <c r="L237" s="1335">
        <v>0</v>
      </c>
      <c r="M237" s="1466" t="s">
        <v>901</v>
      </c>
      <c r="N237" s="1464">
        <v>0</v>
      </c>
      <c r="O237" s="1439">
        <v>43617</v>
      </c>
      <c r="P237" s="1439">
        <v>43770</v>
      </c>
      <c r="Q237" s="1464">
        <v>0</v>
      </c>
      <c r="R237" s="1464">
        <v>0</v>
      </c>
      <c r="S237" s="1464" t="s">
        <v>944</v>
      </c>
    </row>
    <row r="238" spans="1:21" ht="46.5" customHeight="1" x14ac:dyDescent="0.25">
      <c r="C238" s="1418"/>
      <c r="D238" s="1325"/>
      <c r="E238" s="1326"/>
      <c r="F238" s="1325"/>
      <c r="G238" s="1326"/>
      <c r="H238" s="1326"/>
      <c r="I238" s="1326" t="s">
        <v>0</v>
      </c>
      <c r="J238" s="1419">
        <f>SUM($J$138:J237)</f>
        <v>96504.13122650006</v>
      </c>
      <c r="K238" s="1420"/>
      <c r="L238" s="1420"/>
      <c r="M238" s="1326"/>
      <c r="N238" s="1326"/>
      <c r="O238" s="1326"/>
      <c r="P238" s="1326"/>
      <c r="Q238" s="1326"/>
      <c r="R238" s="1326"/>
      <c r="S238" s="1325"/>
    </row>
    <row r="239" spans="1:21" x14ac:dyDescent="0.25">
      <c r="C239" s="1404">
        <v>8</v>
      </c>
      <c r="D239" s="1566" t="s">
        <v>1213</v>
      </c>
      <c r="E239" s="1566"/>
      <c r="F239" s="1566"/>
      <c r="G239" s="1566"/>
      <c r="H239" s="1566"/>
      <c r="I239" s="1566"/>
      <c r="J239" s="1566"/>
      <c r="K239" s="1566"/>
      <c r="L239" s="1566"/>
      <c r="M239" s="1566"/>
      <c r="N239" s="1566"/>
      <c r="O239" s="1566"/>
      <c r="P239" s="1566"/>
      <c r="Q239" s="1566"/>
      <c r="R239" s="1566"/>
      <c r="S239" s="1566"/>
    </row>
    <row r="240" spans="1:21" s="1381" customFormat="1" x14ac:dyDescent="0.25">
      <c r="A240" s="1327"/>
      <c r="B240" s="1327"/>
      <c r="C240" s="1576"/>
      <c r="D240" s="1565" t="s">
        <v>910</v>
      </c>
      <c r="E240" s="1565" t="s">
        <v>1194</v>
      </c>
      <c r="F240" s="1565" t="s">
        <v>912</v>
      </c>
      <c r="G240" s="1565" t="s">
        <v>913</v>
      </c>
      <c r="H240" s="1565" t="s">
        <v>915</v>
      </c>
      <c r="I240" s="1565"/>
      <c r="J240" s="1572" t="s">
        <v>1195</v>
      </c>
      <c r="K240" s="1572"/>
      <c r="L240" s="1572"/>
      <c r="M240" s="1565" t="s">
        <v>917</v>
      </c>
      <c r="N240" s="1565" t="s">
        <v>1196</v>
      </c>
      <c r="O240" s="1565" t="s">
        <v>1197</v>
      </c>
      <c r="P240" s="1565"/>
      <c r="Q240" s="1565" t="s">
        <v>1198</v>
      </c>
      <c r="R240" s="1565" t="s">
        <v>921</v>
      </c>
      <c r="S240" s="1565" t="s">
        <v>922</v>
      </c>
      <c r="T240" s="1329"/>
      <c r="U240" s="1329"/>
    </row>
    <row r="241" spans="1:21" s="1381" customFormat="1" ht="7.5" customHeight="1" x14ac:dyDescent="0.25">
      <c r="A241" s="1327"/>
      <c r="B241" s="1327"/>
      <c r="C241" s="1577"/>
      <c r="D241" s="1565"/>
      <c r="E241" s="1565"/>
      <c r="F241" s="1565"/>
      <c r="G241" s="1565"/>
      <c r="H241" s="1565"/>
      <c r="I241" s="1565"/>
      <c r="J241" s="1331" t="s">
        <v>1405</v>
      </c>
      <c r="K241" s="1331" t="s">
        <v>924</v>
      </c>
      <c r="L241" s="1388" t="s">
        <v>925</v>
      </c>
      <c r="M241" s="1565"/>
      <c r="N241" s="1565"/>
      <c r="O241" s="1332" t="s">
        <v>1206</v>
      </c>
      <c r="P241" s="1332" t="s">
        <v>927</v>
      </c>
      <c r="Q241" s="1565"/>
      <c r="R241" s="1565"/>
      <c r="S241" s="1565"/>
      <c r="T241" s="1329"/>
      <c r="U241" s="1329"/>
    </row>
    <row r="242" spans="1:21" s="1381" customFormat="1" x14ac:dyDescent="0.25">
      <c r="A242" s="1327"/>
      <c r="B242" s="1327"/>
      <c r="C242" s="1376"/>
      <c r="D242" s="1446"/>
      <c r="E242" s="1421"/>
      <c r="F242" s="1422"/>
      <c r="G242" s="1423"/>
      <c r="H242" s="1598"/>
      <c r="I242" s="1598"/>
      <c r="J242" s="1424"/>
      <c r="K242" s="1425"/>
      <c r="L242" s="1425"/>
      <c r="M242" s="1426"/>
      <c r="N242" s="1426"/>
      <c r="O242" s="1423"/>
      <c r="P242" s="1357"/>
      <c r="Q242" s="1338"/>
      <c r="R242" s="1357"/>
      <c r="S242" s="1423"/>
      <c r="T242" s="1329"/>
      <c r="U242" s="1329"/>
    </row>
    <row r="243" spans="1:21" x14ac:dyDescent="0.25">
      <c r="I243" s="1326" t="s">
        <v>0</v>
      </c>
      <c r="J243" s="1419">
        <f>SUM(J242:J242)</f>
        <v>0</v>
      </c>
    </row>
    <row r="244" spans="1:21" x14ac:dyDescent="0.25">
      <c r="C244" s="1427"/>
      <c r="I244" s="1326"/>
      <c r="J244" s="1325"/>
      <c r="K244" s="1379"/>
    </row>
    <row r="245" spans="1:21" x14ac:dyDescent="0.25">
      <c r="F245" s="1325" t="s">
        <v>92</v>
      </c>
      <c r="G245" s="1428">
        <f>J238+J133+I125+J90+J66+J47+J26</f>
        <v>325407.18608650012</v>
      </c>
    </row>
    <row r="247" spans="1:21" x14ac:dyDescent="0.25">
      <c r="G247" s="1328"/>
    </row>
    <row r="248" spans="1:21" x14ac:dyDescent="0.25">
      <c r="G248" s="1380"/>
    </row>
    <row r="249" spans="1:21" x14ac:dyDescent="0.25">
      <c r="G249" s="1380"/>
      <c r="L249" s="1328"/>
    </row>
    <row r="250" spans="1:21" x14ac:dyDescent="0.25">
      <c r="L250" s="1328"/>
    </row>
    <row r="251" spans="1:21" x14ac:dyDescent="0.25">
      <c r="L251" s="1328"/>
    </row>
    <row r="252" spans="1:21" x14ac:dyDescent="0.25">
      <c r="L252" s="1328"/>
    </row>
    <row r="266" spans="1:21" x14ac:dyDescent="0.25">
      <c r="D266" s="1589" t="s">
        <v>1214</v>
      </c>
      <c r="E266" s="1429" t="s">
        <v>1190</v>
      </c>
    </row>
    <row r="267" spans="1:21" s="1381" customFormat="1" x14ac:dyDescent="0.25">
      <c r="A267" s="1327"/>
      <c r="B267" s="1327"/>
      <c r="C267" s="1327"/>
      <c r="D267" s="1590"/>
      <c r="E267" s="1429" t="s">
        <v>948</v>
      </c>
      <c r="F267" s="1327"/>
      <c r="G267" s="1329"/>
      <c r="H267" s="1329"/>
      <c r="I267" s="1329"/>
      <c r="J267" s="1377"/>
      <c r="M267" s="1329"/>
      <c r="N267" s="1329"/>
      <c r="O267" s="1329"/>
      <c r="P267" s="1329"/>
      <c r="Q267" s="1329"/>
      <c r="R267" s="1329"/>
      <c r="S267" s="1327"/>
      <c r="T267" s="1329"/>
      <c r="U267" s="1329"/>
    </row>
    <row r="268" spans="1:21" s="1381" customFormat="1" x14ac:dyDescent="0.25">
      <c r="A268" s="1327"/>
      <c r="B268" s="1327"/>
      <c r="C268" s="1327"/>
      <c r="D268" s="1591"/>
      <c r="E268" s="1430" t="s">
        <v>931</v>
      </c>
      <c r="F268" s="1327"/>
      <c r="G268" s="1329"/>
      <c r="H268" s="1329"/>
      <c r="I268" s="1329"/>
      <c r="J268" s="1377"/>
      <c r="M268" s="1329"/>
      <c r="N268" s="1329"/>
      <c r="O268" s="1329"/>
      <c r="P268" s="1329"/>
      <c r="Q268" s="1329"/>
      <c r="R268" s="1329"/>
      <c r="S268" s="1327"/>
      <c r="T268" s="1329"/>
      <c r="U268" s="1329"/>
    </row>
    <row r="269" spans="1:21" s="1381" customFormat="1" x14ac:dyDescent="0.25">
      <c r="A269" s="1327"/>
      <c r="B269" s="1327"/>
      <c r="C269" s="1327"/>
      <c r="D269" s="1327"/>
      <c r="E269" s="1329"/>
      <c r="F269" s="1327"/>
      <c r="G269" s="1329"/>
      <c r="H269" s="1329"/>
      <c r="I269" s="1329"/>
      <c r="J269" s="1377"/>
      <c r="M269" s="1329"/>
      <c r="N269" s="1329"/>
      <c r="O269" s="1329"/>
      <c r="P269" s="1329"/>
      <c r="Q269" s="1329"/>
      <c r="R269" s="1329"/>
      <c r="S269" s="1327"/>
      <c r="T269" s="1329"/>
      <c r="U269" s="1329"/>
    </row>
    <row r="270" spans="1:21" s="1381" customFormat="1" x14ac:dyDescent="0.25">
      <c r="A270" s="1327"/>
      <c r="B270" s="1327"/>
      <c r="C270" s="1327"/>
      <c r="D270" s="1589" t="s">
        <v>922</v>
      </c>
      <c r="E270" s="1429" t="s">
        <v>944</v>
      </c>
      <c r="F270" s="1327"/>
      <c r="G270" s="1329"/>
      <c r="H270" s="1329"/>
      <c r="I270" s="1329"/>
      <c r="J270" s="1377"/>
      <c r="M270" s="1329"/>
      <c r="N270" s="1329"/>
      <c r="O270" s="1329"/>
      <c r="P270" s="1329"/>
      <c r="Q270" s="1329"/>
      <c r="R270" s="1329"/>
      <c r="S270" s="1327"/>
      <c r="T270" s="1329"/>
      <c r="U270" s="1329"/>
    </row>
    <row r="271" spans="1:21" s="1381" customFormat="1" x14ac:dyDescent="0.25">
      <c r="A271" s="1327"/>
      <c r="B271" s="1327"/>
      <c r="C271" s="1327"/>
      <c r="D271" s="1590"/>
      <c r="E271" s="1429" t="s">
        <v>1178</v>
      </c>
      <c r="F271" s="1327"/>
      <c r="G271" s="1329"/>
      <c r="H271" s="1329"/>
      <c r="I271" s="1329"/>
      <c r="J271" s="1377"/>
      <c r="M271" s="1329"/>
      <c r="N271" s="1329"/>
      <c r="O271" s="1329"/>
      <c r="P271" s="1329"/>
      <c r="Q271" s="1329"/>
      <c r="R271" s="1329"/>
      <c r="S271" s="1327"/>
      <c r="T271" s="1329"/>
      <c r="U271" s="1329"/>
    </row>
    <row r="272" spans="1:21" s="1381" customFormat="1" x14ac:dyDescent="0.25">
      <c r="A272" s="1327"/>
      <c r="B272" s="1327"/>
      <c r="C272" s="1327"/>
      <c r="D272" s="1590"/>
      <c r="E272" s="1429" t="s">
        <v>1215</v>
      </c>
      <c r="F272" s="1327"/>
      <c r="G272" s="1329"/>
      <c r="H272" s="1329"/>
      <c r="I272" s="1329"/>
      <c r="J272" s="1382"/>
      <c r="M272" s="1329"/>
      <c r="N272" s="1329"/>
      <c r="O272" s="1329"/>
      <c r="P272" s="1329"/>
      <c r="Q272" s="1329"/>
      <c r="R272" s="1329"/>
      <c r="S272" s="1327"/>
      <c r="T272" s="1329"/>
      <c r="U272" s="1329"/>
    </row>
    <row r="273" spans="1:21" s="1381" customFormat="1" x14ac:dyDescent="0.25">
      <c r="A273" s="1327"/>
      <c r="B273" s="1327"/>
      <c r="C273" s="1327"/>
      <c r="D273" s="1590"/>
      <c r="E273" s="1429" t="s">
        <v>932</v>
      </c>
      <c r="F273" s="1327"/>
      <c r="G273" s="1329"/>
      <c r="H273" s="1329"/>
      <c r="I273" s="1329"/>
      <c r="J273" s="1377"/>
      <c r="M273" s="1329"/>
      <c r="N273" s="1329"/>
      <c r="O273" s="1329"/>
      <c r="P273" s="1329"/>
      <c r="Q273" s="1329"/>
      <c r="R273" s="1329"/>
      <c r="S273" s="1327"/>
      <c r="T273" s="1329"/>
      <c r="U273" s="1329"/>
    </row>
    <row r="274" spans="1:21" s="1381" customFormat="1" x14ac:dyDescent="0.25">
      <c r="A274" s="1327"/>
      <c r="B274" s="1327"/>
      <c r="C274" s="1327"/>
      <c r="D274" s="1590"/>
      <c r="E274" s="1429" t="s">
        <v>1216</v>
      </c>
      <c r="F274" s="1327"/>
      <c r="G274" s="1329"/>
      <c r="H274" s="1329"/>
      <c r="I274" s="1329"/>
      <c r="J274" s="1377"/>
      <c r="M274" s="1329"/>
      <c r="N274" s="1329"/>
      <c r="O274" s="1329"/>
      <c r="P274" s="1329"/>
      <c r="Q274" s="1329"/>
      <c r="R274" s="1329"/>
      <c r="S274" s="1327"/>
      <c r="T274" s="1329"/>
      <c r="U274" s="1329"/>
    </row>
    <row r="275" spans="1:21" x14ac:dyDescent="0.25">
      <c r="D275" s="1590"/>
      <c r="E275" s="1429" t="s">
        <v>1217</v>
      </c>
    </row>
    <row r="276" spans="1:21" s="1381" customFormat="1" x14ac:dyDescent="0.25">
      <c r="A276" s="1327"/>
      <c r="B276" s="1327"/>
      <c r="C276" s="1327"/>
      <c r="D276" s="1590"/>
      <c r="E276" s="1429" t="s">
        <v>939</v>
      </c>
      <c r="F276" s="1327"/>
      <c r="G276" s="1329"/>
      <c r="H276" s="1329"/>
      <c r="I276" s="1329"/>
      <c r="J276" s="1377"/>
      <c r="M276" s="1329"/>
      <c r="N276" s="1329"/>
      <c r="O276" s="1329"/>
      <c r="P276" s="1329"/>
      <c r="Q276" s="1329"/>
      <c r="R276" s="1329"/>
      <c r="S276" s="1327"/>
      <c r="T276" s="1329"/>
      <c r="U276" s="1329"/>
    </row>
    <row r="277" spans="1:21" s="1381" customFormat="1" x14ac:dyDescent="0.25">
      <c r="A277" s="1327"/>
      <c r="B277" s="1327"/>
      <c r="C277" s="1327"/>
      <c r="D277" s="1591"/>
      <c r="E277" s="1429" t="s">
        <v>950</v>
      </c>
      <c r="F277" s="1327"/>
      <c r="G277" s="1329"/>
      <c r="H277" s="1329"/>
      <c r="I277" s="1329"/>
      <c r="J277" s="1377"/>
      <c r="M277" s="1329"/>
      <c r="N277" s="1329"/>
      <c r="O277" s="1329"/>
      <c r="P277" s="1329"/>
      <c r="Q277" s="1329"/>
      <c r="R277" s="1329"/>
      <c r="S277" s="1327"/>
      <c r="T277" s="1329"/>
      <c r="U277" s="1329"/>
    </row>
    <row r="278" spans="1:21" s="1381" customFormat="1" x14ac:dyDescent="0.25">
      <c r="A278" s="1327"/>
      <c r="B278" s="1327"/>
      <c r="C278" s="1327"/>
      <c r="D278" s="1327"/>
      <c r="E278" s="1329"/>
      <c r="F278" s="1327"/>
      <c r="G278" s="1329"/>
      <c r="H278" s="1329"/>
      <c r="I278" s="1329"/>
      <c r="J278" s="1377"/>
      <c r="M278" s="1329"/>
      <c r="N278" s="1329"/>
      <c r="O278" s="1329"/>
      <c r="P278" s="1329"/>
      <c r="Q278" s="1329"/>
      <c r="R278" s="1329"/>
      <c r="S278" s="1327"/>
      <c r="T278" s="1329"/>
      <c r="U278" s="1329"/>
    </row>
    <row r="279" spans="1:21" s="1381" customFormat="1" ht="33.75" x14ac:dyDescent="0.25">
      <c r="A279" s="1327"/>
      <c r="B279" s="1327"/>
      <c r="C279" s="1327"/>
      <c r="D279" s="1592" t="s">
        <v>1218</v>
      </c>
      <c r="E279" s="1593" t="s">
        <v>1219</v>
      </c>
      <c r="F279" s="1431" t="s">
        <v>903</v>
      </c>
      <c r="G279" s="1429" t="s">
        <v>903</v>
      </c>
      <c r="H279" s="1329"/>
      <c r="I279" s="1329"/>
      <c r="J279" s="1377"/>
      <c r="M279" s="1329"/>
      <c r="N279" s="1329"/>
      <c r="O279" s="1329"/>
      <c r="P279" s="1329"/>
      <c r="Q279" s="1329"/>
      <c r="R279" s="1329"/>
      <c r="S279" s="1327"/>
      <c r="T279" s="1329"/>
      <c r="U279" s="1329"/>
    </row>
    <row r="280" spans="1:21" s="1381" customFormat="1" ht="22.5" x14ac:dyDescent="0.25">
      <c r="A280" s="1327"/>
      <c r="B280" s="1327"/>
      <c r="C280" s="1327"/>
      <c r="D280" s="1592"/>
      <c r="E280" s="1593"/>
      <c r="F280" s="1431" t="s">
        <v>1066</v>
      </c>
      <c r="G280" s="1429" t="s">
        <v>1066</v>
      </c>
      <c r="H280" s="1329"/>
      <c r="I280" s="1329"/>
      <c r="J280" s="1377"/>
      <c r="M280" s="1329"/>
      <c r="N280" s="1329"/>
      <c r="O280" s="1329"/>
      <c r="P280" s="1329"/>
      <c r="Q280" s="1329"/>
      <c r="R280" s="1329"/>
      <c r="S280" s="1327"/>
      <c r="T280" s="1329"/>
      <c r="U280" s="1329"/>
    </row>
    <row r="281" spans="1:21" s="1381" customFormat="1" ht="33.75" x14ac:dyDescent="0.25">
      <c r="A281" s="1327"/>
      <c r="B281" s="1327"/>
      <c r="C281" s="1327"/>
      <c r="D281" s="1592"/>
      <c r="E281" s="1593"/>
      <c r="F281" s="1431" t="s">
        <v>899</v>
      </c>
      <c r="G281" s="1429" t="s">
        <v>899</v>
      </c>
      <c r="H281" s="1329"/>
      <c r="I281" s="1329"/>
      <c r="J281" s="1377"/>
      <c r="M281" s="1329"/>
      <c r="N281" s="1329"/>
      <c r="O281" s="1329"/>
      <c r="P281" s="1329"/>
      <c r="Q281" s="1329"/>
      <c r="R281" s="1329"/>
      <c r="S281" s="1327"/>
      <c r="T281" s="1329"/>
      <c r="U281" s="1329"/>
    </row>
    <row r="282" spans="1:21" ht="22.5" x14ac:dyDescent="0.25">
      <c r="D282" s="1592"/>
      <c r="E282" s="1593"/>
      <c r="F282" s="1431" t="s">
        <v>946</v>
      </c>
      <c r="G282" s="1429" t="s">
        <v>946</v>
      </c>
    </row>
    <row r="283" spans="1:21" x14ac:dyDescent="0.25">
      <c r="D283" s="1592"/>
      <c r="E283" s="1593"/>
      <c r="F283" s="1431" t="s">
        <v>896</v>
      </c>
      <c r="G283" s="1429" t="s">
        <v>896</v>
      </c>
    </row>
    <row r="284" spans="1:21" ht="22.5" x14ac:dyDescent="0.25">
      <c r="D284" s="1592"/>
      <c r="E284" s="1593"/>
      <c r="F284" s="1431" t="s">
        <v>1220</v>
      </c>
      <c r="G284" s="1429" t="s">
        <v>1220</v>
      </c>
    </row>
    <row r="285" spans="1:21" ht="33.75" x14ac:dyDescent="0.25">
      <c r="D285" s="1592"/>
      <c r="E285" s="1593"/>
      <c r="F285" s="1431" t="s">
        <v>1221</v>
      </c>
      <c r="G285" s="1429" t="s">
        <v>1221</v>
      </c>
    </row>
    <row r="286" spans="1:21" ht="22.5" x14ac:dyDescent="0.25">
      <c r="D286" s="1592"/>
      <c r="E286" s="1594" t="s">
        <v>1222</v>
      </c>
      <c r="F286" s="1431" t="s">
        <v>936</v>
      </c>
      <c r="G286" s="1429" t="s">
        <v>930</v>
      </c>
    </row>
    <row r="287" spans="1:21" ht="22.5" x14ac:dyDescent="0.25">
      <c r="D287" s="1592"/>
      <c r="E287" s="1594"/>
      <c r="F287" s="1431" t="s">
        <v>930</v>
      </c>
      <c r="G287" s="1429" t="s">
        <v>898</v>
      </c>
    </row>
    <row r="288" spans="1:21" ht="22.5" x14ac:dyDescent="0.25">
      <c r="D288" s="1592"/>
      <c r="E288" s="1594"/>
      <c r="F288" s="1431" t="s">
        <v>898</v>
      </c>
    </row>
    <row r="289" spans="4:6" x14ac:dyDescent="0.25">
      <c r="D289" s="1592"/>
      <c r="E289" s="1594"/>
      <c r="F289" s="1431" t="s">
        <v>946</v>
      </c>
    </row>
    <row r="290" spans="4:6" x14ac:dyDescent="0.25">
      <c r="D290" s="1592"/>
      <c r="E290" s="1594"/>
      <c r="F290" s="1431" t="s">
        <v>896</v>
      </c>
    </row>
    <row r="291" spans="4:6" ht="33.75" x14ac:dyDescent="0.25">
      <c r="D291" s="1592"/>
      <c r="E291" s="1594"/>
      <c r="F291" s="1431" t="s">
        <v>1223</v>
      </c>
    </row>
    <row r="292" spans="4:6" ht="33.75" x14ac:dyDescent="0.25">
      <c r="D292" s="1592"/>
      <c r="E292" s="1594"/>
      <c r="F292" s="1431" t="s">
        <v>1224</v>
      </c>
    </row>
    <row r="293" spans="4:6" ht="33.75" x14ac:dyDescent="0.25">
      <c r="D293" s="1592"/>
      <c r="E293" s="1594"/>
      <c r="F293" s="1431" t="s">
        <v>1225</v>
      </c>
    </row>
    <row r="294" spans="4:6" ht="22.5" x14ac:dyDescent="0.25">
      <c r="D294" s="1592"/>
      <c r="E294" s="1594"/>
      <c r="F294" s="1431" t="s">
        <v>1226</v>
      </c>
    </row>
    <row r="295" spans="4:6" ht="33.75" x14ac:dyDescent="0.25">
      <c r="D295" s="1592"/>
      <c r="E295" s="1594"/>
      <c r="F295" s="1431" t="s">
        <v>1227</v>
      </c>
    </row>
    <row r="296" spans="4:6" ht="22.5" x14ac:dyDescent="0.25">
      <c r="D296" s="1592"/>
      <c r="E296" s="1595" t="s">
        <v>1228</v>
      </c>
      <c r="F296" s="1431" t="s">
        <v>1084</v>
      </c>
    </row>
    <row r="297" spans="4:6" x14ac:dyDescent="0.25">
      <c r="D297" s="1592"/>
      <c r="E297" s="1596"/>
      <c r="F297" s="1431" t="s">
        <v>946</v>
      </c>
    </row>
    <row r="298" spans="4:6" x14ac:dyDescent="0.25">
      <c r="D298" s="1592"/>
      <c r="E298" s="1597"/>
      <c r="F298" s="1431" t="s">
        <v>896</v>
      </c>
    </row>
  </sheetData>
  <mergeCells count="429">
    <mergeCell ref="M219:M220"/>
    <mergeCell ref="N219:N220"/>
    <mergeCell ref="O219:P219"/>
    <mergeCell ref="Q219:Q220"/>
    <mergeCell ref="R219:R220"/>
    <mergeCell ref="S219:S220"/>
    <mergeCell ref="F225:G225"/>
    <mergeCell ref="F224:G224"/>
    <mergeCell ref="H196:I196"/>
    <mergeCell ref="H197:I197"/>
    <mergeCell ref="H200:I200"/>
    <mergeCell ref="H201:I201"/>
    <mergeCell ref="H207:I207"/>
    <mergeCell ref="F207:G207"/>
    <mergeCell ref="F200:G200"/>
    <mergeCell ref="F197:G197"/>
    <mergeCell ref="J219:L219"/>
    <mergeCell ref="D204:S204"/>
    <mergeCell ref="C205:C206"/>
    <mergeCell ref="D205:D206"/>
    <mergeCell ref="E205:E206"/>
    <mergeCell ref="F205:G206"/>
    <mergeCell ref="H205:I206"/>
    <mergeCell ref="J205:L205"/>
    <mergeCell ref="M205:M206"/>
    <mergeCell ref="N205:N206"/>
    <mergeCell ref="O205:P205"/>
    <mergeCell ref="Q205:Q206"/>
    <mergeCell ref="R205:R206"/>
    <mergeCell ref="S205:S206"/>
    <mergeCell ref="R240:R241"/>
    <mergeCell ref="S240:S241"/>
    <mergeCell ref="M240:M241"/>
    <mergeCell ref="N240:N241"/>
    <mergeCell ref="O240:P240"/>
    <mergeCell ref="Q240:Q241"/>
    <mergeCell ref="J240:L240"/>
    <mergeCell ref="H242:I242"/>
    <mergeCell ref="D266:D268"/>
    <mergeCell ref="D240:D241"/>
    <mergeCell ref="E240:E241"/>
    <mergeCell ref="C219:C220"/>
    <mergeCell ref="D219:D220"/>
    <mergeCell ref="E219:E220"/>
    <mergeCell ref="F219:G220"/>
    <mergeCell ref="H219:I220"/>
    <mergeCell ref="D270:D277"/>
    <mergeCell ref="D279:D298"/>
    <mergeCell ref="E279:E285"/>
    <mergeCell ref="E286:E295"/>
    <mergeCell ref="E296:E298"/>
    <mergeCell ref="H240:I241"/>
    <mergeCell ref="C240:C241"/>
    <mergeCell ref="H236:I236"/>
    <mergeCell ref="F203:G203"/>
    <mergeCell ref="F199:G199"/>
    <mergeCell ref="F209:G209"/>
    <mergeCell ref="H235:I235"/>
    <mergeCell ref="F236:G236"/>
    <mergeCell ref="H212:I212"/>
    <mergeCell ref="H222:I222"/>
    <mergeCell ref="D239:S239"/>
    <mergeCell ref="H221:I221"/>
    <mergeCell ref="H213:I213"/>
    <mergeCell ref="H225:I225"/>
    <mergeCell ref="H230:I230"/>
    <mergeCell ref="H231:I231"/>
    <mergeCell ref="H227:I227"/>
    <mergeCell ref="H228:I228"/>
    <mergeCell ref="H229:I229"/>
    <mergeCell ref="H226:I226"/>
    <mergeCell ref="F226:G226"/>
    <mergeCell ref="F227:G227"/>
    <mergeCell ref="F228:G228"/>
    <mergeCell ref="F229:G229"/>
    <mergeCell ref="F231:G231"/>
    <mergeCell ref="D218:S218"/>
    <mergeCell ref="F240:F241"/>
    <mergeCell ref="G240:G241"/>
    <mergeCell ref="H210:I210"/>
    <mergeCell ref="H211:I211"/>
    <mergeCell ref="H223:I223"/>
    <mergeCell ref="H224:I224"/>
    <mergeCell ref="F210:G210"/>
    <mergeCell ref="F223:G223"/>
    <mergeCell ref="H214:I214"/>
    <mergeCell ref="H215:I215"/>
    <mergeCell ref="H216:I216"/>
    <mergeCell ref="H217:I217"/>
    <mergeCell ref="F214:G214"/>
    <mergeCell ref="F215:G215"/>
    <mergeCell ref="F216:G216"/>
    <mergeCell ref="F217:G217"/>
    <mergeCell ref="F237:G237"/>
    <mergeCell ref="H237:I237"/>
    <mergeCell ref="F232:G232"/>
    <mergeCell ref="H232:I232"/>
    <mergeCell ref="F233:G233"/>
    <mergeCell ref="F222:G222"/>
    <mergeCell ref="F213:G213"/>
    <mergeCell ref="F235:G235"/>
    <mergeCell ref="C184:C185"/>
    <mergeCell ref="D184:D185"/>
    <mergeCell ref="E184:E185"/>
    <mergeCell ref="F184:G185"/>
    <mergeCell ref="H184:I185"/>
    <mergeCell ref="H186:I186"/>
    <mergeCell ref="H187:I187"/>
    <mergeCell ref="H189:I189"/>
    <mergeCell ref="F188:G188"/>
    <mergeCell ref="H188:I188"/>
    <mergeCell ref="F189:G189"/>
    <mergeCell ref="F187:G187"/>
    <mergeCell ref="H192:I192"/>
    <mergeCell ref="H193:I193"/>
    <mergeCell ref="H194:I194"/>
    <mergeCell ref="H195:I195"/>
    <mergeCell ref="F192:G192"/>
    <mergeCell ref="F193:G193"/>
    <mergeCell ref="F194:G194"/>
    <mergeCell ref="H234:I234"/>
    <mergeCell ref="F195:G195"/>
    <mergeCell ref="F196:G196"/>
    <mergeCell ref="F198:G198"/>
    <mergeCell ref="F202:G202"/>
    <mergeCell ref="F208:G208"/>
    <mergeCell ref="F212:G212"/>
    <mergeCell ref="F221:G221"/>
    <mergeCell ref="H198:I198"/>
    <mergeCell ref="H199:I199"/>
    <mergeCell ref="H202:I202"/>
    <mergeCell ref="H203:I203"/>
    <mergeCell ref="H208:I208"/>
    <mergeCell ref="H209:I209"/>
    <mergeCell ref="H233:I233"/>
    <mergeCell ref="F234:G234"/>
    <mergeCell ref="F211:G211"/>
    <mergeCell ref="J184:L184"/>
    <mergeCell ref="M184:M185"/>
    <mergeCell ref="N184:N185"/>
    <mergeCell ref="O184:P184"/>
    <mergeCell ref="F171:G171"/>
    <mergeCell ref="H171:I171"/>
    <mergeCell ref="F173:G173"/>
    <mergeCell ref="H173:I173"/>
    <mergeCell ref="D183:S183"/>
    <mergeCell ref="Q184:Q185"/>
    <mergeCell ref="R184:R185"/>
    <mergeCell ref="S184:S185"/>
    <mergeCell ref="F174:G174"/>
    <mergeCell ref="H174:I174"/>
    <mergeCell ref="F175:G175"/>
    <mergeCell ref="H175:I175"/>
    <mergeCell ref="F176:G176"/>
    <mergeCell ref="H176:I176"/>
    <mergeCell ref="F177:G177"/>
    <mergeCell ref="H177:I177"/>
    <mergeCell ref="F178:G178"/>
    <mergeCell ref="H178:I178"/>
    <mergeCell ref="F179:G179"/>
    <mergeCell ref="H179:I179"/>
    <mergeCell ref="F172:G172"/>
    <mergeCell ref="H172:I172"/>
    <mergeCell ref="F160:G160"/>
    <mergeCell ref="H160:I160"/>
    <mergeCell ref="F161:G161"/>
    <mergeCell ref="H161:I161"/>
    <mergeCell ref="F162:G162"/>
    <mergeCell ref="F163:G163"/>
    <mergeCell ref="H163:I163"/>
    <mergeCell ref="F167:G167"/>
    <mergeCell ref="H167:I167"/>
    <mergeCell ref="F166:G166"/>
    <mergeCell ref="H166:I166"/>
    <mergeCell ref="F168:G168"/>
    <mergeCell ref="H168:I168"/>
    <mergeCell ref="F164:G164"/>
    <mergeCell ref="H164:I164"/>
    <mergeCell ref="F165:G165"/>
    <mergeCell ref="H165:I165"/>
    <mergeCell ref="F169:G169"/>
    <mergeCell ref="H169:I169"/>
    <mergeCell ref="F170:G170"/>
    <mergeCell ref="H170:I170"/>
    <mergeCell ref="N157:N158"/>
    <mergeCell ref="O157:P157"/>
    <mergeCell ref="Q157:Q158"/>
    <mergeCell ref="R157:R158"/>
    <mergeCell ref="S157:S158"/>
    <mergeCell ref="F159:G159"/>
    <mergeCell ref="H159:I159"/>
    <mergeCell ref="F155:G155"/>
    <mergeCell ref="H155:I155"/>
    <mergeCell ref="D156:S156"/>
    <mergeCell ref="C157:C158"/>
    <mergeCell ref="D157:D158"/>
    <mergeCell ref="E157:E158"/>
    <mergeCell ref="F157:G158"/>
    <mergeCell ref="H157:I158"/>
    <mergeCell ref="J157:L157"/>
    <mergeCell ref="M157:M158"/>
    <mergeCell ref="F153:G153"/>
    <mergeCell ref="H153:I153"/>
    <mergeCell ref="F154:G154"/>
    <mergeCell ref="H154:I154"/>
    <mergeCell ref="F150:G150"/>
    <mergeCell ref="H150:I150"/>
    <mergeCell ref="F151:G151"/>
    <mergeCell ref="H151:I151"/>
    <mergeCell ref="F152:G152"/>
    <mergeCell ref="H152:I152"/>
    <mergeCell ref="F147:G147"/>
    <mergeCell ref="H147:I147"/>
    <mergeCell ref="F148:G148"/>
    <mergeCell ref="H148:I148"/>
    <mergeCell ref="F149:G149"/>
    <mergeCell ref="H149:I149"/>
    <mergeCell ref="C128:C129"/>
    <mergeCell ref="F144:G144"/>
    <mergeCell ref="H144:I144"/>
    <mergeCell ref="F145:G145"/>
    <mergeCell ref="H145:I145"/>
    <mergeCell ref="F146:G146"/>
    <mergeCell ref="H146:I146"/>
    <mergeCell ref="F142:G142"/>
    <mergeCell ref="H142:I142"/>
    <mergeCell ref="F143:G143"/>
    <mergeCell ref="H143:I143"/>
    <mergeCell ref="H130:I130"/>
    <mergeCell ref="H131:I131"/>
    <mergeCell ref="H132:I132"/>
    <mergeCell ref="D135:S135"/>
    <mergeCell ref="F141:G141"/>
    <mergeCell ref="H141:I141"/>
    <mergeCell ref="C136:C137"/>
    <mergeCell ref="D136:D137"/>
    <mergeCell ref="E136:E137"/>
    <mergeCell ref="F136:G137"/>
    <mergeCell ref="H136:I137"/>
    <mergeCell ref="J136:L136"/>
    <mergeCell ref="F138:G138"/>
    <mergeCell ref="C93:C94"/>
    <mergeCell ref="D93:D94"/>
    <mergeCell ref="E93:E94"/>
    <mergeCell ref="F93:F94"/>
    <mergeCell ref="G93:G94"/>
    <mergeCell ref="Q93:Q94"/>
    <mergeCell ref="D128:D129"/>
    <mergeCell ref="E128:E129"/>
    <mergeCell ref="F128:F129"/>
    <mergeCell ref="G128:G129"/>
    <mergeCell ref="H128:I129"/>
    <mergeCell ref="J128:L128"/>
    <mergeCell ref="I104:K104"/>
    <mergeCell ref="L104:L105"/>
    <mergeCell ref="C104:C105"/>
    <mergeCell ref="D104:D105"/>
    <mergeCell ref="E104:E105"/>
    <mergeCell ref="F104:F105"/>
    <mergeCell ref="G104:G105"/>
    <mergeCell ref="H104:H105"/>
    <mergeCell ref="M104:M105"/>
    <mergeCell ref="N104:N105"/>
    <mergeCell ref="O104:P104"/>
    <mergeCell ref="Q104:Q105"/>
    <mergeCell ref="R93:R94"/>
    <mergeCell ref="S93:S94"/>
    <mergeCell ref="H88:I88"/>
    <mergeCell ref="M93:M94"/>
    <mergeCell ref="N93:N94"/>
    <mergeCell ref="O93:P93"/>
    <mergeCell ref="M82:M83"/>
    <mergeCell ref="N82:N83"/>
    <mergeCell ref="O82:P82"/>
    <mergeCell ref="Q82:Q83"/>
    <mergeCell ref="R82:R83"/>
    <mergeCell ref="S82:S83"/>
    <mergeCell ref="H84:I84"/>
    <mergeCell ref="H85:I85"/>
    <mergeCell ref="H86:I86"/>
    <mergeCell ref="H87:I87"/>
    <mergeCell ref="D92:S92"/>
    <mergeCell ref="H93:H94"/>
    <mergeCell ref="I93:K93"/>
    <mergeCell ref="L93:L94"/>
    <mergeCell ref="H89:I89"/>
    <mergeCell ref="H79:I79"/>
    <mergeCell ref="H80:I80"/>
    <mergeCell ref="D81:S81"/>
    <mergeCell ref="C82:C83"/>
    <mergeCell ref="D82:D83"/>
    <mergeCell ref="E82:E83"/>
    <mergeCell ref="F82:F83"/>
    <mergeCell ref="G82:G83"/>
    <mergeCell ref="H82:I83"/>
    <mergeCell ref="J82:L82"/>
    <mergeCell ref="H73:I73"/>
    <mergeCell ref="H74:I74"/>
    <mergeCell ref="H75:I75"/>
    <mergeCell ref="H76:I76"/>
    <mergeCell ref="H77:I77"/>
    <mergeCell ref="H78:I78"/>
    <mergeCell ref="C69:C70"/>
    <mergeCell ref="D69:D70"/>
    <mergeCell ref="E69:E70"/>
    <mergeCell ref="F69:F70"/>
    <mergeCell ref="G69:G70"/>
    <mergeCell ref="H69:I70"/>
    <mergeCell ref="H72:I72"/>
    <mergeCell ref="C29:C30"/>
    <mergeCell ref="D29:D30"/>
    <mergeCell ref="O11:P11"/>
    <mergeCell ref="R29:R30"/>
    <mergeCell ref="J69:L69"/>
    <mergeCell ref="M69:M70"/>
    <mergeCell ref="N69:N70"/>
    <mergeCell ref="O41:P41"/>
    <mergeCell ref="Q41:Q42"/>
    <mergeCell ref="R41:R42"/>
    <mergeCell ref="O69:P69"/>
    <mergeCell ref="Q69:Q70"/>
    <mergeCell ref="R69:R70"/>
    <mergeCell ref="J50:L50"/>
    <mergeCell ref="J41:L41"/>
    <mergeCell ref="D18:S18"/>
    <mergeCell ref="C19:C20"/>
    <mergeCell ref="M29:M30"/>
    <mergeCell ref="C50:C51"/>
    <mergeCell ref="D50:D51"/>
    <mergeCell ref="C41:C42"/>
    <mergeCell ref="D41:D42"/>
    <mergeCell ref="E41:E42"/>
    <mergeCell ref="F41:F42"/>
    <mergeCell ref="C1:S1"/>
    <mergeCell ref="C2:S2"/>
    <mergeCell ref="C3:S3"/>
    <mergeCell ref="C4:S4"/>
    <mergeCell ref="D10:S10"/>
    <mergeCell ref="C11:C12"/>
    <mergeCell ref="D11:D12"/>
    <mergeCell ref="E11:E12"/>
    <mergeCell ref="F11:F12"/>
    <mergeCell ref="G11:G12"/>
    <mergeCell ref="Q11:Q12"/>
    <mergeCell ref="R11:R12"/>
    <mergeCell ref="S11:S12"/>
    <mergeCell ref="N11:N12"/>
    <mergeCell ref="H11:H12"/>
    <mergeCell ref="I11:I12"/>
    <mergeCell ref="J11:L11"/>
    <mergeCell ref="M11:M12"/>
    <mergeCell ref="D19:D20"/>
    <mergeCell ref="E19:E20"/>
    <mergeCell ref="F19:F20"/>
    <mergeCell ref="N41:N42"/>
    <mergeCell ref="G19:G20"/>
    <mergeCell ref="H19:H20"/>
    <mergeCell ref="I19:I20"/>
    <mergeCell ref="J19:L19"/>
    <mergeCell ref="E29:E30"/>
    <mergeCell ref="I29:I30"/>
    <mergeCell ref="J29:L29"/>
    <mergeCell ref="E50:E51"/>
    <mergeCell ref="F50:F51"/>
    <mergeCell ref="H71:I71"/>
    <mergeCell ref="D49:S49"/>
    <mergeCell ref="G50:G51"/>
    <mergeCell ref="H50:H51"/>
    <mergeCell ref="I50:I51"/>
    <mergeCell ref="S29:S30"/>
    <mergeCell ref="D68:S68"/>
    <mergeCell ref="G41:G42"/>
    <mergeCell ref="H41:H42"/>
    <mergeCell ref="I41:I42"/>
    <mergeCell ref="M41:M42"/>
    <mergeCell ref="T171:T173"/>
    <mergeCell ref="M19:M20"/>
    <mergeCell ref="N19:N20"/>
    <mergeCell ref="O19:P19"/>
    <mergeCell ref="Q19:Q20"/>
    <mergeCell ref="R19:R20"/>
    <mergeCell ref="S19:S20"/>
    <mergeCell ref="D28:S28"/>
    <mergeCell ref="D40:S40"/>
    <mergeCell ref="N29:N30"/>
    <mergeCell ref="O29:P29"/>
    <mergeCell ref="Q29:Q30"/>
    <mergeCell ref="M50:M51"/>
    <mergeCell ref="N50:N51"/>
    <mergeCell ref="O50:P50"/>
    <mergeCell ref="Q50:Q51"/>
    <mergeCell ref="R50:R51"/>
    <mergeCell ref="S50:S51"/>
    <mergeCell ref="S41:S42"/>
    <mergeCell ref="S69:S70"/>
    <mergeCell ref="F29:F30"/>
    <mergeCell ref="G29:G30"/>
    <mergeCell ref="H29:H30"/>
    <mergeCell ref="D103:S103"/>
    <mergeCell ref="R104:R105"/>
    <mergeCell ref="S104:S105"/>
    <mergeCell ref="D127:S127"/>
    <mergeCell ref="H138:I138"/>
    <mergeCell ref="F139:G139"/>
    <mergeCell ref="H139:I139"/>
    <mergeCell ref="F140:G140"/>
    <mergeCell ref="H140:I140"/>
    <mergeCell ref="Q136:Q137"/>
    <mergeCell ref="R136:R137"/>
    <mergeCell ref="S136:S137"/>
    <mergeCell ref="M128:M129"/>
    <mergeCell ref="N128:N129"/>
    <mergeCell ref="O128:P128"/>
    <mergeCell ref="M136:M137"/>
    <mergeCell ref="N136:N137"/>
    <mergeCell ref="O136:P136"/>
    <mergeCell ref="Q128:Q129"/>
    <mergeCell ref="R128:R129"/>
    <mergeCell ref="S128:S129"/>
    <mergeCell ref="F180:G180"/>
    <mergeCell ref="H180:I180"/>
    <mergeCell ref="F181:G181"/>
    <mergeCell ref="H181:I181"/>
    <mergeCell ref="F182:G182"/>
    <mergeCell ref="H182:I182"/>
    <mergeCell ref="H190:I190"/>
    <mergeCell ref="F191:G191"/>
    <mergeCell ref="F190:G190"/>
    <mergeCell ref="H191:I191"/>
  </mergeCells>
  <dataValidations count="6">
    <dataValidation type="list" allowBlank="1" showInputMessage="1" showErrorMessage="1" sqref="G71:G80 G84:G90">
      <formula1>$F$279:$F$285</formula1>
    </dataValidation>
    <dataValidation type="list" allowBlank="1" showInputMessage="1" showErrorMessage="1" sqref="G95:G102 G106:G124">
      <formula1>$F$296:$F$298</formula1>
    </dataValidation>
    <dataValidation type="list" allowBlank="1" showInputMessage="1" showErrorMessage="1" sqref="N26 N171:N182 N31:N39 N186 N71:N80 N13:N17 N130:N132 N125 N242 N95:N102 N43:N47 N84:N90 N106:N115 N21:N24 N52:N66">
      <formula1>$E$266:$E$268</formula1>
    </dataValidation>
    <dataValidation type="list" allowBlank="1" showInputMessage="1" showErrorMessage="1" sqref="G31:G39 G52:G66 G242 G43:G47 G26 G21:G24 G130:G132 G13:G14 G16:G17">
      <formula1>$F$286:$F$295</formula1>
    </dataValidation>
    <dataValidation type="list" allowBlank="1" showInputMessage="1" showErrorMessage="1" sqref="S26 S43:S47 S31:S39 S21:S24 S71:S80 S84:S90 S130:S132 S242 S125 S13:S17 S171:S182 S186 S95:S102 S52:S66 S106:S118">
      <formula1>$E$270:$E$277</formula1>
    </dataValidation>
    <dataValidation type="list" allowBlank="1" showInputMessage="1" showErrorMessage="1" sqref="N133:N134 G133">
      <formula1>#REF!</formula1>
    </dataValidation>
  </dataValidations>
  <printOptions horizontalCentered="1"/>
  <pageMargins left="0" right="0" top="0.23622047244094491" bottom="0.43307086614173229" header="0.15748031496062992" footer="0.15748031496062992"/>
  <pageSetup paperSize="9" scale="64" orientation="landscape" horizontalDpi="300" verticalDpi="300" r:id="rId1"/>
  <headerFooter>
    <oddFooter>&amp;C&amp;10&amp;P/&amp;N</oddFooter>
  </headerFooter>
  <rowBreaks count="12" manualBreakCount="12">
    <brk id="17" min="2" max="18" man="1"/>
    <brk id="27" min="2" max="18" man="1"/>
    <brk id="39" min="2" max="18" man="1"/>
    <brk id="48" min="2" max="18" man="1"/>
    <brk id="66" min="2" max="18" man="1"/>
    <brk id="80" min="2" max="18" man="1"/>
    <brk id="102" min="2" max="18" man="1"/>
    <brk id="125" min="2" max="18" man="1"/>
    <brk id="134" min="2" max="18" man="1"/>
    <brk id="155" min="2" max="18" man="1"/>
    <brk id="182" min="2" max="18" man="1"/>
    <brk id="217" min="2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46"/>
  <sheetViews>
    <sheetView view="pageBreakPreview" topLeftCell="A37" zoomScaleNormal="100" zoomScaleSheetLayoutView="100" workbookViewId="0">
      <selection activeCell="C40" sqref="C40:C42"/>
    </sheetView>
  </sheetViews>
  <sheetFormatPr defaultColWidth="8.7109375" defaultRowHeight="15.75" x14ac:dyDescent="0.25"/>
  <cols>
    <col min="1" max="1" width="7.85546875" style="1432" customWidth="1"/>
    <col min="2" max="2" width="60.28515625" style="1432" customWidth="1"/>
    <col min="3" max="3" width="87.42578125" style="1438" customWidth="1"/>
    <col min="4" max="4" width="0.42578125" style="1432" customWidth="1"/>
    <col min="5" max="16384" width="8.7109375" style="1432"/>
  </cols>
  <sheetData>
    <row r="1" spans="1:4" ht="14.25" customHeight="1" x14ac:dyDescent="0.25">
      <c r="B1" s="1573" t="s">
        <v>905</v>
      </c>
      <c r="C1" s="1573"/>
    </row>
    <row r="2" spans="1:4" x14ac:dyDescent="0.25">
      <c r="B2" s="1573" t="s">
        <v>906</v>
      </c>
      <c r="C2" s="1573"/>
    </row>
    <row r="3" spans="1:4" x14ac:dyDescent="0.25">
      <c r="B3" s="1574" t="s">
        <v>907</v>
      </c>
      <c r="C3" s="1574"/>
    </row>
    <row r="4" spans="1:4" x14ac:dyDescent="0.25">
      <c r="B4" s="1575" t="s">
        <v>1454</v>
      </c>
      <c r="C4" s="1575"/>
    </row>
    <row r="5" spans="1:4" x14ac:dyDescent="0.25">
      <c r="B5" s="1599" t="s">
        <v>1473</v>
      </c>
      <c r="C5" s="1599"/>
    </row>
    <row r="6" spans="1:4" ht="27" customHeight="1" x14ac:dyDescent="0.25">
      <c r="B6" s="1599" t="s">
        <v>908</v>
      </c>
      <c r="C6" s="1599"/>
    </row>
    <row r="7" spans="1:4" ht="15.75" customHeight="1" x14ac:dyDescent="0.25">
      <c r="A7" s="1604" t="s">
        <v>1230</v>
      </c>
      <c r="B7" s="1604"/>
      <c r="C7" s="1433" t="s">
        <v>1435</v>
      </c>
      <c r="D7" s="1476"/>
    </row>
    <row r="8" spans="1:4" ht="20.25" customHeight="1" x14ac:dyDescent="0.25">
      <c r="A8" s="1605" t="s">
        <v>1231</v>
      </c>
      <c r="B8" s="1605"/>
      <c r="C8" s="1605"/>
      <c r="D8" s="1476"/>
    </row>
    <row r="9" spans="1:4" ht="52.5" customHeight="1" x14ac:dyDescent="0.25">
      <c r="A9" s="1484" t="s">
        <v>320</v>
      </c>
      <c r="B9" s="1484" t="s">
        <v>943</v>
      </c>
      <c r="C9" s="1435" t="s">
        <v>1504</v>
      </c>
      <c r="D9" s="1476"/>
    </row>
    <row r="10" spans="1:4" ht="51.75" customHeight="1" x14ac:dyDescent="0.25">
      <c r="A10" s="1476" t="s">
        <v>904</v>
      </c>
      <c r="B10" s="1437" t="s">
        <v>1289</v>
      </c>
      <c r="C10" s="1435" t="s">
        <v>1477</v>
      </c>
      <c r="D10" s="1476"/>
    </row>
    <row r="11" spans="1:4" ht="51.75" customHeight="1" x14ac:dyDescent="0.25">
      <c r="A11" s="1476" t="s">
        <v>1060</v>
      </c>
      <c r="B11" s="1437" t="s">
        <v>890</v>
      </c>
      <c r="C11" s="1435" t="s">
        <v>1468</v>
      </c>
      <c r="D11" s="1476"/>
    </row>
    <row r="12" spans="1:4" x14ac:dyDescent="0.25">
      <c r="A12" s="1476"/>
      <c r="B12" s="1476"/>
      <c r="C12" s="1477"/>
      <c r="D12" s="1476"/>
    </row>
    <row r="13" spans="1:4" s="1436" customFormat="1" ht="24.75" customHeight="1" x14ac:dyDescent="0.25">
      <c r="A13" s="1478"/>
      <c r="B13" s="1605" t="s">
        <v>1232</v>
      </c>
      <c r="C13" s="1605"/>
      <c r="D13" s="1478"/>
    </row>
    <row r="14" spans="1:4" s="1436" customFormat="1" ht="36.75" customHeight="1" x14ac:dyDescent="0.25">
      <c r="A14" s="1478" t="s">
        <v>240</v>
      </c>
      <c r="B14" s="1435" t="s">
        <v>970</v>
      </c>
      <c r="C14" s="1435" t="s">
        <v>1436</v>
      </c>
      <c r="D14" s="1478"/>
    </row>
    <row r="15" spans="1:4" s="1436" customFormat="1" ht="36.75" customHeight="1" x14ac:dyDescent="0.25">
      <c r="A15" s="1478" t="s">
        <v>1398</v>
      </c>
      <c r="B15" s="1435" t="s">
        <v>1457</v>
      </c>
      <c r="C15" s="1435" t="s">
        <v>1437</v>
      </c>
      <c r="D15" s="1478"/>
    </row>
    <row r="16" spans="1:4" s="1436" customFormat="1" x14ac:dyDescent="0.25">
      <c r="A16" s="1478"/>
      <c r="B16" s="1605" t="s">
        <v>1233</v>
      </c>
      <c r="C16" s="1605"/>
      <c r="D16" s="1478"/>
    </row>
    <row r="17" spans="1:4" s="1436" customFormat="1" ht="44.25" customHeight="1" x14ac:dyDescent="0.25">
      <c r="A17" s="1478" t="s">
        <v>244</v>
      </c>
      <c r="B17" s="1435" t="s">
        <v>1035</v>
      </c>
      <c r="C17" s="1435" t="s">
        <v>1438</v>
      </c>
      <c r="D17" s="1478"/>
    </row>
    <row r="18" spans="1:4" s="1436" customFormat="1" ht="44.25" customHeight="1" x14ac:dyDescent="0.25">
      <c r="A18" s="1478" t="s">
        <v>1263</v>
      </c>
      <c r="B18" s="1435" t="s">
        <v>1271</v>
      </c>
      <c r="C18" s="1435" t="s">
        <v>1439</v>
      </c>
      <c r="D18" s="1478"/>
    </row>
    <row r="19" spans="1:4" s="1436" customFormat="1" ht="44.25" customHeight="1" x14ac:dyDescent="0.25">
      <c r="A19" s="1478" t="s">
        <v>1292</v>
      </c>
      <c r="B19" s="1435" t="s">
        <v>1282</v>
      </c>
      <c r="C19" s="1435" t="s">
        <v>1503</v>
      </c>
      <c r="D19" s="1478"/>
    </row>
    <row r="20" spans="1:4" s="1436" customFormat="1" ht="44.25" customHeight="1" x14ac:dyDescent="0.25">
      <c r="A20" s="1478" t="s">
        <v>1295</v>
      </c>
      <c r="B20" s="1435" t="s">
        <v>1296</v>
      </c>
      <c r="C20" s="1435" t="s">
        <v>1469</v>
      </c>
      <c r="D20" s="1478"/>
    </row>
    <row r="21" spans="1:4" s="1436" customFormat="1" x14ac:dyDescent="0.25">
      <c r="A21" s="1478"/>
      <c r="B21" s="1605" t="s">
        <v>1234</v>
      </c>
      <c r="C21" s="1605"/>
      <c r="D21" s="1478"/>
    </row>
    <row r="22" spans="1:4" x14ac:dyDescent="0.25">
      <c r="A22" s="1476"/>
      <c r="B22" s="1476"/>
      <c r="C22" s="1477"/>
      <c r="D22" s="1476"/>
    </row>
    <row r="23" spans="1:4" s="1436" customFormat="1" ht="63" customHeight="1" x14ac:dyDescent="0.25">
      <c r="A23" s="1478" t="s">
        <v>277</v>
      </c>
      <c r="B23" s="1437" t="s">
        <v>1075</v>
      </c>
      <c r="C23" s="1437" t="s">
        <v>1440</v>
      </c>
      <c r="D23" s="1478"/>
    </row>
    <row r="24" spans="1:4" s="1436" customFormat="1" ht="72.75" customHeight="1" x14ac:dyDescent="0.25">
      <c r="A24" s="1478" t="s">
        <v>289</v>
      </c>
      <c r="B24" s="1437" t="s">
        <v>299</v>
      </c>
      <c r="C24" s="1435" t="s">
        <v>1441</v>
      </c>
      <c r="D24" s="1478"/>
    </row>
    <row r="25" spans="1:4" s="1436" customFormat="1" ht="46.5" customHeight="1" x14ac:dyDescent="0.25">
      <c r="A25" s="1478" t="s">
        <v>1300</v>
      </c>
      <c r="B25" s="1437" t="s">
        <v>299</v>
      </c>
      <c r="C25" s="1435" t="s">
        <v>1442</v>
      </c>
      <c r="D25" s="1478"/>
    </row>
    <row r="26" spans="1:4" x14ac:dyDescent="0.25">
      <c r="A26" s="1476"/>
      <c r="B26" s="1476"/>
      <c r="C26" s="1477"/>
      <c r="D26" s="1476"/>
    </row>
    <row r="27" spans="1:4" s="1436" customFormat="1" x14ac:dyDescent="0.25">
      <c r="A27" s="1478"/>
      <c r="B27" s="1605" t="s">
        <v>1235</v>
      </c>
      <c r="C27" s="1605"/>
      <c r="D27" s="1478"/>
    </row>
    <row r="28" spans="1:4" s="1436" customFormat="1" ht="61.5" customHeight="1" x14ac:dyDescent="0.25">
      <c r="A28" s="1478" t="s">
        <v>1183</v>
      </c>
      <c r="B28" s="1435" t="s">
        <v>1490</v>
      </c>
      <c r="C28" s="1435" t="s">
        <v>1443</v>
      </c>
      <c r="D28" s="1478"/>
    </row>
    <row r="29" spans="1:4" s="1436" customFormat="1" ht="45.75" customHeight="1" x14ac:dyDescent="0.25">
      <c r="A29" s="1478" t="s">
        <v>1184</v>
      </c>
      <c r="B29" s="1435" t="s">
        <v>1491</v>
      </c>
      <c r="C29" s="1435" t="s">
        <v>1444</v>
      </c>
      <c r="D29" s="1478"/>
    </row>
    <row r="30" spans="1:4" ht="32.25" customHeight="1" x14ac:dyDescent="0.25">
      <c r="A30" s="1479" t="s">
        <v>1445</v>
      </c>
      <c r="B30" s="1476" t="s">
        <v>1446</v>
      </c>
      <c r="C30" s="1477" t="s">
        <v>1470</v>
      </c>
      <c r="D30" s="1476"/>
    </row>
    <row r="31" spans="1:4" s="1436" customFormat="1" ht="33" customHeight="1" x14ac:dyDescent="0.25">
      <c r="A31" s="1478" t="s">
        <v>1188</v>
      </c>
      <c r="B31" s="1435" t="s">
        <v>1283</v>
      </c>
      <c r="C31" s="1477" t="s">
        <v>1470</v>
      </c>
      <c r="D31" s="1478"/>
    </row>
    <row r="32" spans="1:4" s="1436" customFormat="1" ht="33" customHeight="1" x14ac:dyDescent="0.25">
      <c r="A32" s="1478" t="s">
        <v>1189</v>
      </c>
      <c r="B32" s="1435" t="s">
        <v>1471</v>
      </c>
      <c r="C32" s="1435" t="s">
        <v>1478</v>
      </c>
      <c r="D32" s="1478"/>
    </row>
    <row r="33" spans="1:4" s="1436" customFormat="1" ht="29.25" customHeight="1" x14ac:dyDescent="0.25">
      <c r="A33" s="1478"/>
      <c r="B33" s="1600" t="s">
        <v>1236</v>
      </c>
      <c r="C33" s="1600"/>
      <c r="D33" s="1478"/>
    </row>
    <row r="34" spans="1:4" s="1436" customFormat="1" ht="60.75" customHeight="1" x14ac:dyDescent="0.25">
      <c r="A34" s="1478" t="s">
        <v>1154</v>
      </c>
      <c r="B34" s="1437" t="s">
        <v>390</v>
      </c>
      <c r="C34" s="1437" t="s">
        <v>1447</v>
      </c>
      <c r="D34" s="1478"/>
    </row>
    <row r="35" spans="1:4" s="1436" customFormat="1" ht="66" customHeight="1" x14ac:dyDescent="0.25">
      <c r="A35" s="1478" t="s">
        <v>867</v>
      </c>
      <c r="B35" s="1437" t="s">
        <v>1023</v>
      </c>
      <c r="C35" s="1437" t="s">
        <v>1448</v>
      </c>
      <c r="D35" s="1478"/>
    </row>
    <row r="36" spans="1:4" s="1436" customFormat="1" ht="75" customHeight="1" x14ac:dyDescent="0.25">
      <c r="A36" s="1478" t="s">
        <v>892</v>
      </c>
      <c r="B36" s="1437" t="s">
        <v>1170</v>
      </c>
      <c r="C36" s="1437" t="s">
        <v>1449</v>
      </c>
      <c r="D36" s="1478"/>
    </row>
    <row r="37" spans="1:4" s="1436" customFormat="1" ht="132" customHeight="1" x14ac:dyDescent="0.25">
      <c r="A37" s="1478" t="s">
        <v>1450</v>
      </c>
      <c r="B37" s="1437" t="s">
        <v>1451</v>
      </c>
      <c r="C37" s="1437" t="s">
        <v>1479</v>
      </c>
      <c r="D37" s="1478"/>
    </row>
    <row r="38" spans="1:4" s="1436" customFormat="1" ht="62.25" customHeight="1" x14ac:dyDescent="0.25">
      <c r="A38" s="1478" t="s">
        <v>1272</v>
      </c>
      <c r="B38" s="1437" t="s">
        <v>1431</v>
      </c>
      <c r="C38" s="1437" t="s">
        <v>1474</v>
      </c>
      <c r="D38" s="1478"/>
    </row>
    <row r="39" spans="1:4" s="1436" customFormat="1" ht="62.25" customHeight="1" x14ac:dyDescent="0.25">
      <c r="A39" s="1478" t="s">
        <v>1298</v>
      </c>
      <c r="B39" s="1437" t="s">
        <v>1323</v>
      </c>
      <c r="C39" s="1437" t="s">
        <v>1502</v>
      </c>
      <c r="D39" s="1478"/>
    </row>
    <row r="40" spans="1:4" s="1436" customFormat="1" ht="51.75" customHeight="1" x14ac:dyDescent="0.25">
      <c r="A40" s="1478" t="s">
        <v>1395</v>
      </c>
      <c r="B40" s="1484" t="s">
        <v>1507</v>
      </c>
      <c r="C40" s="1601" t="s">
        <v>1480</v>
      </c>
      <c r="D40" s="1478"/>
    </row>
    <row r="41" spans="1:4" s="1436" customFormat="1" ht="51.75" customHeight="1" x14ac:dyDescent="0.25">
      <c r="A41" s="1478" t="s">
        <v>1399</v>
      </c>
      <c r="B41" s="1484" t="s">
        <v>1511</v>
      </c>
      <c r="C41" s="1601"/>
      <c r="D41" s="1478"/>
    </row>
    <row r="42" spans="1:4" s="1436" customFormat="1" ht="51.75" customHeight="1" x14ac:dyDescent="0.25">
      <c r="A42" s="1478" t="s">
        <v>1400</v>
      </c>
      <c r="B42" s="1484" t="s">
        <v>1510</v>
      </c>
      <c r="C42" s="1601"/>
      <c r="D42" s="1478"/>
    </row>
    <row r="43" spans="1:4" s="1436" customFormat="1" ht="34.5" customHeight="1" x14ac:dyDescent="0.25">
      <c r="A43" s="1602" t="s">
        <v>1229</v>
      </c>
      <c r="B43" s="1602"/>
      <c r="C43" s="1602"/>
      <c r="D43" s="1602"/>
    </row>
    <row r="44" spans="1:4" s="1436" customFormat="1" ht="51.75" customHeight="1" x14ac:dyDescent="0.25">
      <c r="A44" s="1603" t="s">
        <v>1505</v>
      </c>
      <c r="B44" s="1603"/>
      <c r="C44" s="1434" t="s">
        <v>1472</v>
      </c>
      <c r="D44" s="1478"/>
    </row>
    <row r="45" spans="1:4" s="1436" customFormat="1" ht="33.75" customHeight="1" x14ac:dyDescent="0.25">
      <c r="A45" s="1478"/>
      <c r="B45" s="1433" t="s">
        <v>1237</v>
      </c>
      <c r="C45" s="1435" t="s">
        <v>1452</v>
      </c>
      <c r="D45" s="1478"/>
    </row>
    <row r="46" spans="1:4" s="1436" customFormat="1" x14ac:dyDescent="0.25">
      <c r="B46" s="1474"/>
      <c r="C46" s="1475"/>
    </row>
  </sheetData>
  <mergeCells count="16">
    <mergeCell ref="B33:C33"/>
    <mergeCell ref="C40:C42"/>
    <mergeCell ref="A43:D43"/>
    <mergeCell ref="A44:B44"/>
    <mergeCell ref="A7:B7"/>
    <mergeCell ref="A8:C8"/>
    <mergeCell ref="B13:C13"/>
    <mergeCell ref="B16:C16"/>
    <mergeCell ref="B21:C21"/>
    <mergeCell ref="B27:C27"/>
    <mergeCell ref="B6:C6"/>
    <mergeCell ref="B1:C1"/>
    <mergeCell ref="B2:C2"/>
    <mergeCell ref="B3:C3"/>
    <mergeCell ref="B4:C4"/>
    <mergeCell ref="B5:C5"/>
  </mergeCells>
  <printOptions horizontalCentered="1"/>
  <pageMargins left="0.23622047244094491" right="0.23622047244094491" top="0.27559055118110237" bottom="0.35433070866141736" header="0.31496062992125984" footer="0.31496062992125984"/>
  <pageSetup paperSize="9" scale="63" fitToHeight="2" orientation="portrait" horizontalDpi="4294967295" verticalDpi="4294967295" r:id="rId1"/>
  <headerFooter>
    <oddFooter>&amp;C&amp;P/&amp;N</oddFooter>
  </headerFooter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workbookViewId="0"/>
  </sheetViews>
  <sheetFormatPr defaultColWidth="9.140625" defaultRowHeight="15" x14ac:dyDescent="0.25"/>
  <cols>
    <col min="1" max="1" width="9.140625" style="30"/>
    <col min="2" max="2" width="29.5703125" customWidth="1"/>
    <col min="3" max="3" width="21.28515625" style="47" customWidth="1"/>
    <col min="4" max="4" width="9" style="47" customWidth="1"/>
    <col min="5" max="5" width="10.42578125" style="47" customWidth="1"/>
    <col min="6" max="7" width="20.5703125" customWidth="1"/>
    <col min="8" max="8" width="20.5703125" style="1" customWidth="1"/>
    <col min="9" max="9" width="17.85546875" style="1" customWidth="1"/>
    <col min="10" max="10" width="20.85546875" style="1" customWidth="1"/>
    <col min="11" max="12" width="11.140625" customWidth="1"/>
    <col min="13" max="13" width="21.5703125" hidden="1" customWidth="1"/>
    <col min="14" max="14" width="22" hidden="1" customWidth="1"/>
    <col min="15" max="17" width="15.28515625" hidden="1" customWidth="1"/>
    <col min="18" max="18" width="3.28515625" customWidth="1"/>
    <col min="19" max="19" width="16.28515625" hidden="1" customWidth="1"/>
    <col min="20" max="20" width="15.5703125" hidden="1" customWidth="1"/>
    <col min="21" max="23" width="20.7109375" hidden="1" customWidth="1"/>
    <col min="24" max="24" width="16.85546875" customWidth="1"/>
    <col min="25" max="26" width="21.5703125" style="1" hidden="1" customWidth="1"/>
    <col min="27" max="27" width="21.5703125" hidden="1" customWidth="1"/>
    <col min="28" max="29" width="21.5703125" style="1" customWidth="1"/>
    <col min="30" max="30" width="21.5703125" customWidth="1"/>
    <col min="31" max="31" width="9.140625" customWidth="1"/>
    <col min="32" max="33" width="14.7109375" style="1" customWidth="1"/>
    <col min="34" max="34" width="14.7109375" customWidth="1"/>
  </cols>
  <sheetData>
    <row r="1" spans="1:34" x14ac:dyDescent="0.25">
      <c r="B1" s="1611" t="s">
        <v>82</v>
      </c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  <c r="T1" s="1611"/>
      <c r="U1" s="1611"/>
      <c r="V1" s="1611"/>
      <c r="W1" s="1611"/>
      <c r="X1" s="1611"/>
      <c r="Y1" s="1611"/>
      <c r="Z1" s="1611"/>
      <c r="AA1" s="1611"/>
      <c r="AB1" s="1611"/>
      <c r="AC1" s="1611"/>
      <c r="AD1" s="1611"/>
      <c r="AF1"/>
      <c r="AG1"/>
    </row>
    <row r="2" spans="1:34" ht="15.75" thickBot="1" x14ac:dyDescent="0.3">
      <c r="M2" s="1"/>
      <c r="N2" s="1"/>
      <c r="O2" s="1"/>
      <c r="P2" s="1"/>
      <c r="Q2" s="1"/>
      <c r="R2" s="1"/>
      <c r="S2" s="1"/>
      <c r="T2" s="1"/>
      <c r="U2" s="1"/>
      <c r="V2" s="1"/>
      <c r="W2" s="1"/>
      <c r="AD2" s="46" t="s">
        <v>163</v>
      </c>
      <c r="AE2">
        <v>3.4502000000000002</v>
      </c>
      <c r="AH2" s="46"/>
    </row>
    <row r="3" spans="1:34" ht="52.5" customHeight="1" thickBot="1" x14ac:dyDescent="0.3">
      <c r="B3" s="58" t="s">
        <v>15</v>
      </c>
      <c r="C3" s="59" t="s">
        <v>14</v>
      </c>
      <c r="D3" s="59" t="s">
        <v>13</v>
      </c>
      <c r="E3" s="63" t="s">
        <v>12</v>
      </c>
      <c r="F3" s="61" t="s">
        <v>11</v>
      </c>
      <c r="G3" s="61" t="s">
        <v>10</v>
      </c>
      <c r="H3" s="62" t="s">
        <v>9</v>
      </c>
      <c r="I3" s="60" t="s">
        <v>84</v>
      </c>
      <c r="J3" s="62" t="s">
        <v>74</v>
      </c>
      <c r="K3" s="61" t="s">
        <v>8</v>
      </c>
      <c r="L3" s="61" t="s">
        <v>7</v>
      </c>
      <c r="M3" s="1615" t="s">
        <v>227</v>
      </c>
      <c r="N3" s="1616"/>
      <c r="O3" s="1616"/>
      <c r="P3" s="1616"/>
      <c r="Q3" s="1616"/>
      <c r="R3" s="53"/>
      <c r="S3" s="1609" t="s">
        <v>228</v>
      </c>
      <c r="T3" s="1610"/>
      <c r="U3" s="1610"/>
      <c r="V3" s="1610"/>
      <c r="W3" s="87"/>
      <c r="X3" s="52" t="s">
        <v>161</v>
      </c>
      <c r="Y3" s="1617" t="s">
        <v>130</v>
      </c>
      <c r="Z3" s="1618"/>
      <c r="AA3" s="1619"/>
      <c r="AB3" s="1617" t="s">
        <v>131</v>
      </c>
      <c r="AC3" s="1618"/>
      <c r="AD3" s="1619"/>
      <c r="AF3" s="1606" t="s">
        <v>162</v>
      </c>
      <c r="AG3" s="1607"/>
      <c r="AH3" s="1608"/>
    </row>
    <row r="4" spans="1:34" ht="52.5" customHeight="1" thickBot="1" x14ac:dyDescent="0.3">
      <c r="A4" s="176" t="s">
        <v>230</v>
      </c>
      <c r="B4" s="58"/>
      <c r="C4" s="75"/>
      <c r="D4" s="75"/>
      <c r="E4" s="76"/>
      <c r="F4" s="82"/>
      <c r="G4" s="82"/>
      <c r="H4" s="83"/>
      <c r="I4" s="84"/>
      <c r="J4" s="83"/>
      <c r="K4" s="77"/>
      <c r="L4" s="77"/>
      <c r="M4" s="85" t="s">
        <v>86</v>
      </c>
      <c r="N4" s="90" t="s">
        <v>225</v>
      </c>
      <c r="O4" s="85" t="s">
        <v>87</v>
      </c>
      <c r="P4" s="90" t="s">
        <v>226</v>
      </c>
      <c r="Q4" s="85" t="s">
        <v>92</v>
      </c>
      <c r="R4" s="85"/>
      <c r="S4" s="88" t="s">
        <v>86</v>
      </c>
      <c r="T4" s="90" t="s">
        <v>225</v>
      </c>
      <c r="U4" s="88" t="s">
        <v>87</v>
      </c>
      <c r="V4" s="90" t="s">
        <v>226</v>
      </c>
      <c r="W4" s="88" t="s">
        <v>92</v>
      </c>
      <c r="X4" s="78"/>
      <c r="Y4" s="88" t="s">
        <v>86</v>
      </c>
      <c r="Z4" s="88" t="s">
        <v>87</v>
      </c>
      <c r="AA4" s="88" t="s">
        <v>92</v>
      </c>
      <c r="AB4" s="88" t="s">
        <v>86</v>
      </c>
      <c r="AC4" s="88" t="s">
        <v>87</v>
      </c>
      <c r="AD4" s="88" t="s">
        <v>92</v>
      </c>
      <c r="AF4" s="86" t="s">
        <v>86</v>
      </c>
      <c r="AG4" s="86" t="s">
        <v>87</v>
      </c>
      <c r="AH4" s="85" t="s">
        <v>92</v>
      </c>
    </row>
    <row r="5" spans="1:34" ht="45" customHeight="1" thickBot="1" x14ac:dyDescent="0.3">
      <c r="B5" s="91" t="s">
        <v>189</v>
      </c>
      <c r="C5" s="97"/>
      <c r="D5" s="98"/>
      <c r="E5" s="99"/>
      <c r="F5" s="103">
        <f>F6+F44+F51</f>
        <v>41196702.389999986</v>
      </c>
      <c r="G5" s="103">
        <f>G6+G44+G51</f>
        <v>48403313.200000003</v>
      </c>
      <c r="H5" s="103">
        <f>H6+H44+H51</f>
        <v>89600015.589999989</v>
      </c>
      <c r="I5" s="103">
        <f>I6+I44+I51</f>
        <v>0</v>
      </c>
      <c r="J5" s="103" t="e">
        <f>J6+J44+J51</f>
        <v>#REF!</v>
      </c>
      <c r="K5" s="102"/>
      <c r="L5" s="102"/>
      <c r="M5" s="103">
        <f t="shared" ref="M5:AD5" si="0">M6+M44+M51</f>
        <v>20663251.229999989</v>
      </c>
      <c r="N5" s="103">
        <f t="shared" si="0"/>
        <v>2095626.4899999998</v>
      </c>
      <c r="O5" s="103">
        <f t="shared" si="0"/>
        <v>53802325.07</v>
      </c>
      <c r="P5" s="103">
        <f t="shared" si="0"/>
        <v>7347353.5399999972</v>
      </c>
      <c r="Q5" s="103">
        <f t="shared" si="0"/>
        <v>83908556.329999983</v>
      </c>
      <c r="R5" s="103">
        <f t="shared" si="0"/>
        <v>0</v>
      </c>
      <c r="S5" s="103">
        <f t="shared" si="0"/>
        <v>9596230.1799999997</v>
      </c>
      <c r="T5" s="103">
        <f t="shared" si="0"/>
        <v>1021215.1999999998</v>
      </c>
      <c r="U5" s="103">
        <f t="shared" si="0"/>
        <v>19604055.300000001</v>
      </c>
      <c r="V5" s="103">
        <f t="shared" si="0"/>
        <v>2447784.2700000005</v>
      </c>
      <c r="W5" s="103">
        <f t="shared" si="0"/>
        <v>32669284.950000003</v>
      </c>
      <c r="X5" s="103">
        <f t="shared" si="0"/>
        <v>119034967.62764765</v>
      </c>
      <c r="Y5" s="103">
        <f t="shared" si="0"/>
        <v>60178996.100512967</v>
      </c>
      <c r="Z5" s="103">
        <f t="shared" si="0"/>
        <v>58855971.527134702</v>
      </c>
      <c r="AA5" s="103">
        <f t="shared" si="0"/>
        <v>119034967.62764765</v>
      </c>
      <c r="AB5" s="103">
        <f t="shared" si="0"/>
        <v>17442176.140000001</v>
      </c>
      <c r="AC5" s="103">
        <f t="shared" si="0"/>
        <v>17058712.969999999</v>
      </c>
      <c r="AD5" s="103">
        <f t="shared" si="0"/>
        <v>34500889.109999999</v>
      </c>
      <c r="AF5" s="80">
        <f>AF6+AF44+AF51</f>
        <v>16561.137603765859</v>
      </c>
      <c r="AG5" s="80">
        <f>AG6+AG44+AG51</f>
        <v>1787.5013730029248</v>
      </c>
      <c r="AH5" s="80">
        <f>AH6+AH44+AH51</f>
        <v>14014.208498059455</v>
      </c>
    </row>
    <row r="6" spans="1:34" ht="26.25" customHeight="1" thickBot="1" x14ac:dyDescent="0.3">
      <c r="B6" s="91" t="s">
        <v>190</v>
      </c>
      <c r="C6" s="92"/>
      <c r="D6" s="92"/>
      <c r="E6" s="93"/>
      <c r="F6" s="89">
        <f>SUM(F7:F43)</f>
        <v>14407686</v>
      </c>
      <c r="G6" s="89">
        <f>SUM(G7:G43)</f>
        <v>238783.95</v>
      </c>
      <c r="H6" s="89">
        <f>SUM(H7:H43)</f>
        <v>14646469.949999999</v>
      </c>
      <c r="I6" s="89">
        <f>SUM(I7:I43)</f>
        <v>0</v>
      </c>
      <c r="J6" s="89" t="e">
        <f>SUM(J7:J43)</f>
        <v>#REF!</v>
      </c>
      <c r="K6" s="95"/>
      <c r="L6" s="95"/>
      <c r="M6" s="89">
        <f>SUM(M7:M43)</f>
        <v>2316967.04</v>
      </c>
      <c r="N6" s="89">
        <f>SUM(N7:N43)</f>
        <v>0</v>
      </c>
      <c r="O6" s="89">
        <f>SUM(O7:O43)</f>
        <v>10429566.84</v>
      </c>
      <c r="P6" s="89">
        <f>SUM(P7:P43)</f>
        <v>0</v>
      </c>
      <c r="Q6" s="89">
        <f>SUM(Q7:Q43)</f>
        <v>12746533.880000001</v>
      </c>
      <c r="R6" s="103"/>
      <c r="S6" s="89">
        <f t="shared" ref="S6:AD6" si="1">SUM(S7:S43)</f>
        <v>741423.09</v>
      </c>
      <c r="T6" s="89">
        <f t="shared" si="1"/>
        <v>0</v>
      </c>
      <c r="U6" s="89">
        <f t="shared" si="1"/>
        <v>4148939.37</v>
      </c>
      <c r="V6" s="89">
        <f t="shared" si="1"/>
        <v>0</v>
      </c>
      <c r="W6" s="89">
        <f t="shared" si="1"/>
        <v>4890362.4600000018</v>
      </c>
      <c r="X6" s="89">
        <f t="shared" si="1"/>
        <v>15632669.086091358</v>
      </c>
      <c r="Y6" s="89">
        <f t="shared" si="1"/>
        <v>4342073.7476878613</v>
      </c>
      <c r="Z6" s="89">
        <f t="shared" si="1"/>
        <v>11290595.338403497</v>
      </c>
      <c r="AA6" s="89">
        <f t="shared" si="1"/>
        <v>15632669.086091358</v>
      </c>
      <c r="AB6" s="89">
        <f t="shared" si="1"/>
        <v>1258499.1499999999</v>
      </c>
      <c r="AC6" s="89">
        <f t="shared" si="1"/>
        <v>3272446.6099999994</v>
      </c>
      <c r="AD6" s="89">
        <f t="shared" si="1"/>
        <v>4530945.76</v>
      </c>
      <c r="AF6" s="89">
        <f>SUM(AF7:AF43)</f>
        <v>1043.606358381503</v>
      </c>
      <c r="AG6" s="89">
        <f>SUM(AG7:AG43)</f>
        <v>871.41698695829177</v>
      </c>
      <c r="AH6" s="89">
        <f>SUM(AH7:AH43)</f>
        <v>1915.0233453397946</v>
      </c>
    </row>
    <row r="7" spans="1:34" ht="42.75" customHeight="1" x14ac:dyDescent="0.25">
      <c r="A7" s="30" t="s">
        <v>231</v>
      </c>
      <c r="B7" s="120" t="s">
        <v>164</v>
      </c>
      <c r="C7" s="121" t="s">
        <v>18</v>
      </c>
      <c r="D7" s="122"/>
      <c r="E7" s="123" t="s">
        <v>70</v>
      </c>
      <c r="F7" s="124">
        <v>50400</v>
      </c>
      <c r="G7" s="124"/>
      <c r="H7" s="124">
        <f t="shared" ref="H7:H22" si="2">F7+G7</f>
        <v>50400</v>
      </c>
      <c r="I7" s="124"/>
      <c r="J7" s="124">
        <f t="shared" ref="J7:J22" si="3">H7+I7</f>
        <v>50400</v>
      </c>
      <c r="K7" s="126"/>
      <c r="L7" s="126">
        <v>1</v>
      </c>
      <c r="M7" s="124"/>
      <c r="N7" s="124"/>
      <c r="O7" s="124">
        <v>34660.83</v>
      </c>
      <c r="P7" s="124"/>
      <c r="Q7" s="127">
        <f t="shared" ref="Q7:Q55" si="4">M7+N7+O7+P7</f>
        <v>34660.83</v>
      </c>
      <c r="R7" s="124"/>
      <c r="S7" s="128">
        <v>0</v>
      </c>
      <c r="T7" s="128"/>
      <c r="U7" s="128">
        <v>14792.73</v>
      </c>
      <c r="V7" s="128"/>
      <c r="W7" s="127">
        <f t="shared" ref="W7:X32" si="5">S7+T7+U7+V7</f>
        <v>14792.73</v>
      </c>
      <c r="X7" s="127">
        <f>J7-Q7</f>
        <v>15739.169999999998</v>
      </c>
      <c r="Y7" s="128">
        <f>X7*K7</f>
        <v>0</v>
      </c>
      <c r="Z7" s="128">
        <f t="shared" ref="Z7:Z20" si="6">X7*L7</f>
        <v>15739.169999999998</v>
      </c>
      <c r="AA7" s="127">
        <f t="shared" ref="AA7:AA32" si="7">Y7+Z7</f>
        <v>15739.169999999998</v>
      </c>
      <c r="AB7" s="128">
        <f t="shared" ref="AB7:AB32" si="8">ROUND(Y7/$AE$2,2)</f>
        <v>0</v>
      </c>
      <c r="AC7" s="128">
        <f>ROUND(Z7/$AE$2,2)</f>
        <v>4561.8100000000004</v>
      </c>
      <c r="AD7" s="129">
        <f t="shared" ref="AD7:AD32" si="9">AB7+AC7</f>
        <v>4561.8100000000004</v>
      </c>
      <c r="AF7" s="43"/>
      <c r="AG7" s="44"/>
      <c r="AH7" s="45">
        <f t="shared" ref="AH7:AH32" si="10">AF7+AG7</f>
        <v>0</v>
      </c>
    </row>
    <row r="8" spans="1:34" ht="42.75" customHeight="1" x14ac:dyDescent="0.25">
      <c r="A8" s="30" t="s">
        <v>232</v>
      </c>
      <c r="B8" s="130" t="s">
        <v>165</v>
      </c>
      <c r="C8" s="105" t="s">
        <v>146</v>
      </c>
      <c r="D8" s="106" t="s">
        <v>76</v>
      </c>
      <c r="E8" s="107" t="s">
        <v>70</v>
      </c>
      <c r="F8" s="108">
        <v>899878.77</v>
      </c>
      <c r="G8" s="108"/>
      <c r="H8" s="108">
        <f t="shared" si="2"/>
        <v>899878.77</v>
      </c>
      <c r="I8" s="108"/>
      <c r="J8" s="108">
        <f t="shared" si="3"/>
        <v>899878.77</v>
      </c>
      <c r="K8" s="110"/>
      <c r="L8" s="110">
        <v>1</v>
      </c>
      <c r="M8" s="108"/>
      <c r="N8" s="108"/>
      <c r="O8" s="108">
        <v>899878.77</v>
      </c>
      <c r="P8" s="108"/>
      <c r="Q8" s="111">
        <f t="shared" si="4"/>
        <v>899878.77</v>
      </c>
      <c r="R8" s="108"/>
      <c r="S8" s="112">
        <v>0</v>
      </c>
      <c r="T8" s="112"/>
      <c r="U8" s="113">
        <v>417518.12</v>
      </c>
      <c r="V8" s="113"/>
      <c r="W8" s="111">
        <f t="shared" si="5"/>
        <v>417518.12</v>
      </c>
      <c r="X8" s="111">
        <f>T8+U8+V8+W8</f>
        <v>835036.24</v>
      </c>
      <c r="Y8" s="114">
        <f t="shared" ref="Y8:Y32" si="11">X8*K8</f>
        <v>0</v>
      </c>
      <c r="Z8" s="114">
        <f t="shared" si="6"/>
        <v>835036.24</v>
      </c>
      <c r="AA8" s="111">
        <f t="shared" si="7"/>
        <v>835036.24</v>
      </c>
      <c r="AB8" s="114">
        <f t="shared" si="8"/>
        <v>0</v>
      </c>
      <c r="AC8" s="114">
        <f t="shared" ref="AC8:AC32" si="12">ROUND(Z8/$AE$2,2)</f>
        <v>242025.46</v>
      </c>
      <c r="AD8" s="131">
        <f t="shared" si="9"/>
        <v>242025.46</v>
      </c>
      <c r="AF8" s="37"/>
      <c r="AG8" s="38"/>
      <c r="AH8" s="39">
        <f t="shared" si="10"/>
        <v>0</v>
      </c>
    </row>
    <row r="9" spans="1:34" ht="42.75" customHeight="1" x14ac:dyDescent="0.25">
      <c r="A9" s="30" t="s">
        <v>233</v>
      </c>
      <c r="B9" s="130" t="s">
        <v>166</v>
      </c>
      <c r="C9" s="105" t="s">
        <v>45</v>
      </c>
      <c r="D9" s="106" t="s">
        <v>54</v>
      </c>
      <c r="E9" s="107" t="s">
        <v>70</v>
      </c>
      <c r="F9" s="108">
        <v>42378.46</v>
      </c>
      <c r="G9" s="108"/>
      <c r="H9" s="108">
        <f t="shared" si="2"/>
        <v>42378.46</v>
      </c>
      <c r="I9" s="108"/>
      <c r="J9" s="108">
        <f t="shared" si="3"/>
        <v>42378.46</v>
      </c>
      <c r="K9" s="110"/>
      <c r="L9" s="110">
        <v>1</v>
      </c>
      <c r="M9" s="108"/>
      <c r="N9" s="108"/>
      <c r="O9" s="108">
        <v>42378.460000000006</v>
      </c>
      <c r="P9" s="108"/>
      <c r="Q9" s="111">
        <f t="shared" si="4"/>
        <v>42378.460000000006</v>
      </c>
      <c r="R9" s="108"/>
      <c r="S9" s="112">
        <v>0</v>
      </c>
      <c r="T9" s="112"/>
      <c r="U9" s="113">
        <v>19710</v>
      </c>
      <c r="V9" s="113"/>
      <c r="W9" s="111">
        <f t="shared" si="5"/>
        <v>19710</v>
      </c>
      <c r="X9" s="111">
        <f>T9+U9+V9+W9</f>
        <v>39420</v>
      </c>
      <c r="Y9" s="114">
        <f t="shared" si="11"/>
        <v>0</v>
      </c>
      <c r="Z9" s="114">
        <f t="shared" si="6"/>
        <v>39420</v>
      </c>
      <c r="AA9" s="111">
        <f t="shared" si="7"/>
        <v>39420</v>
      </c>
      <c r="AB9" s="114">
        <f t="shared" si="8"/>
        <v>0</v>
      </c>
      <c r="AC9" s="114">
        <f t="shared" si="12"/>
        <v>11425.42</v>
      </c>
      <c r="AD9" s="131">
        <f t="shared" si="9"/>
        <v>11425.42</v>
      </c>
      <c r="AF9" s="40"/>
      <c r="AG9" s="41"/>
      <c r="AH9" s="42">
        <f t="shared" si="10"/>
        <v>0</v>
      </c>
    </row>
    <row r="10" spans="1:34" ht="42.75" customHeight="1" x14ac:dyDescent="0.25">
      <c r="A10" s="30" t="s">
        <v>235</v>
      </c>
      <c r="B10" s="130" t="s">
        <v>167</v>
      </c>
      <c r="C10" s="105" t="s">
        <v>75</v>
      </c>
      <c r="D10" s="106"/>
      <c r="E10" s="107" t="s">
        <v>70</v>
      </c>
      <c r="F10" s="108">
        <v>8000000</v>
      </c>
      <c r="G10" s="108"/>
      <c r="H10" s="108">
        <f t="shared" si="2"/>
        <v>8000000</v>
      </c>
      <c r="I10" s="108"/>
      <c r="J10" s="108">
        <f t="shared" si="3"/>
        <v>8000000</v>
      </c>
      <c r="K10" s="110"/>
      <c r="L10" s="110">
        <v>1</v>
      </c>
      <c r="M10" s="108"/>
      <c r="N10" s="108"/>
      <c r="O10" s="108">
        <v>6819195.4900000002</v>
      </c>
      <c r="P10" s="108"/>
      <c r="Q10" s="111">
        <f t="shared" si="4"/>
        <v>6819195.4900000002</v>
      </c>
      <c r="R10" s="108"/>
      <c r="S10" s="112">
        <v>0</v>
      </c>
      <c r="T10" s="112"/>
      <c r="U10" s="113">
        <v>2555667.9900000002</v>
      </c>
      <c r="V10" s="113"/>
      <c r="W10" s="111">
        <f t="shared" si="5"/>
        <v>2555667.9900000002</v>
      </c>
      <c r="X10" s="111">
        <f>T10+U10+V10+W10</f>
        <v>5111335.9800000004</v>
      </c>
      <c r="Y10" s="114">
        <f t="shared" si="11"/>
        <v>0</v>
      </c>
      <c r="Z10" s="114">
        <f t="shared" si="6"/>
        <v>5111335.9800000004</v>
      </c>
      <c r="AA10" s="111">
        <f t="shared" si="7"/>
        <v>5111335.9800000004</v>
      </c>
      <c r="AB10" s="114">
        <f t="shared" si="8"/>
        <v>0</v>
      </c>
      <c r="AC10" s="114">
        <f t="shared" si="12"/>
        <v>1481460.78</v>
      </c>
      <c r="AD10" s="131">
        <f t="shared" si="9"/>
        <v>1481460.78</v>
      </c>
      <c r="AF10" s="40"/>
      <c r="AG10" s="41"/>
      <c r="AH10" s="42">
        <f t="shared" si="10"/>
        <v>0</v>
      </c>
    </row>
    <row r="11" spans="1:34" ht="42.75" customHeight="1" x14ac:dyDescent="0.25">
      <c r="A11" s="30" t="s">
        <v>234</v>
      </c>
      <c r="B11" s="132" t="s">
        <v>47</v>
      </c>
      <c r="C11" s="105" t="s">
        <v>44</v>
      </c>
      <c r="D11" s="106" t="s">
        <v>114</v>
      </c>
      <c r="E11" s="107" t="s">
        <v>70</v>
      </c>
      <c r="F11" s="108">
        <v>1719699.72</v>
      </c>
      <c r="G11" s="108"/>
      <c r="H11" s="108">
        <f t="shared" si="2"/>
        <v>1719699.72</v>
      </c>
      <c r="I11" s="108"/>
      <c r="J11" s="108">
        <f t="shared" si="3"/>
        <v>1719699.72</v>
      </c>
      <c r="K11" s="110"/>
      <c r="L11" s="110">
        <v>1</v>
      </c>
      <c r="M11" s="108"/>
      <c r="N11" s="108"/>
      <c r="O11" s="108">
        <v>1719699.72</v>
      </c>
      <c r="P11" s="108"/>
      <c r="Q11" s="111">
        <f t="shared" si="4"/>
        <v>1719699.72</v>
      </c>
      <c r="R11" s="108"/>
      <c r="S11" s="112">
        <v>0</v>
      </c>
      <c r="T11" s="112"/>
      <c r="U11" s="113">
        <v>787408.29</v>
      </c>
      <c r="V11" s="113"/>
      <c r="W11" s="111">
        <f t="shared" si="5"/>
        <v>787408.29</v>
      </c>
      <c r="X11" s="111">
        <f t="shared" si="5"/>
        <v>1574816.58</v>
      </c>
      <c r="Y11" s="114">
        <f t="shared" si="11"/>
        <v>0</v>
      </c>
      <c r="Z11" s="114">
        <f t="shared" si="6"/>
        <v>1574816.58</v>
      </c>
      <c r="AA11" s="111">
        <f t="shared" si="7"/>
        <v>1574816.58</v>
      </c>
      <c r="AB11" s="114">
        <f t="shared" si="8"/>
        <v>0</v>
      </c>
      <c r="AC11" s="114">
        <f t="shared" si="12"/>
        <v>456442.11</v>
      </c>
      <c r="AD11" s="131">
        <f t="shared" si="9"/>
        <v>456442.11</v>
      </c>
      <c r="AF11" s="40"/>
      <c r="AG11" s="41"/>
      <c r="AH11" s="42">
        <f t="shared" si="10"/>
        <v>0</v>
      </c>
    </row>
    <row r="12" spans="1:34" ht="42.75" customHeight="1" x14ac:dyDescent="0.25">
      <c r="B12" s="130" t="s">
        <v>168</v>
      </c>
      <c r="C12" s="105" t="s">
        <v>43</v>
      </c>
      <c r="D12" s="106" t="s">
        <v>114</v>
      </c>
      <c r="E12" s="107" t="s">
        <v>70</v>
      </c>
      <c r="F12" s="108">
        <v>6873.37</v>
      </c>
      <c r="G12" s="108"/>
      <c r="H12" s="108">
        <f t="shared" si="2"/>
        <v>6873.37</v>
      </c>
      <c r="I12" s="108"/>
      <c r="J12" s="108">
        <f t="shared" si="3"/>
        <v>6873.37</v>
      </c>
      <c r="K12" s="110"/>
      <c r="L12" s="110">
        <v>1</v>
      </c>
      <c r="M12" s="108"/>
      <c r="N12" s="108"/>
      <c r="O12" s="108">
        <v>6873.37</v>
      </c>
      <c r="P12" s="108"/>
      <c r="Q12" s="111">
        <f t="shared" si="4"/>
        <v>6873.37</v>
      </c>
      <c r="R12" s="108"/>
      <c r="S12" s="112">
        <v>0</v>
      </c>
      <c r="T12" s="112"/>
      <c r="U12" s="113">
        <v>3196.77</v>
      </c>
      <c r="V12" s="113"/>
      <c r="W12" s="111">
        <f t="shared" si="5"/>
        <v>3196.77</v>
      </c>
      <c r="X12" s="111">
        <f t="shared" si="5"/>
        <v>6393.54</v>
      </c>
      <c r="Y12" s="114">
        <f t="shared" si="11"/>
        <v>0</v>
      </c>
      <c r="Z12" s="114">
        <f t="shared" si="6"/>
        <v>6393.54</v>
      </c>
      <c r="AA12" s="111">
        <f t="shared" si="7"/>
        <v>6393.54</v>
      </c>
      <c r="AB12" s="114">
        <f t="shared" si="8"/>
        <v>0</v>
      </c>
      <c r="AC12" s="114">
        <f t="shared" si="12"/>
        <v>1853.09</v>
      </c>
      <c r="AD12" s="131">
        <f t="shared" si="9"/>
        <v>1853.09</v>
      </c>
      <c r="AF12" s="40"/>
      <c r="AG12" s="41"/>
      <c r="AH12" s="42">
        <f t="shared" si="10"/>
        <v>0</v>
      </c>
    </row>
    <row r="13" spans="1:34" ht="42.75" customHeight="1" x14ac:dyDescent="0.25">
      <c r="A13" s="30" t="s">
        <v>236</v>
      </c>
      <c r="B13" s="130" t="s">
        <v>169</v>
      </c>
      <c r="C13" s="105" t="s">
        <v>23</v>
      </c>
      <c r="D13" s="106" t="s">
        <v>105</v>
      </c>
      <c r="E13" s="107" t="s">
        <v>70</v>
      </c>
      <c r="F13" s="108">
        <v>938029.5</v>
      </c>
      <c r="G13" s="108">
        <v>181939.95</v>
      </c>
      <c r="H13" s="108">
        <f t="shared" si="2"/>
        <v>1119969.45</v>
      </c>
      <c r="I13" s="108"/>
      <c r="J13" s="108">
        <f t="shared" si="3"/>
        <v>1119969.45</v>
      </c>
      <c r="K13" s="110"/>
      <c r="L13" s="110">
        <v>1</v>
      </c>
      <c r="M13" s="108"/>
      <c r="N13" s="108"/>
      <c r="O13" s="108">
        <v>783160.20000000019</v>
      </c>
      <c r="P13" s="108"/>
      <c r="Q13" s="111">
        <f t="shared" si="4"/>
        <v>783160.20000000019</v>
      </c>
      <c r="R13" s="108"/>
      <c r="S13" s="114"/>
      <c r="T13" s="114"/>
      <c r="U13" s="114">
        <v>297843.62</v>
      </c>
      <c r="V13" s="114"/>
      <c r="W13" s="111">
        <f t="shared" si="5"/>
        <v>297843.62</v>
      </c>
      <c r="X13" s="111">
        <f t="shared" si="5"/>
        <v>595687.24</v>
      </c>
      <c r="Y13" s="114">
        <f t="shared" si="11"/>
        <v>0</v>
      </c>
      <c r="Z13" s="114">
        <f t="shared" si="6"/>
        <v>595687.24</v>
      </c>
      <c r="AA13" s="111">
        <f t="shared" si="7"/>
        <v>595687.24</v>
      </c>
      <c r="AB13" s="114">
        <f t="shared" si="8"/>
        <v>0</v>
      </c>
      <c r="AC13" s="114">
        <f t="shared" si="12"/>
        <v>172652.96</v>
      </c>
      <c r="AD13" s="131">
        <f t="shared" si="9"/>
        <v>172652.96</v>
      </c>
      <c r="AF13" s="40"/>
      <c r="AG13" s="41"/>
      <c r="AH13" s="42">
        <f t="shared" si="10"/>
        <v>0</v>
      </c>
    </row>
    <row r="14" spans="1:34" ht="42.75" customHeight="1" x14ac:dyDescent="0.25">
      <c r="A14" s="30" t="s">
        <v>237</v>
      </c>
      <c r="B14" s="130" t="s">
        <v>170</v>
      </c>
      <c r="C14" s="105" t="s">
        <v>40</v>
      </c>
      <c r="D14" s="106" t="s">
        <v>53</v>
      </c>
      <c r="E14" s="107" t="s">
        <v>66</v>
      </c>
      <c r="F14" s="108">
        <v>78108.37</v>
      </c>
      <c r="G14" s="108"/>
      <c r="H14" s="108">
        <f t="shared" si="2"/>
        <v>78108.37</v>
      </c>
      <c r="I14" s="108"/>
      <c r="J14" s="108">
        <f t="shared" si="3"/>
        <v>78108.37</v>
      </c>
      <c r="K14" s="110">
        <v>1</v>
      </c>
      <c r="L14" s="110"/>
      <c r="M14" s="108">
        <v>78108.37000000001</v>
      </c>
      <c r="N14" s="108"/>
      <c r="O14" s="108"/>
      <c r="P14" s="108"/>
      <c r="Q14" s="111">
        <f t="shared" si="4"/>
        <v>78108.37000000001</v>
      </c>
      <c r="R14" s="108"/>
      <c r="S14" s="113">
        <v>35088.239999999998</v>
      </c>
      <c r="T14" s="113"/>
      <c r="U14" s="114"/>
      <c r="V14" s="114"/>
      <c r="W14" s="111">
        <f t="shared" si="5"/>
        <v>35088.239999999998</v>
      </c>
      <c r="X14" s="111">
        <f t="shared" si="5"/>
        <v>35088.239999999998</v>
      </c>
      <c r="Y14" s="114">
        <f t="shared" si="11"/>
        <v>35088.239999999998</v>
      </c>
      <c r="Z14" s="114">
        <f t="shared" si="6"/>
        <v>0</v>
      </c>
      <c r="AA14" s="111">
        <f t="shared" si="7"/>
        <v>35088.239999999998</v>
      </c>
      <c r="AB14" s="114">
        <f t="shared" si="8"/>
        <v>10169.91</v>
      </c>
      <c r="AC14" s="114">
        <f t="shared" si="12"/>
        <v>0</v>
      </c>
      <c r="AD14" s="131">
        <f t="shared" si="9"/>
        <v>10169.91</v>
      </c>
      <c r="AF14" s="40"/>
      <c r="AG14" s="41"/>
      <c r="AH14" s="42">
        <f t="shared" si="10"/>
        <v>0</v>
      </c>
    </row>
    <row r="15" spans="1:34" ht="42.75" customHeight="1" x14ac:dyDescent="0.25">
      <c r="A15" s="30" t="s">
        <v>238</v>
      </c>
      <c r="B15" s="130" t="s">
        <v>171</v>
      </c>
      <c r="C15" s="105" t="s">
        <v>32</v>
      </c>
      <c r="D15" s="106" t="s">
        <v>97</v>
      </c>
      <c r="E15" s="107" t="s">
        <v>57</v>
      </c>
      <c r="F15" s="108">
        <v>42880</v>
      </c>
      <c r="G15" s="108"/>
      <c r="H15" s="108">
        <f t="shared" si="2"/>
        <v>42880</v>
      </c>
      <c r="I15" s="108"/>
      <c r="J15" s="108">
        <f t="shared" si="3"/>
        <v>42880</v>
      </c>
      <c r="K15" s="110">
        <v>1</v>
      </c>
      <c r="L15" s="110"/>
      <c r="M15" s="108">
        <v>42880</v>
      </c>
      <c r="N15" s="108"/>
      <c r="O15" s="108"/>
      <c r="P15" s="108"/>
      <c r="Q15" s="111">
        <f t="shared" si="4"/>
        <v>42880</v>
      </c>
      <c r="R15" s="108"/>
      <c r="S15" s="113">
        <v>12228.71</v>
      </c>
      <c r="T15" s="113"/>
      <c r="U15" s="114"/>
      <c r="V15" s="114"/>
      <c r="W15" s="111">
        <f t="shared" si="5"/>
        <v>12228.71</v>
      </c>
      <c r="X15" s="111">
        <f t="shared" si="5"/>
        <v>12228.71</v>
      </c>
      <c r="Y15" s="114">
        <f t="shared" si="11"/>
        <v>12228.71</v>
      </c>
      <c r="Z15" s="114">
        <f t="shared" si="6"/>
        <v>0</v>
      </c>
      <c r="AA15" s="111">
        <f t="shared" si="7"/>
        <v>12228.71</v>
      </c>
      <c r="AB15" s="114">
        <f t="shared" si="8"/>
        <v>3544.35</v>
      </c>
      <c r="AC15" s="114">
        <f t="shared" si="12"/>
        <v>0</v>
      </c>
      <c r="AD15" s="131">
        <f t="shared" si="9"/>
        <v>3544.35</v>
      </c>
      <c r="AF15" s="40"/>
      <c r="AG15" s="41"/>
      <c r="AH15" s="42">
        <f t="shared" si="10"/>
        <v>0</v>
      </c>
    </row>
    <row r="16" spans="1:34" ht="42.75" customHeight="1" x14ac:dyDescent="0.25">
      <c r="A16" s="30" t="s">
        <v>239</v>
      </c>
      <c r="B16" s="130" t="s">
        <v>172</v>
      </c>
      <c r="C16" s="105" t="s">
        <v>26</v>
      </c>
      <c r="D16" s="106" t="s">
        <v>108</v>
      </c>
      <c r="E16" s="107" t="s">
        <v>5</v>
      </c>
      <c r="F16" s="108">
        <v>324074.51</v>
      </c>
      <c r="G16" s="108"/>
      <c r="H16" s="108">
        <f t="shared" si="2"/>
        <v>324074.51</v>
      </c>
      <c r="I16" s="108"/>
      <c r="J16" s="108">
        <f t="shared" si="3"/>
        <v>324074.51</v>
      </c>
      <c r="K16" s="110">
        <v>1</v>
      </c>
      <c r="L16" s="110"/>
      <c r="M16" s="108">
        <v>324074.51</v>
      </c>
      <c r="N16" s="108"/>
      <c r="O16" s="108"/>
      <c r="P16" s="108"/>
      <c r="Q16" s="111">
        <f t="shared" si="4"/>
        <v>324074.51</v>
      </c>
      <c r="R16" s="108"/>
      <c r="S16" s="113">
        <v>88581.91</v>
      </c>
      <c r="T16" s="113"/>
      <c r="U16" s="114"/>
      <c r="V16" s="114"/>
      <c r="W16" s="111">
        <f t="shared" si="5"/>
        <v>88581.91</v>
      </c>
      <c r="X16" s="111">
        <f t="shared" si="5"/>
        <v>88581.91</v>
      </c>
      <c r="Y16" s="114">
        <f t="shared" si="11"/>
        <v>88581.91</v>
      </c>
      <c r="Z16" s="114">
        <f t="shared" si="6"/>
        <v>0</v>
      </c>
      <c r="AA16" s="111">
        <f t="shared" si="7"/>
        <v>88581.91</v>
      </c>
      <c r="AB16" s="114">
        <f t="shared" si="8"/>
        <v>25674.43</v>
      </c>
      <c r="AC16" s="114">
        <f t="shared" si="12"/>
        <v>0</v>
      </c>
      <c r="AD16" s="131">
        <f t="shared" si="9"/>
        <v>25674.43</v>
      </c>
      <c r="AF16" s="40"/>
      <c r="AG16" s="41"/>
      <c r="AH16" s="42">
        <f t="shared" si="10"/>
        <v>0</v>
      </c>
    </row>
    <row r="17" spans="1:34" ht="42.75" customHeight="1" x14ac:dyDescent="0.25">
      <c r="A17" s="30" t="s">
        <v>240</v>
      </c>
      <c r="B17" s="130" t="s">
        <v>173</v>
      </c>
      <c r="C17" s="105" t="s">
        <v>22</v>
      </c>
      <c r="D17" s="106" t="s">
        <v>104</v>
      </c>
      <c r="E17" s="107" t="s">
        <v>6</v>
      </c>
      <c r="F17" s="108">
        <v>56844</v>
      </c>
      <c r="G17" s="108">
        <v>56844</v>
      </c>
      <c r="H17" s="108">
        <f t="shared" si="2"/>
        <v>113688</v>
      </c>
      <c r="I17" s="108"/>
      <c r="J17" s="108">
        <f t="shared" si="3"/>
        <v>113688</v>
      </c>
      <c r="K17" s="110">
        <v>1</v>
      </c>
      <c r="L17" s="110"/>
      <c r="M17" s="108">
        <v>103582.14</v>
      </c>
      <c r="N17" s="108"/>
      <c r="O17" s="108"/>
      <c r="P17" s="108"/>
      <c r="Q17" s="111">
        <f t="shared" si="4"/>
        <v>103582.14</v>
      </c>
      <c r="R17" s="108"/>
      <c r="S17" s="113">
        <v>31586.68</v>
      </c>
      <c r="T17" s="113"/>
      <c r="U17" s="114"/>
      <c r="V17" s="114"/>
      <c r="W17" s="111">
        <f t="shared" si="5"/>
        <v>31586.68</v>
      </c>
      <c r="X17" s="111">
        <f t="shared" si="5"/>
        <v>31586.68</v>
      </c>
      <c r="Y17" s="114">
        <f t="shared" si="11"/>
        <v>31586.68</v>
      </c>
      <c r="Z17" s="114">
        <f t="shared" si="6"/>
        <v>0</v>
      </c>
      <c r="AA17" s="111">
        <f t="shared" si="7"/>
        <v>31586.68</v>
      </c>
      <c r="AB17" s="114">
        <f t="shared" si="8"/>
        <v>9155.0300000000007</v>
      </c>
      <c r="AC17" s="114">
        <f t="shared" si="12"/>
        <v>0</v>
      </c>
      <c r="AD17" s="131">
        <f t="shared" si="9"/>
        <v>9155.0300000000007</v>
      </c>
      <c r="AF17" s="40"/>
      <c r="AG17" s="41"/>
      <c r="AH17" s="42">
        <f t="shared" si="10"/>
        <v>0</v>
      </c>
    </row>
    <row r="18" spans="1:34" ht="42.75" customHeight="1" x14ac:dyDescent="0.25">
      <c r="A18" s="30" t="s">
        <v>241</v>
      </c>
      <c r="B18" s="130" t="s">
        <v>174</v>
      </c>
      <c r="C18" s="105" t="s">
        <v>33</v>
      </c>
      <c r="D18" s="106" t="s">
        <v>99</v>
      </c>
      <c r="E18" s="107" t="s">
        <v>62</v>
      </c>
      <c r="F18" s="108">
        <v>248631.8</v>
      </c>
      <c r="G18" s="108"/>
      <c r="H18" s="108">
        <f t="shared" si="2"/>
        <v>248631.8</v>
      </c>
      <c r="I18" s="108"/>
      <c r="J18" s="108">
        <f t="shared" si="3"/>
        <v>248631.8</v>
      </c>
      <c r="K18" s="110">
        <v>1</v>
      </c>
      <c r="L18" s="110"/>
      <c r="M18" s="108">
        <v>248631.8</v>
      </c>
      <c r="N18" s="108"/>
      <c r="O18" s="108"/>
      <c r="P18" s="108"/>
      <c r="Q18" s="111">
        <f t="shared" si="4"/>
        <v>248631.8</v>
      </c>
      <c r="R18" s="108"/>
      <c r="S18" s="113">
        <v>100319.48</v>
      </c>
      <c r="T18" s="113"/>
      <c r="U18" s="114"/>
      <c r="V18" s="114"/>
      <c r="W18" s="111">
        <f t="shared" si="5"/>
        <v>100319.48</v>
      </c>
      <c r="X18" s="111">
        <f t="shared" si="5"/>
        <v>100319.48</v>
      </c>
      <c r="Y18" s="114">
        <f t="shared" si="11"/>
        <v>100319.48</v>
      </c>
      <c r="Z18" s="114">
        <f t="shared" si="6"/>
        <v>0</v>
      </c>
      <c r="AA18" s="111">
        <f t="shared" si="7"/>
        <v>100319.48</v>
      </c>
      <c r="AB18" s="114">
        <f t="shared" si="8"/>
        <v>29076.42</v>
      </c>
      <c r="AC18" s="114">
        <f t="shared" si="12"/>
        <v>0</v>
      </c>
      <c r="AD18" s="131">
        <f t="shared" si="9"/>
        <v>29076.42</v>
      </c>
      <c r="AF18" s="40"/>
      <c r="AG18" s="41"/>
      <c r="AH18" s="42">
        <f t="shared" si="10"/>
        <v>0</v>
      </c>
    </row>
    <row r="19" spans="1:34" ht="42.75" customHeight="1" x14ac:dyDescent="0.25">
      <c r="A19" s="30" t="s">
        <v>242</v>
      </c>
      <c r="B19" s="130" t="s">
        <v>175</v>
      </c>
      <c r="C19" s="105" t="s">
        <v>31</v>
      </c>
      <c r="D19" s="106" t="s">
        <v>96</v>
      </c>
      <c r="E19" s="107" t="s">
        <v>61</v>
      </c>
      <c r="F19" s="108">
        <v>389929</v>
      </c>
      <c r="G19" s="108"/>
      <c r="H19" s="108">
        <f t="shared" si="2"/>
        <v>389929</v>
      </c>
      <c r="I19" s="108"/>
      <c r="J19" s="108">
        <f t="shared" si="3"/>
        <v>389929</v>
      </c>
      <c r="K19" s="110">
        <v>1</v>
      </c>
      <c r="L19" s="110"/>
      <c r="M19" s="108">
        <v>389929</v>
      </c>
      <c r="N19" s="108"/>
      <c r="O19" s="108"/>
      <c r="P19" s="108"/>
      <c r="Q19" s="111">
        <f t="shared" si="4"/>
        <v>389929</v>
      </c>
      <c r="R19" s="108"/>
      <c r="S19" s="113">
        <v>131608.28</v>
      </c>
      <c r="T19" s="113"/>
      <c r="U19" s="114"/>
      <c r="V19" s="114"/>
      <c r="W19" s="111">
        <f t="shared" si="5"/>
        <v>131608.28</v>
      </c>
      <c r="X19" s="111">
        <f t="shared" si="5"/>
        <v>131608.28</v>
      </c>
      <c r="Y19" s="114">
        <f t="shared" si="11"/>
        <v>131608.28</v>
      </c>
      <c r="Z19" s="114">
        <f t="shared" si="6"/>
        <v>0</v>
      </c>
      <c r="AA19" s="111">
        <f t="shared" si="7"/>
        <v>131608.28</v>
      </c>
      <c r="AB19" s="114">
        <f t="shared" si="8"/>
        <v>38145.120000000003</v>
      </c>
      <c r="AC19" s="114">
        <f t="shared" si="12"/>
        <v>0</v>
      </c>
      <c r="AD19" s="131">
        <f t="shared" si="9"/>
        <v>38145.120000000003</v>
      </c>
      <c r="AF19" s="40"/>
      <c r="AG19" s="41"/>
      <c r="AH19" s="42">
        <f t="shared" si="10"/>
        <v>0</v>
      </c>
    </row>
    <row r="20" spans="1:34" ht="42.75" customHeight="1" x14ac:dyDescent="0.25">
      <c r="A20" s="30" t="s">
        <v>242</v>
      </c>
      <c r="B20" s="130" t="s">
        <v>176</v>
      </c>
      <c r="C20" s="105" t="s">
        <v>30</v>
      </c>
      <c r="D20" s="106" t="s">
        <v>98</v>
      </c>
      <c r="E20" s="107" t="s">
        <v>59</v>
      </c>
      <c r="F20" s="108">
        <v>374689</v>
      </c>
      <c r="G20" s="108"/>
      <c r="H20" s="108">
        <f t="shared" si="2"/>
        <v>374689</v>
      </c>
      <c r="I20" s="108"/>
      <c r="J20" s="108">
        <f t="shared" si="3"/>
        <v>374689</v>
      </c>
      <c r="K20" s="110">
        <v>1</v>
      </c>
      <c r="L20" s="110"/>
      <c r="M20" s="108">
        <v>374689</v>
      </c>
      <c r="N20" s="108"/>
      <c r="O20" s="108"/>
      <c r="P20" s="108"/>
      <c r="Q20" s="111">
        <f t="shared" si="4"/>
        <v>374689</v>
      </c>
      <c r="R20" s="108"/>
      <c r="S20" s="113">
        <v>126464.49</v>
      </c>
      <c r="T20" s="113"/>
      <c r="U20" s="114"/>
      <c r="V20" s="114"/>
      <c r="W20" s="111">
        <f t="shared" si="5"/>
        <v>126464.49</v>
      </c>
      <c r="X20" s="111">
        <f t="shared" si="5"/>
        <v>126464.49</v>
      </c>
      <c r="Y20" s="114">
        <f t="shared" si="11"/>
        <v>126464.49</v>
      </c>
      <c r="Z20" s="114">
        <f t="shared" si="6"/>
        <v>0</v>
      </c>
      <c r="AA20" s="111">
        <f t="shared" si="7"/>
        <v>126464.49</v>
      </c>
      <c r="AB20" s="114">
        <f t="shared" si="8"/>
        <v>36654.25</v>
      </c>
      <c r="AC20" s="114">
        <f t="shared" si="12"/>
        <v>0</v>
      </c>
      <c r="AD20" s="131">
        <f t="shared" si="9"/>
        <v>36654.25</v>
      </c>
      <c r="AF20" s="40"/>
      <c r="AG20" s="41"/>
      <c r="AH20" s="42">
        <f t="shared" si="10"/>
        <v>0</v>
      </c>
    </row>
    <row r="21" spans="1:34" ht="42.75" customHeight="1" x14ac:dyDescent="0.25">
      <c r="A21" s="30" t="s">
        <v>244</v>
      </c>
      <c r="B21" s="130" t="s">
        <v>177</v>
      </c>
      <c r="C21" s="105" t="s">
        <v>132</v>
      </c>
      <c r="D21" s="106" t="s">
        <v>133</v>
      </c>
      <c r="E21" s="107" t="s">
        <v>134</v>
      </c>
      <c r="F21" s="108">
        <v>144000</v>
      </c>
      <c r="G21" s="108"/>
      <c r="H21" s="108">
        <f t="shared" si="2"/>
        <v>144000</v>
      </c>
      <c r="I21" s="108"/>
      <c r="J21" s="108">
        <f t="shared" si="3"/>
        <v>144000</v>
      </c>
      <c r="K21" s="110">
        <v>1</v>
      </c>
      <c r="L21" s="110"/>
      <c r="M21" s="108">
        <v>18000</v>
      </c>
      <c r="N21" s="108"/>
      <c r="O21" s="108"/>
      <c r="P21" s="108"/>
      <c r="Q21" s="111">
        <f t="shared" si="4"/>
        <v>18000</v>
      </c>
      <c r="R21" s="108"/>
      <c r="S21" s="113">
        <v>5202.3</v>
      </c>
      <c r="T21" s="113"/>
      <c r="U21" s="114"/>
      <c r="V21" s="114"/>
      <c r="W21" s="111">
        <f t="shared" si="5"/>
        <v>5202.3</v>
      </c>
      <c r="X21" s="111">
        <f t="shared" si="5"/>
        <v>5202.3</v>
      </c>
      <c r="Y21" s="114">
        <f t="shared" si="11"/>
        <v>5202.3</v>
      </c>
      <c r="Z21" s="114"/>
      <c r="AA21" s="111">
        <f t="shared" si="7"/>
        <v>5202.3</v>
      </c>
      <c r="AB21" s="114">
        <f t="shared" si="8"/>
        <v>1507.83</v>
      </c>
      <c r="AC21" s="114">
        <f t="shared" si="12"/>
        <v>0</v>
      </c>
      <c r="AD21" s="131">
        <f t="shared" si="9"/>
        <v>1507.83</v>
      </c>
      <c r="AF21" s="40"/>
      <c r="AG21" s="41"/>
      <c r="AH21" s="42">
        <f t="shared" si="10"/>
        <v>0</v>
      </c>
    </row>
    <row r="22" spans="1:34" ht="42.75" customHeight="1" x14ac:dyDescent="0.25">
      <c r="A22" s="30" t="s">
        <v>245</v>
      </c>
      <c r="B22" s="130" t="s">
        <v>178</v>
      </c>
      <c r="C22" s="105" t="s">
        <v>140</v>
      </c>
      <c r="D22" s="106" t="s">
        <v>141</v>
      </c>
      <c r="E22" s="107" t="s">
        <v>142</v>
      </c>
      <c r="F22" s="108">
        <v>389975</v>
      </c>
      <c r="G22" s="115"/>
      <c r="H22" s="108">
        <f t="shared" si="2"/>
        <v>389975</v>
      </c>
      <c r="I22" s="300"/>
      <c r="J22" s="108">
        <f t="shared" si="3"/>
        <v>389975</v>
      </c>
      <c r="K22" s="110">
        <v>1</v>
      </c>
      <c r="L22" s="115"/>
      <c r="M22" s="108">
        <v>246651.72</v>
      </c>
      <c r="N22" s="115"/>
      <c r="O22" s="115"/>
      <c r="P22" s="115"/>
      <c r="Q22" s="111">
        <f t="shared" si="4"/>
        <v>246651.72</v>
      </c>
      <c r="R22" s="115"/>
      <c r="S22" s="113">
        <v>71286.62</v>
      </c>
      <c r="T22" s="113"/>
      <c r="U22" s="114"/>
      <c r="V22" s="114"/>
      <c r="W22" s="111">
        <f t="shared" si="5"/>
        <v>71286.62</v>
      </c>
      <c r="X22" s="111">
        <f t="shared" si="5"/>
        <v>71286.62</v>
      </c>
      <c r="Y22" s="114">
        <f t="shared" si="11"/>
        <v>71286.62</v>
      </c>
      <c r="Z22" s="114"/>
      <c r="AA22" s="111">
        <f t="shared" si="7"/>
        <v>71286.62</v>
      </c>
      <c r="AB22" s="114">
        <f t="shared" si="8"/>
        <v>20661.59</v>
      </c>
      <c r="AC22" s="114">
        <f t="shared" si="12"/>
        <v>0</v>
      </c>
      <c r="AD22" s="131">
        <f t="shared" si="9"/>
        <v>20661.59</v>
      </c>
      <c r="AF22" s="40"/>
      <c r="AG22" s="41"/>
      <c r="AH22" s="42">
        <f t="shared" si="10"/>
        <v>0</v>
      </c>
    </row>
    <row r="23" spans="1:34" ht="42.75" customHeight="1" x14ac:dyDescent="0.25">
      <c r="A23" s="30" t="s">
        <v>246</v>
      </c>
      <c r="B23" s="130" t="s">
        <v>179</v>
      </c>
      <c r="C23" s="116" t="s">
        <v>243</v>
      </c>
      <c r="D23" s="106"/>
      <c r="E23" s="107"/>
      <c r="F23" s="117">
        <v>100530</v>
      </c>
      <c r="G23" s="108"/>
      <c r="H23" s="108">
        <f>F23+G23</f>
        <v>100530</v>
      </c>
      <c r="I23" s="300"/>
      <c r="J23" s="108">
        <f>H23+I23</f>
        <v>100530</v>
      </c>
      <c r="K23" s="110">
        <v>1</v>
      </c>
      <c r="L23" s="110"/>
      <c r="M23" s="108">
        <v>13376</v>
      </c>
      <c r="N23" s="108"/>
      <c r="O23" s="108"/>
      <c r="P23" s="108"/>
      <c r="Q23" s="111">
        <f t="shared" si="4"/>
        <v>13376</v>
      </c>
      <c r="R23" s="108"/>
      <c r="S23" s="113">
        <v>3865.9</v>
      </c>
      <c r="T23" s="113"/>
      <c r="U23" s="118"/>
      <c r="V23" s="118"/>
      <c r="W23" s="111">
        <f t="shared" si="5"/>
        <v>3865.9</v>
      </c>
      <c r="X23" s="111">
        <f t="shared" si="5"/>
        <v>3865.9</v>
      </c>
      <c r="Y23" s="118">
        <f t="shared" si="11"/>
        <v>3865.9</v>
      </c>
      <c r="Z23" s="118">
        <f t="shared" ref="Z23:Z32" si="13">X23*L23</f>
        <v>0</v>
      </c>
      <c r="AA23" s="119">
        <f t="shared" si="7"/>
        <v>3865.9</v>
      </c>
      <c r="AB23" s="118">
        <f t="shared" si="8"/>
        <v>1120.49</v>
      </c>
      <c r="AC23" s="118">
        <f t="shared" si="12"/>
        <v>0</v>
      </c>
      <c r="AD23" s="133">
        <f t="shared" si="9"/>
        <v>1120.49</v>
      </c>
      <c r="AE23" s="57"/>
      <c r="AF23" s="54"/>
      <c r="AG23" s="55"/>
      <c r="AH23" s="56">
        <f t="shared" si="10"/>
        <v>0</v>
      </c>
    </row>
    <row r="24" spans="1:34" ht="42.75" customHeight="1" x14ac:dyDescent="0.25">
      <c r="A24" s="30" t="s">
        <v>247</v>
      </c>
      <c r="B24" s="130" t="s">
        <v>180</v>
      </c>
      <c r="C24" s="105" t="s">
        <v>29</v>
      </c>
      <c r="D24" s="106" t="s">
        <v>110</v>
      </c>
      <c r="E24" s="107" t="s">
        <v>56</v>
      </c>
      <c r="F24" s="108">
        <v>103500</v>
      </c>
      <c r="G24" s="108"/>
      <c r="H24" s="108">
        <f t="shared" ref="H24:H32" si="14">F24+G24</f>
        <v>103500</v>
      </c>
      <c r="I24" s="108"/>
      <c r="J24" s="108">
        <f>H24+I24</f>
        <v>103500</v>
      </c>
      <c r="K24" s="110">
        <v>1</v>
      </c>
      <c r="L24" s="110"/>
      <c r="M24" s="108">
        <v>103500</v>
      </c>
      <c r="N24" s="108"/>
      <c r="O24" s="108"/>
      <c r="P24" s="108"/>
      <c r="Q24" s="111">
        <f t="shared" si="4"/>
        <v>103500</v>
      </c>
      <c r="R24" s="108"/>
      <c r="S24" s="113">
        <v>27479.09</v>
      </c>
      <c r="T24" s="113"/>
      <c r="U24" s="114"/>
      <c r="V24" s="114"/>
      <c r="W24" s="111">
        <f t="shared" si="5"/>
        <v>27479.09</v>
      </c>
      <c r="X24" s="111">
        <f t="shared" si="5"/>
        <v>27479.09</v>
      </c>
      <c r="Y24" s="114">
        <f t="shared" si="11"/>
        <v>27479.09</v>
      </c>
      <c r="Z24" s="114">
        <f t="shared" si="13"/>
        <v>0</v>
      </c>
      <c r="AA24" s="111">
        <f t="shared" si="7"/>
        <v>27479.09</v>
      </c>
      <c r="AB24" s="114">
        <f t="shared" si="8"/>
        <v>7964.49</v>
      </c>
      <c r="AC24" s="114">
        <f t="shared" si="12"/>
        <v>0</v>
      </c>
      <c r="AD24" s="131">
        <f t="shared" si="9"/>
        <v>7964.49</v>
      </c>
      <c r="AF24" s="40"/>
      <c r="AG24" s="41"/>
      <c r="AH24" s="42">
        <f t="shared" si="10"/>
        <v>0</v>
      </c>
    </row>
    <row r="25" spans="1:34" ht="42.75" customHeight="1" x14ac:dyDescent="0.25">
      <c r="A25" s="30" t="s">
        <v>248</v>
      </c>
      <c r="B25" s="130" t="s">
        <v>181</v>
      </c>
      <c r="C25" s="105" t="s">
        <v>27</v>
      </c>
      <c r="D25" s="106" t="s">
        <v>109</v>
      </c>
      <c r="E25" s="107" t="s">
        <v>55</v>
      </c>
      <c r="F25" s="108">
        <v>194063</v>
      </c>
      <c r="G25" s="108"/>
      <c r="H25" s="108">
        <f t="shared" si="14"/>
        <v>194063</v>
      </c>
      <c r="I25" s="108"/>
      <c r="J25" s="108">
        <f>H25+I25</f>
        <v>194063</v>
      </c>
      <c r="K25" s="110">
        <v>1</v>
      </c>
      <c r="L25" s="110"/>
      <c r="M25" s="108">
        <v>194063</v>
      </c>
      <c r="N25" s="108"/>
      <c r="O25" s="108"/>
      <c r="P25" s="108"/>
      <c r="Q25" s="111">
        <f t="shared" si="4"/>
        <v>194063</v>
      </c>
      <c r="R25" s="108"/>
      <c r="S25" s="113">
        <v>51523.42</v>
      </c>
      <c r="T25" s="113"/>
      <c r="U25" s="114"/>
      <c r="V25" s="114"/>
      <c r="W25" s="111">
        <f t="shared" si="5"/>
        <v>51523.42</v>
      </c>
      <c r="X25" s="111">
        <f t="shared" si="5"/>
        <v>51523.42</v>
      </c>
      <c r="Y25" s="114">
        <f t="shared" si="11"/>
        <v>51523.42</v>
      </c>
      <c r="Z25" s="114">
        <f t="shared" si="13"/>
        <v>0</v>
      </c>
      <c r="AA25" s="111">
        <f t="shared" si="7"/>
        <v>51523.42</v>
      </c>
      <c r="AB25" s="114">
        <f t="shared" si="8"/>
        <v>14933.46</v>
      </c>
      <c r="AC25" s="114">
        <f t="shared" si="12"/>
        <v>0</v>
      </c>
      <c r="AD25" s="131">
        <f t="shared" si="9"/>
        <v>14933.46</v>
      </c>
      <c r="AF25" s="40"/>
      <c r="AG25" s="41"/>
      <c r="AH25" s="42">
        <f t="shared" si="10"/>
        <v>0</v>
      </c>
    </row>
    <row r="26" spans="1:34" ht="42.75" customHeight="1" x14ac:dyDescent="0.25">
      <c r="A26" s="30" t="s">
        <v>249</v>
      </c>
      <c r="B26" s="130" t="s">
        <v>182</v>
      </c>
      <c r="C26" s="105" t="s">
        <v>25</v>
      </c>
      <c r="D26" s="106" t="s">
        <v>107</v>
      </c>
      <c r="E26" s="107" t="s">
        <v>159</v>
      </c>
      <c r="F26" s="108">
        <v>77880</v>
      </c>
      <c r="G26" s="108"/>
      <c r="H26" s="108">
        <f t="shared" si="14"/>
        <v>77880</v>
      </c>
      <c r="I26" s="108"/>
      <c r="J26" s="108" t="e">
        <f>H26+#REF!</f>
        <v>#REF!</v>
      </c>
      <c r="K26" s="110">
        <v>1</v>
      </c>
      <c r="L26" s="110"/>
      <c r="M26" s="108">
        <v>77880</v>
      </c>
      <c r="N26" s="108"/>
      <c r="O26" s="108"/>
      <c r="P26" s="108"/>
      <c r="Q26" s="111">
        <f t="shared" si="4"/>
        <v>77880</v>
      </c>
      <c r="R26" s="108"/>
      <c r="S26" s="113">
        <v>20677.04</v>
      </c>
      <c r="T26" s="113"/>
      <c r="U26" s="114"/>
      <c r="V26" s="114"/>
      <c r="W26" s="111">
        <f t="shared" si="5"/>
        <v>20677.04</v>
      </c>
      <c r="X26" s="475">
        <f t="shared" si="5"/>
        <v>20677.04</v>
      </c>
      <c r="Y26" s="114">
        <f t="shared" si="11"/>
        <v>20677.04</v>
      </c>
      <c r="Z26" s="114">
        <f t="shared" si="13"/>
        <v>0</v>
      </c>
      <c r="AA26" s="111">
        <f t="shared" si="7"/>
        <v>20677.04</v>
      </c>
      <c r="AB26" s="471">
        <f t="shared" si="8"/>
        <v>5993</v>
      </c>
      <c r="AC26" s="114">
        <f t="shared" si="12"/>
        <v>0</v>
      </c>
      <c r="AD26" s="131">
        <f t="shared" si="9"/>
        <v>5993</v>
      </c>
      <c r="AF26" s="40"/>
      <c r="AG26" s="41"/>
      <c r="AH26" s="42">
        <f t="shared" si="10"/>
        <v>0</v>
      </c>
    </row>
    <row r="27" spans="1:34" ht="42.75" customHeight="1" x14ac:dyDescent="0.25">
      <c r="A27" s="30" t="s">
        <v>250</v>
      </c>
      <c r="B27" s="130" t="s">
        <v>183</v>
      </c>
      <c r="C27" s="105" t="s">
        <v>37</v>
      </c>
      <c r="D27" s="106" t="s">
        <v>116</v>
      </c>
      <c r="E27" s="107" t="s">
        <v>63</v>
      </c>
      <c r="F27" s="108">
        <v>45307.5</v>
      </c>
      <c r="G27" s="108"/>
      <c r="H27" s="108">
        <f t="shared" si="14"/>
        <v>45307.5</v>
      </c>
      <c r="I27" s="108"/>
      <c r="J27" s="108">
        <f t="shared" ref="J27:J32" si="15">H27+I26</f>
        <v>45307.5</v>
      </c>
      <c r="K27" s="110">
        <v>1</v>
      </c>
      <c r="L27" s="110"/>
      <c r="M27" s="108">
        <v>45307.5</v>
      </c>
      <c r="N27" s="108"/>
      <c r="O27" s="108"/>
      <c r="P27" s="108"/>
      <c r="Q27" s="111">
        <f t="shared" si="4"/>
        <v>45307.5</v>
      </c>
      <c r="R27" s="108"/>
      <c r="S27" s="113">
        <v>18280.95</v>
      </c>
      <c r="T27" s="113"/>
      <c r="U27" s="114"/>
      <c r="V27" s="114"/>
      <c r="W27" s="111">
        <f t="shared" si="5"/>
        <v>18280.95</v>
      </c>
      <c r="X27" s="111">
        <f t="shared" si="5"/>
        <v>18280.95</v>
      </c>
      <c r="Y27" s="114">
        <f t="shared" si="11"/>
        <v>18280.95</v>
      </c>
      <c r="Z27" s="114">
        <f t="shared" si="13"/>
        <v>0</v>
      </c>
      <c r="AA27" s="111">
        <f t="shared" si="7"/>
        <v>18280.95</v>
      </c>
      <c r="AB27" s="114">
        <f t="shared" si="8"/>
        <v>5298.52</v>
      </c>
      <c r="AC27" s="114">
        <f t="shared" si="12"/>
        <v>0</v>
      </c>
      <c r="AD27" s="131">
        <f t="shared" si="9"/>
        <v>5298.52</v>
      </c>
      <c r="AF27" s="40"/>
      <c r="AG27" s="41"/>
      <c r="AH27" s="42">
        <f t="shared" si="10"/>
        <v>0</v>
      </c>
    </row>
    <row r="28" spans="1:34" ht="42.75" customHeight="1" x14ac:dyDescent="0.25">
      <c r="A28" s="30" t="s">
        <v>251</v>
      </c>
      <c r="B28" s="130" t="s">
        <v>184</v>
      </c>
      <c r="C28" s="105" t="s">
        <v>155</v>
      </c>
      <c r="D28" s="106" t="s">
        <v>156</v>
      </c>
      <c r="E28" s="107" t="s">
        <v>160</v>
      </c>
      <c r="F28" s="108">
        <v>29900</v>
      </c>
      <c r="G28" s="108"/>
      <c r="H28" s="108">
        <f t="shared" si="14"/>
        <v>29900</v>
      </c>
      <c r="I28" s="108"/>
      <c r="J28" s="108">
        <f t="shared" si="15"/>
        <v>29900</v>
      </c>
      <c r="K28" s="110">
        <v>1</v>
      </c>
      <c r="L28" s="110"/>
      <c r="M28" s="108">
        <v>29900</v>
      </c>
      <c r="N28" s="108"/>
      <c r="O28" s="108"/>
      <c r="P28" s="108"/>
      <c r="Q28" s="111">
        <f t="shared" si="4"/>
        <v>29900</v>
      </c>
      <c r="R28" s="108"/>
      <c r="S28" s="113">
        <v>8641.6200000000008</v>
      </c>
      <c r="T28" s="113"/>
      <c r="U28" s="114"/>
      <c r="V28" s="114"/>
      <c r="W28" s="111">
        <f t="shared" si="5"/>
        <v>8641.6200000000008</v>
      </c>
      <c r="X28" s="475">
        <f t="shared" si="5"/>
        <v>8641.6200000000008</v>
      </c>
      <c r="Y28" s="114">
        <f t="shared" si="11"/>
        <v>8641.6200000000008</v>
      </c>
      <c r="Z28" s="114">
        <f t="shared" si="13"/>
        <v>0</v>
      </c>
      <c r="AA28" s="111">
        <f t="shared" si="7"/>
        <v>8641.6200000000008</v>
      </c>
      <c r="AB28" s="471">
        <f t="shared" si="8"/>
        <v>2504.67</v>
      </c>
      <c r="AC28" s="114">
        <f t="shared" si="12"/>
        <v>0</v>
      </c>
      <c r="AD28" s="131">
        <f t="shared" si="9"/>
        <v>2504.67</v>
      </c>
      <c r="AF28" s="40"/>
      <c r="AG28" s="41"/>
      <c r="AH28" s="42">
        <f t="shared" si="10"/>
        <v>0</v>
      </c>
    </row>
    <row r="29" spans="1:34" ht="42.75" customHeight="1" x14ac:dyDescent="0.25">
      <c r="A29" s="30" t="s">
        <v>251</v>
      </c>
      <c r="B29" s="130" t="s">
        <v>185</v>
      </c>
      <c r="C29" s="105" t="s">
        <v>157</v>
      </c>
      <c r="D29" s="106" t="s">
        <v>156</v>
      </c>
      <c r="E29" s="107"/>
      <c r="F29" s="108">
        <v>6600</v>
      </c>
      <c r="G29" s="108"/>
      <c r="H29" s="108">
        <f t="shared" si="14"/>
        <v>6600</v>
      </c>
      <c r="I29" s="108"/>
      <c r="J29" s="108">
        <f t="shared" si="15"/>
        <v>6600</v>
      </c>
      <c r="K29" s="110">
        <v>1</v>
      </c>
      <c r="L29" s="110"/>
      <c r="M29" s="108">
        <v>6600</v>
      </c>
      <c r="N29" s="108"/>
      <c r="O29" s="108"/>
      <c r="P29" s="108"/>
      <c r="Q29" s="111">
        <f t="shared" si="4"/>
        <v>6600</v>
      </c>
      <c r="R29" s="108"/>
      <c r="S29" s="113">
        <v>1907.52</v>
      </c>
      <c r="T29" s="113"/>
      <c r="U29" s="114"/>
      <c r="V29" s="114"/>
      <c r="W29" s="111">
        <f t="shared" si="5"/>
        <v>1907.52</v>
      </c>
      <c r="X29" s="475">
        <f t="shared" si="5"/>
        <v>1907.52</v>
      </c>
      <c r="Y29" s="114">
        <f t="shared" si="11"/>
        <v>1907.52</v>
      </c>
      <c r="Z29" s="114">
        <f t="shared" si="13"/>
        <v>0</v>
      </c>
      <c r="AA29" s="111">
        <f t="shared" si="7"/>
        <v>1907.52</v>
      </c>
      <c r="AB29" s="471">
        <f t="shared" si="8"/>
        <v>552.87</v>
      </c>
      <c r="AC29" s="114">
        <f t="shared" si="12"/>
        <v>0</v>
      </c>
      <c r="AD29" s="131">
        <f t="shared" si="9"/>
        <v>552.87</v>
      </c>
      <c r="AF29" s="40"/>
      <c r="AG29" s="41"/>
      <c r="AH29" s="42">
        <f t="shared" si="10"/>
        <v>0</v>
      </c>
    </row>
    <row r="30" spans="1:34" ht="42.75" customHeight="1" x14ac:dyDescent="0.25">
      <c r="A30" s="30" t="s">
        <v>252</v>
      </c>
      <c r="B30" s="130" t="s">
        <v>186</v>
      </c>
      <c r="C30" s="105" t="s">
        <v>35</v>
      </c>
      <c r="D30" s="106" t="s">
        <v>111</v>
      </c>
      <c r="E30" s="107" t="s">
        <v>60</v>
      </c>
      <c r="F30" s="108">
        <v>19794</v>
      </c>
      <c r="G30" s="108"/>
      <c r="H30" s="108">
        <f t="shared" si="14"/>
        <v>19794</v>
      </c>
      <c r="I30" s="108"/>
      <c r="J30" s="108">
        <f t="shared" si="15"/>
        <v>19794</v>
      </c>
      <c r="K30" s="110">
        <v>1</v>
      </c>
      <c r="L30" s="110"/>
      <c r="M30" s="108">
        <v>19794</v>
      </c>
      <c r="N30" s="108"/>
      <c r="O30" s="108"/>
      <c r="P30" s="108"/>
      <c r="Q30" s="111">
        <f t="shared" si="4"/>
        <v>19794</v>
      </c>
      <c r="R30" s="108"/>
      <c r="S30" s="113">
        <v>6680.84</v>
      </c>
      <c r="T30" s="113"/>
      <c r="U30" s="114"/>
      <c r="V30" s="114"/>
      <c r="W30" s="111">
        <f t="shared" si="5"/>
        <v>6680.84</v>
      </c>
      <c r="X30" s="111">
        <f t="shared" si="5"/>
        <v>6680.84</v>
      </c>
      <c r="Y30" s="114">
        <f t="shared" si="11"/>
        <v>6680.84</v>
      </c>
      <c r="Z30" s="114">
        <f t="shared" si="13"/>
        <v>0</v>
      </c>
      <c r="AA30" s="111">
        <f t="shared" si="7"/>
        <v>6680.84</v>
      </c>
      <c r="AB30" s="114">
        <f t="shared" si="8"/>
        <v>1936.36</v>
      </c>
      <c r="AC30" s="114">
        <f t="shared" si="12"/>
        <v>0</v>
      </c>
      <c r="AD30" s="131">
        <f t="shared" si="9"/>
        <v>1936.36</v>
      </c>
      <c r="AF30" s="40"/>
      <c r="AG30" s="41"/>
      <c r="AH30" s="42">
        <f t="shared" si="10"/>
        <v>0</v>
      </c>
    </row>
    <row r="31" spans="1:34" ht="42.75" customHeight="1" x14ac:dyDescent="0.25">
      <c r="A31" s="30" t="s">
        <v>253</v>
      </c>
      <c r="B31" s="130" t="s">
        <v>187</v>
      </c>
      <c r="C31" s="105" t="s">
        <v>42</v>
      </c>
      <c r="D31" s="106" t="s">
        <v>113</v>
      </c>
      <c r="E31" s="107" t="s">
        <v>68</v>
      </c>
      <c r="F31" s="108">
        <v>72420</v>
      </c>
      <c r="G31" s="108"/>
      <c r="H31" s="108">
        <f t="shared" si="14"/>
        <v>72420</v>
      </c>
      <c r="I31" s="108"/>
      <c r="J31" s="108">
        <f t="shared" si="15"/>
        <v>72420</v>
      </c>
      <c r="K31" s="110"/>
      <c r="L31" s="110">
        <v>1</v>
      </c>
      <c r="M31" s="108"/>
      <c r="N31" s="108"/>
      <c r="O31" s="108">
        <v>72420</v>
      </c>
      <c r="P31" s="108"/>
      <c r="Q31" s="111">
        <f t="shared" si="4"/>
        <v>72420</v>
      </c>
      <c r="R31" s="108"/>
      <c r="S31" s="114"/>
      <c r="T31" s="114"/>
      <c r="U31" s="113">
        <v>30907.78</v>
      </c>
      <c r="V31" s="113"/>
      <c r="W31" s="111">
        <f t="shared" si="5"/>
        <v>30907.78</v>
      </c>
      <c r="X31" s="111">
        <f t="shared" si="5"/>
        <v>61815.56</v>
      </c>
      <c r="Y31" s="114">
        <f t="shared" si="11"/>
        <v>0</v>
      </c>
      <c r="Z31" s="114">
        <f t="shared" si="13"/>
        <v>61815.56</v>
      </c>
      <c r="AA31" s="111">
        <f t="shared" si="7"/>
        <v>61815.56</v>
      </c>
      <c r="AB31" s="114">
        <f t="shared" si="8"/>
        <v>0</v>
      </c>
      <c r="AC31" s="114">
        <f t="shared" si="12"/>
        <v>17916.509999999998</v>
      </c>
      <c r="AD31" s="131">
        <f t="shared" si="9"/>
        <v>17916.509999999998</v>
      </c>
      <c r="AF31" s="40"/>
      <c r="AG31" s="41"/>
      <c r="AH31" s="42">
        <f t="shared" si="10"/>
        <v>0</v>
      </c>
    </row>
    <row r="32" spans="1:34" ht="42.75" customHeight="1" x14ac:dyDescent="0.25">
      <c r="A32" s="30" t="s">
        <v>253</v>
      </c>
      <c r="B32" s="130" t="s">
        <v>188</v>
      </c>
      <c r="C32" s="105" t="s">
        <v>41</v>
      </c>
      <c r="D32" s="106" t="s">
        <v>112</v>
      </c>
      <c r="E32" s="107" t="s">
        <v>68</v>
      </c>
      <c r="F32" s="108">
        <v>51300</v>
      </c>
      <c r="G32" s="108"/>
      <c r="H32" s="108">
        <f t="shared" si="14"/>
        <v>51300</v>
      </c>
      <c r="I32" s="108"/>
      <c r="J32" s="108">
        <f t="shared" si="15"/>
        <v>51300</v>
      </c>
      <c r="K32" s="110"/>
      <c r="L32" s="110">
        <v>1</v>
      </c>
      <c r="M32" s="108"/>
      <c r="N32" s="108"/>
      <c r="O32" s="108">
        <v>51300</v>
      </c>
      <c r="P32" s="108"/>
      <c r="Q32" s="111">
        <f t="shared" si="4"/>
        <v>51300</v>
      </c>
      <c r="R32" s="108"/>
      <c r="S32" s="114"/>
      <c r="T32" s="114"/>
      <c r="U32" s="113">
        <v>21894.07</v>
      </c>
      <c r="V32" s="113"/>
      <c r="W32" s="111">
        <f t="shared" si="5"/>
        <v>21894.07</v>
      </c>
      <c r="X32" s="111">
        <f t="shared" si="5"/>
        <v>43788.14</v>
      </c>
      <c r="Y32" s="118">
        <f t="shared" si="11"/>
        <v>0</v>
      </c>
      <c r="Z32" s="118">
        <f t="shared" si="13"/>
        <v>43788.14</v>
      </c>
      <c r="AA32" s="119">
        <f t="shared" si="7"/>
        <v>43788.14</v>
      </c>
      <c r="AB32" s="118">
        <f t="shared" si="8"/>
        <v>0</v>
      </c>
      <c r="AC32" s="118">
        <f t="shared" si="12"/>
        <v>12691.48</v>
      </c>
      <c r="AD32" s="133">
        <f t="shared" si="9"/>
        <v>12691.48</v>
      </c>
      <c r="AF32" s="190"/>
      <c r="AG32" s="180"/>
      <c r="AH32" s="181">
        <f t="shared" si="10"/>
        <v>0</v>
      </c>
    </row>
    <row r="33" spans="1:34" ht="42.75" customHeight="1" x14ac:dyDescent="0.25">
      <c r="A33" s="178" t="s">
        <v>254</v>
      </c>
      <c r="B33" s="179" t="s">
        <v>264</v>
      </c>
      <c r="C33" s="105"/>
      <c r="D33" s="106"/>
      <c r="E33" s="107"/>
      <c r="F33" s="108"/>
      <c r="G33" s="108"/>
      <c r="H33" s="108"/>
      <c r="I33" s="108"/>
      <c r="J33" s="108"/>
      <c r="K33" s="110">
        <v>1</v>
      </c>
      <c r="L33" s="110">
        <v>0</v>
      </c>
      <c r="M33" s="108"/>
      <c r="N33" s="108"/>
      <c r="O33" s="108"/>
      <c r="P33" s="108"/>
      <c r="Q33" s="111"/>
      <c r="R33" s="108"/>
      <c r="S33" s="114"/>
      <c r="T33" s="114"/>
      <c r="U33" s="113"/>
      <c r="V33" s="113"/>
      <c r="W33" s="113"/>
      <c r="X33" s="191">
        <f>AH33*$AE$2*1000</f>
        <v>279121.18000000005</v>
      </c>
      <c r="Y33" s="118">
        <f t="shared" ref="Y33:Y43" si="16">X33*K33</f>
        <v>279121.18000000005</v>
      </c>
      <c r="Z33" s="118">
        <f t="shared" ref="Z33:Z43" si="17">X33*L33</f>
        <v>0</v>
      </c>
      <c r="AA33" s="119">
        <f t="shared" ref="AA33:AA43" si="18">Y33+Z33</f>
        <v>279121.18000000005</v>
      </c>
      <c r="AB33" s="118">
        <f t="shared" ref="AB33:AB43" si="19">ROUND(Y33/$AE$2,2)</f>
        <v>80900</v>
      </c>
      <c r="AC33" s="118">
        <f t="shared" ref="AC33:AC43" si="20">ROUND(Z33/$AE$2,2)</f>
        <v>0</v>
      </c>
      <c r="AD33" s="133">
        <f t="shared" ref="AD33:AD43" si="21">AB33+AC33</f>
        <v>80900</v>
      </c>
      <c r="AF33" s="182">
        <f>AH33*K33</f>
        <v>80.900000000000006</v>
      </c>
      <c r="AG33" s="182">
        <f>AH33*L33</f>
        <v>0</v>
      </c>
      <c r="AH33" s="183">
        <v>80.900000000000006</v>
      </c>
    </row>
    <row r="34" spans="1:34" ht="42.75" customHeight="1" x14ac:dyDescent="0.25">
      <c r="A34" s="178" t="s">
        <v>255</v>
      </c>
      <c r="B34" s="179" t="s">
        <v>265</v>
      </c>
      <c r="C34" s="105"/>
      <c r="D34" s="106"/>
      <c r="E34" s="107"/>
      <c r="F34" s="108"/>
      <c r="G34" s="108"/>
      <c r="H34" s="108"/>
      <c r="I34" s="108"/>
      <c r="J34" s="108"/>
      <c r="K34" s="110">
        <v>1</v>
      </c>
      <c r="L34" s="110">
        <v>0</v>
      </c>
      <c r="M34" s="108"/>
      <c r="N34" s="108"/>
      <c r="O34" s="108"/>
      <c r="P34" s="108"/>
      <c r="Q34" s="111"/>
      <c r="R34" s="108"/>
      <c r="S34" s="114"/>
      <c r="T34" s="114"/>
      <c r="U34" s="113"/>
      <c r="V34" s="113"/>
      <c r="W34" s="113"/>
      <c r="X34" s="191">
        <f t="shared" ref="X34:X43" si="22">AH34*$AE$2*1000</f>
        <v>621036</v>
      </c>
      <c r="Y34" s="118">
        <f t="shared" si="16"/>
        <v>621036</v>
      </c>
      <c r="Z34" s="118">
        <f t="shared" si="17"/>
        <v>0</v>
      </c>
      <c r="AA34" s="119">
        <f t="shared" si="18"/>
        <v>621036</v>
      </c>
      <c r="AB34" s="118">
        <f t="shared" si="19"/>
        <v>180000</v>
      </c>
      <c r="AC34" s="118">
        <f t="shared" si="20"/>
        <v>0</v>
      </c>
      <c r="AD34" s="133">
        <f t="shared" si="21"/>
        <v>180000</v>
      </c>
      <c r="AF34" s="184">
        <f t="shared" ref="AF34:AF43" si="23">AH34*K34</f>
        <v>180</v>
      </c>
      <c r="AG34" s="185">
        <f t="shared" ref="AG34:AG43" si="24">AH34*L34</f>
        <v>0</v>
      </c>
      <c r="AH34" s="186">
        <v>180</v>
      </c>
    </row>
    <row r="35" spans="1:34" ht="42.75" customHeight="1" x14ac:dyDescent="0.25">
      <c r="A35" s="178" t="s">
        <v>256</v>
      </c>
      <c r="B35" s="179" t="s">
        <v>266</v>
      </c>
      <c r="C35" s="105"/>
      <c r="D35" s="106"/>
      <c r="E35" s="107"/>
      <c r="F35" s="108"/>
      <c r="G35" s="108"/>
      <c r="H35" s="108"/>
      <c r="I35" s="108"/>
      <c r="J35" s="108"/>
      <c r="K35" s="110">
        <v>1</v>
      </c>
      <c r="L35" s="110">
        <v>0</v>
      </c>
      <c r="M35" s="108"/>
      <c r="N35" s="108"/>
      <c r="O35" s="108"/>
      <c r="P35" s="108"/>
      <c r="Q35" s="111"/>
      <c r="R35" s="108"/>
      <c r="S35" s="114"/>
      <c r="T35" s="114"/>
      <c r="U35" s="113"/>
      <c r="V35" s="113"/>
      <c r="W35" s="113"/>
      <c r="X35" s="191">
        <f t="shared" si="22"/>
        <v>362465.44768786133</v>
      </c>
      <c r="Y35" s="118">
        <f t="shared" si="16"/>
        <v>362465.44768786133</v>
      </c>
      <c r="Z35" s="118">
        <f t="shared" si="17"/>
        <v>0</v>
      </c>
      <c r="AA35" s="119">
        <f t="shared" si="18"/>
        <v>362465.44768786133</v>
      </c>
      <c r="AB35" s="118">
        <f t="shared" si="19"/>
        <v>105056.36</v>
      </c>
      <c r="AC35" s="118">
        <f t="shared" si="20"/>
        <v>0</v>
      </c>
      <c r="AD35" s="133">
        <f t="shared" si="21"/>
        <v>105056.36</v>
      </c>
      <c r="AF35" s="184">
        <f t="shared" si="23"/>
        <v>105.0563583815029</v>
      </c>
      <c r="AG35" s="185">
        <f t="shared" si="24"/>
        <v>0</v>
      </c>
      <c r="AH35" s="186">
        <v>105.0563583815029</v>
      </c>
    </row>
    <row r="36" spans="1:34" ht="42.75" customHeight="1" x14ac:dyDescent="0.25">
      <c r="A36" s="178" t="s">
        <v>257</v>
      </c>
      <c r="B36" s="179" t="s">
        <v>267</v>
      </c>
      <c r="C36" s="105"/>
      <c r="D36" s="106"/>
      <c r="E36" s="107"/>
      <c r="F36" s="108"/>
      <c r="G36" s="108"/>
      <c r="H36" s="108"/>
      <c r="I36"/>
      <c r="J36" s="108"/>
      <c r="K36" s="110">
        <v>1</v>
      </c>
      <c r="L36" s="110">
        <v>0</v>
      </c>
      <c r="M36" s="108"/>
      <c r="N36" s="108"/>
      <c r="O36" s="108"/>
      <c r="P36" s="108"/>
      <c r="Q36" s="111"/>
      <c r="R36" s="108"/>
      <c r="S36" s="114"/>
      <c r="T36" s="114"/>
      <c r="U36" s="113"/>
      <c r="V36" s="113"/>
      <c r="W36" s="113"/>
      <c r="X36" s="191">
        <f t="shared" si="22"/>
        <v>512872.23000000004</v>
      </c>
      <c r="Y36" s="118">
        <f t="shared" si="16"/>
        <v>512872.23000000004</v>
      </c>
      <c r="Z36" s="118">
        <f t="shared" si="17"/>
        <v>0</v>
      </c>
      <c r="AA36" s="119">
        <f t="shared" si="18"/>
        <v>512872.23000000004</v>
      </c>
      <c r="AB36" s="118">
        <f t="shared" si="19"/>
        <v>148650</v>
      </c>
      <c r="AC36" s="118">
        <f t="shared" si="20"/>
        <v>0</v>
      </c>
      <c r="AD36" s="133">
        <f t="shared" si="21"/>
        <v>148650</v>
      </c>
      <c r="AF36" s="184">
        <f t="shared" si="23"/>
        <v>148.65</v>
      </c>
      <c r="AG36" s="185">
        <f t="shared" si="24"/>
        <v>0</v>
      </c>
      <c r="AH36" s="186">
        <v>148.65</v>
      </c>
    </row>
    <row r="37" spans="1:34" ht="42.75" customHeight="1" x14ac:dyDescent="0.25">
      <c r="A37" s="178" t="s">
        <v>258</v>
      </c>
      <c r="B37" s="179" t="s">
        <v>268</v>
      </c>
      <c r="C37" s="105"/>
      <c r="D37" s="106"/>
      <c r="E37" s="107"/>
      <c r="F37" s="108"/>
      <c r="G37" s="108"/>
      <c r="H37" s="108"/>
      <c r="I37" s="108"/>
      <c r="J37" s="108"/>
      <c r="K37" s="110">
        <v>1</v>
      </c>
      <c r="L37" s="110">
        <v>0</v>
      </c>
      <c r="M37" s="108"/>
      <c r="N37" s="108"/>
      <c r="O37" s="108"/>
      <c r="P37" s="108"/>
      <c r="Q37" s="111"/>
      <c r="R37" s="108"/>
      <c r="S37" s="114"/>
      <c r="T37" s="114"/>
      <c r="U37" s="113"/>
      <c r="V37" s="113"/>
      <c r="W37" s="113"/>
      <c r="X37" s="191">
        <f t="shared" si="22"/>
        <v>586534</v>
      </c>
      <c r="Y37" s="118">
        <f t="shared" si="16"/>
        <v>586534</v>
      </c>
      <c r="Z37" s="118">
        <f t="shared" si="17"/>
        <v>0</v>
      </c>
      <c r="AA37" s="119">
        <f t="shared" si="18"/>
        <v>586534</v>
      </c>
      <c r="AB37" s="118">
        <f t="shared" si="19"/>
        <v>170000</v>
      </c>
      <c r="AC37" s="118">
        <f t="shared" si="20"/>
        <v>0</v>
      </c>
      <c r="AD37" s="133">
        <f t="shared" si="21"/>
        <v>170000</v>
      </c>
      <c r="AF37" s="184">
        <f t="shared" si="23"/>
        <v>170</v>
      </c>
      <c r="AG37" s="185">
        <f t="shared" si="24"/>
        <v>0</v>
      </c>
      <c r="AH37" s="186">
        <v>170</v>
      </c>
    </row>
    <row r="38" spans="1:34" ht="42.75" customHeight="1" x14ac:dyDescent="0.25">
      <c r="A38" s="178" t="s">
        <v>259</v>
      </c>
      <c r="B38" s="179" t="s">
        <v>269</v>
      </c>
      <c r="C38" s="105"/>
      <c r="D38" s="106"/>
      <c r="E38" s="107"/>
      <c r="F38" s="108"/>
      <c r="G38" s="108"/>
      <c r="H38" s="108"/>
      <c r="I38" s="108"/>
      <c r="J38" s="108"/>
      <c r="K38" s="110">
        <v>1</v>
      </c>
      <c r="L38" s="110">
        <v>0</v>
      </c>
      <c r="M38" s="108"/>
      <c r="N38" s="108"/>
      <c r="O38" s="108"/>
      <c r="P38" s="108"/>
      <c r="Q38" s="111"/>
      <c r="R38" s="108"/>
      <c r="S38" s="114"/>
      <c r="T38" s="114"/>
      <c r="U38" s="113"/>
      <c r="V38" s="113"/>
      <c r="W38" s="113"/>
      <c r="X38" s="191">
        <f t="shared" si="22"/>
        <v>345020.00000000006</v>
      </c>
      <c r="Y38" s="118">
        <f t="shared" si="16"/>
        <v>345020.00000000006</v>
      </c>
      <c r="Z38" s="118">
        <f t="shared" si="17"/>
        <v>0</v>
      </c>
      <c r="AA38" s="119">
        <f t="shared" si="18"/>
        <v>345020.00000000006</v>
      </c>
      <c r="AB38" s="118">
        <f t="shared" si="19"/>
        <v>100000</v>
      </c>
      <c r="AC38" s="118">
        <f t="shared" si="20"/>
        <v>0</v>
      </c>
      <c r="AD38" s="133">
        <f t="shared" si="21"/>
        <v>100000</v>
      </c>
      <c r="AF38" s="184">
        <f t="shared" si="23"/>
        <v>100</v>
      </c>
      <c r="AG38" s="185">
        <f t="shared" si="24"/>
        <v>0</v>
      </c>
      <c r="AH38" s="186">
        <v>100</v>
      </c>
    </row>
    <row r="39" spans="1:34" ht="42.75" customHeight="1" x14ac:dyDescent="0.25">
      <c r="A39" s="178" t="s">
        <v>260</v>
      </c>
      <c r="B39" s="179" t="s">
        <v>270</v>
      </c>
      <c r="C39" s="105"/>
      <c r="D39" s="106"/>
      <c r="E39" s="107"/>
      <c r="F39" s="108"/>
      <c r="G39" s="108"/>
      <c r="H39" s="108"/>
      <c r="I39" s="108"/>
      <c r="J39" s="108"/>
      <c r="K39" s="110">
        <v>1</v>
      </c>
      <c r="L39" s="110">
        <v>0</v>
      </c>
      <c r="M39" s="108"/>
      <c r="N39" s="108"/>
      <c r="O39" s="108"/>
      <c r="P39" s="108"/>
      <c r="Q39" s="111"/>
      <c r="R39" s="108"/>
      <c r="S39" s="114"/>
      <c r="T39" s="114"/>
      <c r="U39" s="113"/>
      <c r="V39" s="113"/>
      <c r="W39" s="113"/>
      <c r="X39" s="191">
        <f t="shared" si="22"/>
        <v>103506</v>
      </c>
      <c r="Y39" s="118">
        <f t="shared" si="16"/>
        <v>103506</v>
      </c>
      <c r="Z39" s="118">
        <f t="shared" si="17"/>
        <v>0</v>
      </c>
      <c r="AA39" s="119">
        <f t="shared" si="18"/>
        <v>103506</v>
      </c>
      <c r="AB39" s="118">
        <f t="shared" si="19"/>
        <v>30000</v>
      </c>
      <c r="AC39" s="118">
        <f t="shared" si="20"/>
        <v>0</v>
      </c>
      <c r="AD39" s="133">
        <f t="shared" si="21"/>
        <v>30000</v>
      </c>
      <c r="AF39" s="184">
        <f t="shared" si="23"/>
        <v>30</v>
      </c>
      <c r="AG39" s="185">
        <f t="shared" si="24"/>
        <v>0</v>
      </c>
      <c r="AH39" s="186">
        <v>30</v>
      </c>
    </row>
    <row r="40" spans="1:34" ht="42.75" customHeight="1" x14ac:dyDescent="0.25">
      <c r="A40" s="178" t="s">
        <v>261</v>
      </c>
      <c r="B40" s="179" t="s">
        <v>271</v>
      </c>
      <c r="C40" s="105"/>
      <c r="D40" s="106"/>
      <c r="E40" s="107"/>
      <c r="F40" s="108"/>
      <c r="G40" s="108"/>
      <c r="H40" s="108"/>
      <c r="I40" s="108"/>
      <c r="J40" s="108"/>
      <c r="K40" s="110">
        <v>1</v>
      </c>
      <c r="L40" s="110">
        <v>0</v>
      </c>
      <c r="M40" s="108"/>
      <c r="N40" s="108"/>
      <c r="O40" s="108"/>
      <c r="P40" s="108"/>
      <c r="Q40" s="111"/>
      <c r="R40" s="108"/>
      <c r="S40" s="114"/>
      <c r="T40" s="114"/>
      <c r="U40" s="113"/>
      <c r="V40" s="113"/>
      <c r="W40" s="113"/>
      <c r="X40" s="191">
        <f t="shared" si="22"/>
        <v>790095.8</v>
      </c>
      <c r="Y40" s="118">
        <f t="shared" si="16"/>
        <v>790095.8</v>
      </c>
      <c r="Z40" s="118">
        <f t="shared" si="17"/>
        <v>0</v>
      </c>
      <c r="AA40" s="119">
        <f t="shared" si="18"/>
        <v>790095.8</v>
      </c>
      <c r="AB40" s="118">
        <f t="shared" si="19"/>
        <v>229000</v>
      </c>
      <c r="AC40" s="118">
        <f t="shared" si="20"/>
        <v>0</v>
      </c>
      <c r="AD40" s="133">
        <f t="shared" si="21"/>
        <v>229000</v>
      </c>
      <c r="AF40" s="184">
        <f t="shared" si="23"/>
        <v>229</v>
      </c>
      <c r="AG40" s="185">
        <f t="shared" si="24"/>
        <v>0</v>
      </c>
      <c r="AH40" s="186">
        <v>229</v>
      </c>
    </row>
    <row r="41" spans="1:34" ht="42.75" customHeight="1" x14ac:dyDescent="0.25">
      <c r="A41" s="178" t="s">
        <v>262</v>
      </c>
      <c r="B41" s="179" t="s">
        <v>272</v>
      </c>
      <c r="C41" s="105"/>
      <c r="D41" s="106"/>
      <c r="E41" s="107"/>
      <c r="F41" s="108"/>
      <c r="G41" s="108"/>
      <c r="H41" s="108"/>
      <c r="I41" s="108"/>
      <c r="J41" s="108"/>
      <c r="K41" s="110">
        <v>0</v>
      </c>
      <c r="L41" s="110">
        <v>1</v>
      </c>
      <c r="M41" s="108"/>
      <c r="N41" s="108"/>
      <c r="O41" s="108"/>
      <c r="P41" s="108"/>
      <c r="Q41" s="111"/>
      <c r="R41" s="108"/>
      <c r="S41" s="114"/>
      <c r="T41" s="114"/>
      <c r="U41" s="113"/>
      <c r="V41" s="113"/>
      <c r="W41" s="113"/>
      <c r="X41" s="191">
        <f t="shared" si="22"/>
        <v>276016</v>
      </c>
      <c r="Y41" s="118">
        <f t="shared" si="16"/>
        <v>0</v>
      </c>
      <c r="Z41" s="118">
        <f t="shared" si="17"/>
        <v>276016</v>
      </c>
      <c r="AA41" s="119">
        <f t="shared" si="18"/>
        <v>276016</v>
      </c>
      <c r="AB41" s="118">
        <f t="shared" si="19"/>
        <v>0</v>
      </c>
      <c r="AC41" s="118">
        <f t="shared" si="20"/>
        <v>80000</v>
      </c>
      <c r="AD41" s="133">
        <f t="shared" si="21"/>
        <v>80000</v>
      </c>
      <c r="AF41" s="184">
        <f t="shared" si="23"/>
        <v>0</v>
      </c>
      <c r="AG41" s="185">
        <f t="shared" si="24"/>
        <v>80</v>
      </c>
      <c r="AH41" s="186">
        <v>80</v>
      </c>
    </row>
    <row r="42" spans="1:34" ht="42.75" customHeight="1" x14ac:dyDescent="0.25">
      <c r="A42" s="178" t="s">
        <v>231</v>
      </c>
      <c r="B42" s="179" t="s">
        <v>272</v>
      </c>
      <c r="C42" s="105"/>
      <c r="D42" s="106"/>
      <c r="E42" s="107"/>
      <c r="F42" s="108"/>
      <c r="G42" s="108"/>
      <c r="H42" s="108"/>
      <c r="I42" s="108"/>
      <c r="J42" s="108"/>
      <c r="K42" s="110">
        <v>0</v>
      </c>
      <c r="L42" s="110">
        <v>1</v>
      </c>
      <c r="M42" s="108"/>
      <c r="N42" s="108"/>
      <c r="O42" s="108"/>
      <c r="P42" s="108"/>
      <c r="Q42" s="111"/>
      <c r="R42" s="108"/>
      <c r="S42" s="114"/>
      <c r="T42" s="114"/>
      <c r="U42" s="113"/>
      <c r="V42" s="113"/>
      <c r="W42" s="113"/>
      <c r="X42" s="191">
        <f t="shared" si="22"/>
        <v>121502.55371799998</v>
      </c>
      <c r="Y42" s="118">
        <f t="shared" si="16"/>
        <v>0</v>
      </c>
      <c r="Z42" s="118">
        <f t="shared" si="17"/>
        <v>121502.55371799998</v>
      </c>
      <c r="AA42" s="119">
        <f t="shared" si="18"/>
        <v>121502.55371799998</v>
      </c>
      <c r="AB42" s="118">
        <f t="shared" si="19"/>
        <v>0</v>
      </c>
      <c r="AC42" s="118">
        <f t="shared" si="20"/>
        <v>35216.089999999997</v>
      </c>
      <c r="AD42" s="133">
        <f t="shared" si="21"/>
        <v>35216.089999999997</v>
      </c>
      <c r="AF42" s="184">
        <f t="shared" si="23"/>
        <v>0</v>
      </c>
      <c r="AG42" s="185">
        <f t="shared" si="24"/>
        <v>35.216089999999994</v>
      </c>
      <c r="AH42" s="186">
        <v>35.216089999999994</v>
      </c>
    </row>
    <row r="43" spans="1:34" ht="42.75" customHeight="1" thickBot="1" x14ac:dyDescent="0.3">
      <c r="A43" s="178" t="s">
        <v>263</v>
      </c>
      <c r="B43" s="179" t="s">
        <v>459</v>
      </c>
      <c r="C43" s="248">
        <f>200000-AB26-AB28-AB29-AB88</f>
        <v>190920.56</v>
      </c>
      <c r="D43" s="106"/>
      <c r="E43" s="107"/>
      <c r="F43" s="108"/>
      <c r="G43" s="108"/>
      <c r="H43" s="108"/>
      <c r="I43" s="108"/>
      <c r="J43" s="108"/>
      <c r="K43" s="110">
        <v>0</v>
      </c>
      <c r="L43" s="110">
        <v>1</v>
      </c>
      <c r="M43" s="108"/>
      <c r="N43" s="108"/>
      <c r="O43" s="108"/>
      <c r="P43" s="108"/>
      <c r="Q43" s="111"/>
      <c r="R43" s="108"/>
      <c r="S43" s="114"/>
      <c r="T43" s="114"/>
      <c r="U43" s="113"/>
      <c r="V43" s="113"/>
      <c r="W43" s="113"/>
      <c r="X43" s="191">
        <f t="shared" si="22"/>
        <v>2609044.3346854979</v>
      </c>
      <c r="Y43" s="118">
        <f t="shared" si="16"/>
        <v>0</v>
      </c>
      <c r="Z43" s="118">
        <f t="shared" si="17"/>
        <v>2609044.3346854979</v>
      </c>
      <c r="AA43" s="119">
        <f t="shared" si="18"/>
        <v>2609044.3346854979</v>
      </c>
      <c r="AB43" s="118">
        <f t="shared" si="19"/>
        <v>0</v>
      </c>
      <c r="AC43" s="118">
        <f t="shared" si="20"/>
        <v>756200.9</v>
      </c>
      <c r="AD43" s="133">
        <f t="shared" si="21"/>
        <v>756200.9</v>
      </c>
      <c r="AF43" s="187">
        <f t="shared" si="23"/>
        <v>0</v>
      </c>
      <c r="AG43" s="188">
        <f t="shared" si="24"/>
        <v>756.20089695829176</v>
      </c>
      <c r="AH43" s="189">
        <v>756.20089695829176</v>
      </c>
    </row>
    <row r="44" spans="1:34" ht="39" customHeight="1" thickBot="1" x14ac:dyDescent="0.3">
      <c r="B44" s="91" t="s">
        <v>193</v>
      </c>
      <c r="C44" s="92"/>
      <c r="D44" s="92"/>
      <c r="E44" s="93"/>
      <c r="F44" s="89">
        <f>SUM(F45:F46)</f>
        <v>22140762.329999987</v>
      </c>
      <c r="G44" s="89">
        <f>SUM(G45:G46)</f>
        <v>48164529.25</v>
      </c>
      <c r="H44" s="89">
        <f>SUM(H45:H46)</f>
        <v>70305291.579999983</v>
      </c>
      <c r="I44" s="94"/>
      <c r="J44" s="89">
        <f>SUM(J45:J46)</f>
        <v>82693893.439999983</v>
      </c>
      <c r="K44" s="95"/>
      <c r="L44" s="95"/>
      <c r="M44" s="89">
        <f>SUM(M45:M46)</f>
        <v>14320668.879999992</v>
      </c>
      <c r="N44" s="89">
        <f>SUM(N45:N46)</f>
        <v>1695666.15</v>
      </c>
      <c r="O44" s="89">
        <f>SUM(O45:O46)</f>
        <v>43306166.25</v>
      </c>
      <c r="P44" s="89">
        <f>SUM(P45:P46)</f>
        <v>7347353.5399999972</v>
      </c>
      <c r="Q44" s="89">
        <f>SUM(Q45:Q46)</f>
        <v>66669854.819999993</v>
      </c>
      <c r="R44" s="96"/>
      <c r="S44" s="89">
        <f>SUM(S45:S46)</f>
        <v>6946981.0599999996</v>
      </c>
      <c r="T44" s="89">
        <f>SUM(T45:T46)</f>
        <v>825960.18999999983</v>
      </c>
      <c r="U44" s="89">
        <f>SUM(U45:U46)</f>
        <v>15432049.82</v>
      </c>
      <c r="V44" s="89">
        <f>SUM(V45:V46)</f>
        <v>2447784.2700000005</v>
      </c>
      <c r="W44" s="89">
        <f>SUM(W45:W46)</f>
        <v>25652775.340000004</v>
      </c>
      <c r="X44" s="89">
        <f>SUM(X45:X50)</f>
        <v>78722225.606561929</v>
      </c>
      <c r="Y44" s="89">
        <f t="shared" ref="Y44:AD44" si="25">SUM(Y45:Y50)</f>
        <v>31202981.637830734</v>
      </c>
      <c r="Z44" s="89">
        <f t="shared" si="25"/>
        <v>47519243.968731202</v>
      </c>
      <c r="AA44" s="89">
        <f t="shared" si="25"/>
        <v>78722225.606561929</v>
      </c>
      <c r="AB44" s="89">
        <f t="shared" si="25"/>
        <v>9043818.2200000007</v>
      </c>
      <c r="AC44" s="89">
        <f t="shared" si="25"/>
        <v>13772895.48</v>
      </c>
      <c r="AD44" s="89">
        <f t="shared" si="25"/>
        <v>22816713.699999999</v>
      </c>
      <c r="AF44" s="89">
        <f>SUM(AF45:AF50)</f>
        <v>9043.8182244016971</v>
      </c>
      <c r="AG44" s="89">
        <f>SUM(AG45:AG50)</f>
        <v>916.08438604463299</v>
      </c>
      <c r="AH44" s="89">
        <f>SUM(AH45:AH50)</f>
        <v>5625.4721317370022</v>
      </c>
    </row>
    <row r="45" spans="1:34" ht="30" x14ac:dyDescent="0.25">
      <c r="A45" s="30" t="s">
        <v>273</v>
      </c>
      <c r="B45" s="144" t="s">
        <v>191</v>
      </c>
      <c r="C45" s="121" t="s">
        <v>69</v>
      </c>
      <c r="D45" s="122" t="s">
        <v>72</v>
      </c>
      <c r="E45" s="123" t="s">
        <v>70</v>
      </c>
      <c r="F45" s="124">
        <v>18023667.989999983</v>
      </c>
      <c r="G45" s="124">
        <v>27785957.800000001</v>
      </c>
      <c r="H45" s="124">
        <f>F45+G45</f>
        <v>45809625.789999984</v>
      </c>
      <c r="I45" s="124">
        <f>5111172.73+2317130.96</f>
        <v>7428303.6900000004</v>
      </c>
      <c r="J45" s="124">
        <f>H45+I45</f>
        <v>53237929.479999982</v>
      </c>
      <c r="K45" s="126">
        <v>0.3</v>
      </c>
      <c r="L45" s="126">
        <v>0.7</v>
      </c>
      <c r="M45" s="124">
        <v>11203288.549999991</v>
      </c>
      <c r="N45" s="124">
        <v>1234993.97</v>
      </c>
      <c r="O45" s="124">
        <v>26088844.019999992</v>
      </c>
      <c r="P45" s="124">
        <v>3876178.7599999988</v>
      </c>
      <c r="Q45" s="127">
        <f>M45+N45+O45+P45</f>
        <v>42403305.299999982</v>
      </c>
      <c r="R45" s="124"/>
      <c r="S45" s="145">
        <f>6026186.47-T45</f>
        <v>5425119.9199999999</v>
      </c>
      <c r="T45" s="146">
        <v>601066.54999999981</v>
      </c>
      <c r="U45" s="147">
        <v>9450935.040000001</v>
      </c>
      <c r="V45" s="146">
        <v>1294800.8200000005</v>
      </c>
      <c r="W45" s="127">
        <f>S45+T45+U45+V45</f>
        <v>16771922.330000002</v>
      </c>
      <c r="X45" s="127">
        <f>T45+U45+V45+W45</f>
        <v>28118724.740000002</v>
      </c>
      <c r="Y45" s="128"/>
      <c r="Z45" s="128">
        <f>X45</f>
        <v>28118724.740000002</v>
      </c>
      <c r="AA45" s="127">
        <f t="shared" ref="AA45:AA50" si="26">Y45+Z45</f>
        <v>28118724.740000002</v>
      </c>
      <c r="AB45" s="128">
        <f t="shared" ref="AB45:AC50" si="27">ROUND(Y45/$AE$2,2)</f>
        <v>0</v>
      </c>
      <c r="AC45" s="128">
        <f t="shared" si="27"/>
        <v>8149882.54</v>
      </c>
      <c r="AD45" s="129">
        <f t="shared" ref="AD45:AD50" si="28">AB45+AC45</f>
        <v>8149882.54</v>
      </c>
      <c r="AF45" s="40"/>
      <c r="AG45" s="41"/>
      <c r="AH45" s="42">
        <f>AF45+AG45</f>
        <v>0</v>
      </c>
    </row>
    <row r="46" spans="1:34" ht="30" x14ac:dyDescent="0.25">
      <c r="A46" s="30" t="s">
        <v>274</v>
      </c>
      <c r="B46" s="149" t="s">
        <v>192</v>
      </c>
      <c r="C46" s="105" t="s">
        <v>71</v>
      </c>
      <c r="D46" s="106" t="s">
        <v>73</v>
      </c>
      <c r="E46" s="107" t="s">
        <v>70</v>
      </c>
      <c r="F46" s="108">
        <v>4117094.3400000036</v>
      </c>
      <c r="G46" s="108">
        <v>20378571.449999999</v>
      </c>
      <c r="H46" s="108">
        <f>F46+G46</f>
        <v>24495665.790000003</v>
      </c>
      <c r="I46" s="108">
        <f>3931846.96+1028451.21</f>
        <v>4960298.17</v>
      </c>
      <c r="J46" s="108">
        <f>H46+I46</f>
        <v>29455963.960000001</v>
      </c>
      <c r="K46" s="110">
        <v>0.18</v>
      </c>
      <c r="L46" s="110">
        <v>0.82</v>
      </c>
      <c r="M46" s="108">
        <v>3117380.3299999996</v>
      </c>
      <c r="N46" s="108">
        <v>460672.18000000005</v>
      </c>
      <c r="O46" s="108">
        <v>17217322.230000012</v>
      </c>
      <c r="P46" s="108">
        <v>3471174.7799999984</v>
      </c>
      <c r="Q46" s="111">
        <f>M46+N46+O46+P46</f>
        <v>24266549.520000007</v>
      </c>
      <c r="R46" s="108"/>
      <c r="S46" s="113">
        <f>1746754.78-T46</f>
        <v>1521861.14</v>
      </c>
      <c r="T46" s="151">
        <v>224893.64000000004</v>
      </c>
      <c r="U46" s="113">
        <v>5981114.7800000003</v>
      </c>
      <c r="V46" s="151">
        <v>1152983.4499999997</v>
      </c>
      <c r="W46" s="111">
        <f>S46+T46+U46+V46</f>
        <v>8880853.0099999998</v>
      </c>
      <c r="X46" s="111">
        <f>T46+U46+V46+W46</f>
        <v>16239844.879999999</v>
      </c>
      <c r="Y46" s="114"/>
      <c r="Z46" s="114">
        <f>X46</f>
        <v>16239844.879999999</v>
      </c>
      <c r="AA46" s="111">
        <f t="shared" si="26"/>
        <v>16239844.879999999</v>
      </c>
      <c r="AB46" s="114">
        <f t="shared" si="27"/>
        <v>0</v>
      </c>
      <c r="AC46" s="114">
        <f t="shared" si="27"/>
        <v>4706928.55</v>
      </c>
      <c r="AD46" s="131">
        <f t="shared" si="28"/>
        <v>4706928.55</v>
      </c>
      <c r="AF46" s="40"/>
      <c r="AG46" s="41"/>
      <c r="AH46" s="42">
        <f>AF46+AG46</f>
        <v>0</v>
      </c>
    </row>
    <row r="47" spans="1:34" ht="90" x14ac:dyDescent="0.25">
      <c r="A47" s="178" t="s">
        <v>275</v>
      </c>
      <c r="B47" s="154" t="s">
        <v>279</v>
      </c>
      <c r="C47" s="105"/>
      <c r="D47" s="106"/>
      <c r="E47" s="107"/>
      <c r="F47" s="108"/>
      <c r="G47" s="108"/>
      <c r="H47" s="108"/>
      <c r="I47" s="108"/>
      <c r="J47" s="108"/>
      <c r="K47" s="110">
        <v>0.9</v>
      </c>
      <c r="L47" s="110">
        <v>0.1</v>
      </c>
      <c r="M47" s="108"/>
      <c r="N47" s="108"/>
      <c r="O47" s="108"/>
      <c r="P47" s="108"/>
      <c r="Q47" s="111"/>
      <c r="R47" s="108"/>
      <c r="S47" s="113"/>
      <c r="T47" s="151"/>
      <c r="U47" s="192"/>
      <c r="V47" s="151"/>
      <c r="W47" s="111"/>
      <c r="X47" s="191">
        <f>AH47*$AE$2*1000</f>
        <v>19858770.069675859</v>
      </c>
      <c r="Y47" s="118">
        <f>X47*K47</f>
        <v>17872893.062708274</v>
      </c>
      <c r="Z47" s="118">
        <f>X47*L47</f>
        <v>1985877.006967586</v>
      </c>
      <c r="AA47" s="119">
        <f t="shared" si="26"/>
        <v>19858770.069675859</v>
      </c>
      <c r="AB47" s="118">
        <f t="shared" si="27"/>
        <v>5180248.41</v>
      </c>
      <c r="AC47" s="118">
        <f t="shared" si="27"/>
        <v>575583.16</v>
      </c>
      <c r="AD47" s="133">
        <f t="shared" si="28"/>
        <v>5755831.5700000003</v>
      </c>
      <c r="AF47" s="54">
        <f>K47*AH47</f>
        <v>5180.2484095728569</v>
      </c>
      <c r="AG47" s="55">
        <f>L47*AH47</f>
        <v>575.58315661920631</v>
      </c>
      <c r="AH47" s="56">
        <v>5755.8315661920633</v>
      </c>
    </row>
    <row r="48" spans="1:34" ht="270" x14ac:dyDescent="0.25">
      <c r="A48" s="178" t="s">
        <v>276</v>
      </c>
      <c r="B48" s="154" t="s">
        <v>280</v>
      </c>
      <c r="C48" s="105"/>
      <c r="D48" s="106"/>
      <c r="E48" s="107"/>
      <c r="F48" s="108"/>
      <c r="G48" s="108"/>
      <c r="H48" s="108"/>
      <c r="I48" s="108"/>
      <c r="J48" s="108"/>
      <c r="K48" s="110">
        <v>0.9</v>
      </c>
      <c r="L48" s="110">
        <v>0.1</v>
      </c>
      <c r="M48" s="108"/>
      <c r="N48" s="108"/>
      <c r="O48" s="108"/>
      <c r="P48" s="108"/>
      <c r="Q48" s="111"/>
      <c r="R48" s="108"/>
      <c r="S48" s="113"/>
      <c r="T48" s="151"/>
      <c r="U48" s="192"/>
      <c r="V48" s="151"/>
      <c r="W48" s="111"/>
      <c r="X48" s="191">
        <f>AH48*$AE$2*1000</f>
        <v>11747973.417636069</v>
      </c>
      <c r="Y48" s="118">
        <f>X48*K48</f>
        <v>10573176.075872462</v>
      </c>
      <c r="Z48" s="118">
        <f>X48*L48</f>
        <v>1174797.341763607</v>
      </c>
      <c r="AA48" s="119">
        <f t="shared" si="26"/>
        <v>11747973.417636069</v>
      </c>
      <c r="AB48" s="118">
        <f t="shared" si="27"/>
        <v>3064511.06</v>
      </c>
      <c r="AC48" s="118">
        <f t="shared" si="27"/>
        <v>340501.23</v>
      </c>
      <c r="AD48" s="133">
        <f t="shared" si="28"/>
        <v>3405012.29</v>
      </c>
      <c r="AF48" s="54">
        <f>K48*AH48</f>
        <v>3064.5110648288396</v>
      </c>
      <c r="AG48" s="55">
        <f>L48*AH48</f>
        <v>340.50122942542663</v>
      </c>
      <c r="AH48" s="56">
        <v>3405.0122942542662</v>
      </c>
    </row>
    <row r="49" spans="1:34" ht="90" x14ac:dyDescent="0.25">
      <c r="A49" s="178" t="s">
        <v>277</v>
      </c>
      <c r="B49" s="154" t="s">
        <v>281</v>
      </c>
      <c r="C49" s="105"/>
      <c r="D49" s="106"/>
      <c r="E49" s="107"/>
      <c r="F49" s="108"/>
      <c r="G49" s="108"/>
      <c r="H49" s="108"/>
      <c r="I49" s="108"/>
      <c r="J49" s="108"/>
      <c r="K49" s="110">
        <v>1</v>
      </c>
      <c r="L49" s="110">
        <v>0</v>
      </c>
      <c r="M49" s="108"/>
      <c r="N49" s="108"/>
      <c r="O49" s="108"/>
      <c r="P49" s="108"/>
      <c r="Q49" s="111"/>
      <c r="R49" s="108"/>
      <c r="S49" s="113"/>
      <c r="T49" s="151"/>
      <c r="U49" s="192"/>
      <c r="V49" s="151"/>
      <c r="W49" s="111"/>
      <c r="X49" s="191">
        <f>AH49*$AE$2*1000</f>
        <v>2756912.4992500003</v>
      </c>
      <c r="Y49" s="118">
        <f>X49*K49</f>
        <v>2756912.4992500003</v>
      </c>
      <c r="Z49" s="118">
        <f>X49*L49</f>
        <v>0</v>
      </c>
      <c r="AA49" s="119">
        <f t="shared" si="26"/>
        <v>2756912.4992500003</v>
      </c>
      <c r="AB49" s="118">
        <f t="shared" si="27"/>
        <v>799058.75</v>
      </c>
      <c r="AC49" s="118">
        <f t="shared" si="27"/>
        <v>0</v>
      </c>
      <c r="AD49" s="133">
        <f t="shared" si="28"/>
        <v>799058.75</v>
      </c>
      <c r="AF49" s="54">
        <f>K49*AH49</f>
        <v>799.05875000000003</v>
      </c>
      <c r="AG49" s="55">
        <f>L49*AH49</f>
        <v>0</v>
      </c>
      <c r="AH49" s="56">
        <v>799.05875000000003</v>
      </c>
    </row>
    <row r="50" spans="1:34" ht="45.75" thickBot="1" x14ac:dyDescent="0.3">
      <c r="A50" s="178" t="s">
        <v>278</v>
      </c>
      <c r="B50" s="154" t="s">
        <v>460</v>
      </c>
      <c r="C50" s="134"/>
      <c r="D50" s="135"/>
      <c r="E50" s="136"/>
      <c r="F50" s="137"/>
      <c r="G50" s="137"/>
      <c r="H50" s="137"/>
      <c r="I50" s="137"/>
      <c r="J50" s="137"/>
      <c r="K50" s="139"/>
      <c r="L50" s="139"/>
      <c r="M50" s="137"/>
      <c r="N50" s="137"/>
      <c r="O50" s="137"/>
      <c r="P50" s="137"/>
      <c r="Q50" s="140"/>
      <c r="R50" s="137"/>
      <c r="S50" s="142"/>
      <c r="T50" s="148"/>
      <c r="U50" s="193"/>
      <c r="V50" s="148"/>
      <c r="W50" s="140"/>
      <c r="X50" s="191"/>
      <c r="Y50" s="118">
        <f>X50*K50</f>
        <v>0</v>
      </c>
      <c r="Z50" s="118">
        <f>X50*L50</f>
        <v>0</v>
      </c>
      <c r="AA50" s="119">
        <f t="shared" si="26"/>
        <v>0</v>
      </c>
      <c r="AB50" s="118">
        <f t="shared" si="27"/>
        <v>0</v>
      </c>
      <c r="AC50" s="118">
        <f t="shared" si="27"/>
        <v>0</v>
      </c>
      <c r="AD50" s="133">
        <f t="shared" si="28"/>
        <v>0</v>
      </c>
      <c r="AF50" s="54">
        <f>K50*AH50</f>
        <v>0</v>
      </c>
      <c r="AG50" s="55">
        <f>L50*AH50</f>
        <v>0</v>
      </c>
      <c r="AH50" s="56">
        <v>-4334.4304787093279</v>
      </c>
    </row>
    <row r="51" spans="1:34" ht="39" customHeight="1" thickBot="1" x14ac:dyDescent="0.3">
      <c r="B51" s="91" t="s">
        <v>198</v>
      </c>
      <c r="C51" s="92"/>
      <c r="D51" s="92"/>
      <c r="E51" s="93"/>
      <c r="F51" s="89">
        <f>SUM(F52:F55)</f>
        <v>4648254.0600000005</v>
      </c>
      <c r="G51" s="89">
        <f>SUM(G52:G55)</f>
        <v>0</v>
      </c>
      <c r="H51" s="89">
        <f>SUM(H52:H55)</f>
        <v>4648254.0600000005</v>
      </c>
      <c r="I51" s="302"/>
      <c r="J51" s="89">
        <f>SUM(J52:J55)</f>
        <v>4648254.0600000005</v>
      </c>
      <c r="K51" s="95"/>
      <c r="L51" s="95"/>
      <c r="M51" s="89">
        <f>SUM(M52:M55)</f>
        <v>4025615.3099999996</v>
      </c>
      <c r="N51" s="89">
        <f>SUM(N52:N55)</f>
        <v>399960.33999999991</v>
      </c>
      <c r="O51" s="89">
        <f>SUM(O52:O55)</f>
        <v>66591.98</v>
      </c>
      <c r="P51" s="89">
        <f>SUM(P52:P55)</f>
        <v>0</v>
      </c>
      <c r="Q51" s="89">
        <f>SUM(Q52:Q55)</f>
        <v>4492167.6300000008</v>
      </c>
      <c r="R51" s="96"/>
      <c r="S51" s="89">
        <f>SUM(S52:S55)</f>
        <v>1907826.03</v>
      </c>
      <c r="T51" s="89">
        <f>SUM(T52:T55)</f>
        <v>195255.01000000004</v>
      </c>
      <c r="U51" s="89">
        <f>SUM(U52:U55)</f>
        <v>23066.11</v>
      </c>
      <c r="V51" s="89">
        <f>SUM(V52:V55)</f>
        <v>0</v>
      </c>
      <c r="W51" s="89">
        <f>SUM(W52:W55)</f>
        <v>2126147.15</v>
      </c>
      <c r="X51" s="89">
        <f>SUM(X52:X65)</f>
        <v>24680072.934994373</v>
      </c>
      <c r="Y51" s="89">
        <f t="shared" ref="Y51:AD51" si="29">SUM(Y52:Y65)</f>
        <v>24633940.714994375</v>
      </c>
      <c r="Z51" s="89">
        <f t="shared" si="29"/>
        <v>46132.22</v>
      </c>
      <c r="AA51" s="89">
        <f t="shared" si="29"/>
        <v>24680072.934994373</v>
      </c>
      <c r="AB51" s="89">
        <f t="shared" si="29"/>
        <v>7139858.7700000005</v>
      </c>
      <c r="AC51" s="89">
        <f t="shared" si="29"/>
        <v>13370.88</v>
      </c>
      <c r="AD51" s="89">
        <f t="shared" si="29"/>
        <v>7153229.6500000004</v>
      </c>
      <c r="AF51" s="89">
        <f>SUM(AF52:AF65)</f>
        <v>6473.7130209826601</v>
      </c>
      <c r="AG51" s="89">
        <f>SUM(AG52:AG65)</f>
        <v>0</v>
      </c>
      <c r="AH51" s="89">
        <f>SUM(AH52:AH65)</f>
        <v>6473.7130209826601</v>
      </c>
    </row>
    <row r="52" spans="1:34" ht="39" customHeight="1" x14ac:dyDescent="0.25">
      <c r="A52" s="30" t="s">
        <v>282</v>
      </c>
      <c r="B52" s="144" t="s">
        <v>194</v>
      </c>
      <c r="C52" s="121" t="s">
        <v>78</v>
      </c>
      <c r="D52" s="122" t="s">
        <v>79</v>
      </c>
      <c r="E52" s="123" t="s">
        <v>80</v>
      </c>
      <c r="F52" s="124">
        <f>3781255.58+399960.34</f>
        <v>4181215.92</v>
      </c>
      <c r="G52" s="124"/>
      <c r="H52" s="124">
        <f>F52+G52</f>
        <v>4181215.92</v>
      </c>
      <c r="I52" s="124"/>
      <c r="J52" s="124">
        <f>H52+I52</f>
        <v>4181215.92</v>
      </c>
      <c r="K52" s="126">
        <v>1</v>
      </c>
      <c r="L52" s="126"/>
      <c r="M52" s="124">
        <v>3781255.5799999996</v>
      </c>
      <c r="N52" s="124">
        <v>399960.33999999991</v>
      </c>
      <c r="O52" s="124"/>
      <c r="P52" s="124"/>
      <c r="Q52" s="127">
        <f t="shared" si="4"/>
        <v>4181215.9199999995</v>
      </c>
      <c r="R52" s="124"/>
      <c r="S52" s="145">
        <f>2020342.67-T52</f>
        <v>1825087.66</v>
      </c>
      <c r="T52" s="146">
        <v>195255.01000000004</v>
      </c>
      <c r="U52" s="128"/>
      <c r="V52" s="128"/>
      <c r="W52" s="127">
        <f>S52+T52+U52+V52</f>
        <v>2020342.67</v>
      </c>
      <c r="X52" s="127">
        <f>T52+U52+V52+W52</f>
        <v>2215597.6800000002</v>
      </c>
      <c r="Y52" s="128">
        <f>X52*K52</f>
        <v>2215597.6800000002</v>
      </c>
      <c r="Z52" s="128">
        <f>X52*L52</f>
        <v>0</v>
      </c>
      <c r="AA52" s="127">
        <f>Y52+Z52</f>
        <v>2215597.6800000002</v>
      </c>
      <c r="AB52" s="128">
        <f t="shared" ref="AB52:AC55" si="30">ROUND(Y52/$AE$2,2)</f>
        <v>642165</v>
      </c>
      <c r="AC52" s="128">
        <f t="shared" si="30"/>
        <v>0</v>
      </c>
      <c r="AD52" s="129">
        <f>AB52+AC52</f>
        <v>642165</v>
      </c>
      <c r="AF52" s="40"/>
      <c r="AG52" s="41"/>
      <c r="AH52" s="42">
        <f>AF52+AG52</f>
        <v>0</v>
      </c>
    </row>
    <row r="53" spans="1:34" ht="41.25" customHeight="1" x14ac:dyDescent="0.25">
      <c r="A53" s="30" t="s">
        <v>283</v>
      </c>
      <c r="B53" s="149" t="s">
        <v>195</v>
      </c>
      <c r="C53" s="105" t="s">
        <v>28</v>
      </c>
      <c r="D53" s="106" t="s">
        <v>158</v>
      </c>
      <c r="E53" s="107" t="s">
        <v>2</v>
      </c>
      <c r="F53" s="108">
        <v>34800</v>
      </c>
      <c r="G53" s="108"/>
      <c r="H53" s="108">
        <f>F53+G53</f>
        <v>34800</v>
      </c>
      <c r="I53" s="108"/>
      <c r="J53" s="108">
        <f>H53+I53</f>
        <v>34800</v>
      </c>
      <c r="K53" s="110">
        <v>1</v>
      </c>
      <c r="L53" s="110"/>
      <c r="M53" s="108">
        <v>34800</v>
      </c>
      <c r="N53" s="108"/>
      <c r="O53" s="108"/>
      <c r="P53" s="108"/>
      <c r="Q53" s="111">
        <f t="shared" si="4"/>
        <v>34800</v>
      </c>
      <c r="R53" s="108"/>
      <c r="S53" s="113">
        <v>9239.35</v>
      </c>
      <c r="T53" s="113"/>
      <c r="U53" s="114"/>
      <c r="V53" s="114"/>
      <c r="W53" s="111">
        <f t="shared" ref="W53:X55" si="31">S53+T53+U53+V53</f>
        <v>9239.35</v>
      </c>
      <c r="X53" s="111">
        <f t="shared" si="31"/>
        <v>9239.35</v>
      </c>
      <c r="Y53" s="114">
        <f>X53*K53</f>
        <v>9239.35</v>
      </c>
      <c r="Z53" s="114">
        <f>X53*L53</f>
        <v>0</v>
      </c>
      <c r="AA53" s="111">
        <f>Y53+Z53</f>
        <v>9239.35</v>
      </c>
      <c r="AB53" s="114">
        <f t="shared" si="30"/>
        <v>2677.92</v>
      </c>
      <c r="AC53" s="114">
        <f t="shared" si="30"/>
        <v>0</v>
      </c>
      <c r="AD53" s="131">
        <f>AB53+AC53</f>
        <v>2677.92</v>
      </c>
      <c r="AF53" s="40"/>
      <c r="AG53" s="41"/>
      <c r="AH53" s="42">
        <f>AF53+AG53</f>
        <v>0</v>
      </c>
    </row>
    <row r="54" spans="1:34" ht="40.5" customHeight="1" x14ac:dyDescent="0.25">
      <c r="A54" s="30" t="s">
        <v>284</v>
      </c>
      <c r="B54" s="149" t="s">
        <v>196</v>
      </c>
      <c r="C54" s="105" t="s">
        <v>36</v>
      </c>
      <c r="D54" s="106" t="s">
        <v>115</v>
      </c>
      <c r="E54" s="107" t="s">
        <v>65</v>
      </c>
      <c r="F54" s="108">
        <v>66591.98</v>
      </c>
      <c r="G54" s="108"/>
      <c r="H54" s="108">
        <f>F54+G54</f>
        <v>66591.98</v>
      </c>
      <c r="I54" s="108"/>
      <c r="J54" s="108">
        <f>H54+I54</f>
        <v>66591.98</v>
      </c>
      <c r="K54" s="110"/>
      <c r="L54" s="110">
        <v>1</v>
      </c>
      <c r="M54" s="108"/>
      <c r="N54" s="108"/>
      <c r="O54" s="108">
        <v>66591.98</v>
      </c>
      <c r="P54" s="108"/>
      <c r="Q54" s="111">
        <f t="shared" si="4"/>
        <v>66591.98</v>
      </c>
      <c r="R54" s="108"/>
      <c r="S54" s="114"/>
      <c r="T54" s="114"/>
      <c r="U54" s="113">
        <v>23066.11</v>
      </c>
      <c r="V54" s="113"/>
      <c r="W54" s="111">
        <f t="shared" si="31"/>
        <v>23066.11</v>
      </c>
      <c r="X54" s="111">
        <f t="shared" si="31"/>
        <v>46132.22</v>
      </c>
      <c r="Y54" s="114">
        <f>X54*K54</f>
        <v>0</v>
      </c>
      <c r="Z54" s="114">
        <f>X54*L54</f>
        <v>46132.22</v>
      </c>
      <c r="AA54" s="111">
        <f>Y54+Z54</f>
        <v>46132.22</v>
      </c>
      <c r="AB54" s="114">
        <f t="shared" si="30"/>
        <v>0</v>
      </c>
      <c r="AC54" s="114">
        <f t="shared" si="30"/>
        <v>13370.88</v>
      </c>
      <c r="AD54" s="131">
        <f>AB54+AC54</f>
        <v>13370.88</v>
      </c>
      <c r="AF54" s="40"/>
      <c r="AG54" s="41"/>
      <c r="AH54" s="42">
        <f>AF54+AG54</f>
        <v>0</v>
      </c>
    </row>
    <row r="55" spans="1:34" ht="41.25" customHeight="1" x14ac:dyDescent="0.25">
      <c r="A55" s="30" t="s">
        <v>285</v>
      </c>
      <c r="B55" s="149" t="s">
        <v>197</v>
      </c>
      <c r="C55" s="105" t="s">
        <v>34</v>
      </c>
      <c r="D55" s="106" t="s">
        <v>138</v>
      </c>
      <c r="E55" s="107" t="s">
        <v>139</v>
      </c>
      <c r="F55" s="108">
        <v>365646.16</v>
      </c>
      <c r="G55" s="108"/>
      <c r="H55" s="108">
        <f>F55+G55</f>
        <v>365646.16</v>
      </c>
      <c r="I55" s="108"/>
      <c r="J55" s="108">
        <f>H55+I55</f>
        <v>365646.16</v>
      </c>
      <c r="K55" s="110">
        <v>1</v>
      </c>
      <c r="L55" s="110"/>
      <c r="M55" s="108">
        <v>209559.73</v>
      </c>
      <c r="N55" s="108"/>
      <c r="O55" s="108"/>
      <c r="P55" s="108"/>
      <c r="Q55" s="111">
        <f t="shared" si="4"/>
        <v>209559.73</v>
      </c>
      <c r="R55" s="108"/>
      <c r="S55" s="113">
        <v>73499.02</v>
      </c>
      <c r="T55" s="113"/>
      <c r="U55" s="114"/>
      <c r="V55" s="114"/>
      <c r="W55" s="111">
        <f t="shared" si="31"/>
        <v>73499.02</v>
      </c>
      <c r="X55" s="111">
        <f t="shared" si="31"/>
        <v>73499.02</v>
      </c>
      <c r="Y55" s="114">
        <f>X55*K55</f>
        <v>73499.02</v>
      </c>
      <c r="Z55" s="114">
        <f>X55*L55</f>
        <v>0</v>
      </c>
      <c r="AA55" s="111">
        <f>Y55+Z55</f>
        <v>73499.02</v>
      </c>
      <c r="AB55" s="114">
        <f t="shared" si="30"/>
        <v>21302.83</v>
      </c>
      <c r="AC55" s="114">
        <f t="shared" si="30"/>
        <v>0</v>
      </c>
      <c r="AD55" s="131">
        <f>AB55+AC55</f>
        <v>21302.83</v>
      </c>
      <c r="AF55" s="40"/>
      <c r="AG55" s="41"/>
      <c r="AH55" s="42">
        <f>AF55+AG55</f>
        <v>0</v>
      </c>
    </row>
    <row r="56" spans="1:34" ht="41.25" customHeight="1" x14ac:dyDescent="0.25">
      <c r="A56" s="204" t="s">
        <v>286</v>
      </c>
      <c r="B56" s="154" t="s">
        <v>296</v>
      </c>
      <c r="C56" s="194"/>
      <c r="D56" s="195"/>
      <c r="E56" s="196"/>
      <c r="F56" s="197"/>
      <c r="G56" s="197"/>
      <c r="H56" s="197"/>
      <c r="I56" s="197"/>
      <c r="J56" s="197"/>
      <c r="K56" s="110">
        <v>1</v>
      </c>
      <c r="L56" s="110">
        <v>0</v>
      </c>
      <c r="M56" s="108"/>
      <c r="N56" s="108"/>
      <c r="O56" s="108"/>
      <c r="P56" s="108"/>
      <c r="Q56" s="111"/>
      <c r="R56" s="108"/>
      <c r="S56" s="113"/>
      <c r="T56" s="113"/>
      <c r="U56" s="114"/>
      <c r="V56" s="114"/>
      <c r="W56" s="111"/>
      <c r="X56" s="111">
        <f>AH56*$AE$2*1000</f>
        <v>3400738.6208456648</v>
      </c>
      <c r="Y56" s="114">
        <f t="shared" ref="Y56:Y65" si="32">X56*K56</f>
        <v>3400738.6208456648</v>
      </c>
      <c r="Z56" s="114">
        <f t="shared" ref="Z56:Z65" si="33">X56*L56</f>
        <v>0</v>
      </c>
      <c r="AA56" s="111">
        <f t="shared" ref="AA56:AA65" si="34">Y56+Z56</f>
        <v>3400738.6208456648</v>
      </c>
      <c r="AB56" s="114">
        <f t="shared" ref="AB56:AB65" si="35">ROUND(Y56/$AE$2,2)</f>
        <v>985664.2</v>
      </c>
      <c r="AC56" s="114">
        <f t="shared" ref="AC56:AC65" si="36">ROUND(Z56/$AE$2,2)</f>
        <v>0</v>
      </c>
      <c r="AD56" s="131">
        <f t="shared" ref="AD56:AD65" si="37">AB56+AC56</f>
        <v>985664.2</v>
      </c>
      <c r="AF56" s="207">
        <f>K55*AH56</f>
        <v>985.66419942196524</v>
      </c>
      <c r="AG56" s="208">
        <f>L55*AH56</f>
        <v>0</v>
      </c>
      <c r="AH56" s="209">
        <v>985.66419942196524</v>
      </c>
    </row>
    <row r="57" spans="1:34" ht="41.25" customHeight="1" x14ac:dyDescent="0.25">
      <c r="A57" s="205" t="s">
        <v>287</v>
      </c>
      <c r="B57" s="154" t="s">
        <v>297</v>
      </c>
      <c r="C57" s="194"/>
      <c r="D57" s="195"/>
      <c r="E57" s="196"/>
      <c r="F57" s="197"/>
      <c r="G57" s="197"/>
      <c r="H57" s="197"/>
      <c r="I57" s="197"/>
      <c r="J57" s="197"/>
      <c r="K57" s="110">
        <v>1</v>
      </c>
      <c r="L57" s="110">
        <v>0</v>
      </c>
      <c r="M57" s="108"/>
      <c r="N57" s="108"/>
      <c r="O57" s="108"/>
      <c r="P57" s="108"/>
      <c r="Q57" s="111"/>
      <c r="R57" s="108"/>
      <c r="S57" s="113"/>
      <c r="T57" s="113"/>
      <c r="U57" s="114"/>
      <c r="V57" s="114"/>
      <c r="W57" s="111"/>
      <c r="X57" s="111">
        <f t="shared" ref="X57:X65" si="38">AH57*$AE$2*1000</f>
        <v>10350600</v>
      </c>
      <c r="Y57" s="114">
        <f t="shared" si="32"/>
        <v>10350600</v>
      </c>
      <c r="Z57" s="114">
        <f t="shared" si="33"/>
        <v>0</v>
      </c>
      <c r="AA57" s="111">
        <f t="shared" si="34"/>
        <v>10350600</v>
      </c>
      <c r="AB57" s="114">
        <f t="shared" si="35"/>
        <v>3000000</v>
      </c>
      <c r="AC57" s="114">
        <f t="shared" si="36"/>
        <v>0</v>
      </c>
      <c r="AD57" s="131">
        <f t="shared" si="37"/>
        <v>3000000</v>
      </c>
      <c r="AF57" s="207">
        <f t="shared" ref="AF57:AF65" si="39">K56*AH57</f>
        <v>3000</v>
      </c>
      <c r="AG57" s="208">
        <f t="shared" ref="AG57:AG65" si="40">L56*AH57</f>
        <v>0</v>
      </c>
      <c r="AH57" s="209">
        <v>3000</v>
      </c>
    </row>
    <row r="58" spans="1:34" ht="41.25" customHeight="1" x14ac:dyDescent="0.25">
      <c r="A58" s="205" t="s">
        <v>288</v>
      </c>
      <c r="B58" s="154" t="s">
        <v>298</v>
      </c>
      <c r="C58" s="194"/>
      <c r="D58" s="195"/>
      <c r="E58" s="196"/>
      <c r="F58" s="197"/>
      <c r="G58" s="197"/>
      <c r="H58" s="197"/>
      <c r="I58" s="197"/>
      <c r="J58" s="197"/>
      <c r="K58" s="110">
        <v>1</v>
      </c>
      <c r="L58" s="110">
        <v>0</v>
      </c>
      <c r="M58" s="108"/>
      <c r="N58" s="108"/>
      <c r="O58" s="108"/>
      <c r="P58" s="108"/>
      <c r="Q58" s="111"/>
      <c r="R58" s="108"/>
      <c r="S58" s="113"/>
      <c r="T58" s="113"/>
      <c r="U58" s="114"/>
      <c r="V58" s="114"/>
      <c r="W58" s="111"/>
      <c r="X58" s="111">
        <f t="shared" si="38"/>
        <v>3142476.662</v>
      </c>
      <c r="Y58" s="114">
        <f t="shared" si="32"/>
        <v>3142476.662</v>
      </c>
      <c r="Z58" s="114">
        <f t="shared" si="33"/>
        <v>0</v>
      </c>
      <c r="AA58" s="111">
        <f t="shared" si="34"/>
        <v>3142476.662</v>
      </c>
      <c r="AB58" s="114">
        <f t="shared" si="35"/>
        <v>910810</v>
      </c>
      <c r="AC58" s="114">
        <f t="shared" si="36"/>
        <v>0</v>
      </c>
      <c r="AD58" s="131">
        <f t="shared" si="37"/>
        <v>910810</v>
      </c>
      <c r="AF58" s="207">
        <f t="shared" si="39"/>
        <v>910.81</v>
      </c>
      <c r="AG58" s="208">
        <f t="shared" si="40"/>
        <v>0</v>
      </c>
      <c r="AH58" s="209">
        <v>910.81</v>
      </c>
    </row>
    <row r="59" spans="1:34" ht="41.25" customHeight="1" x14ac:dyDescent="0.25">
      <c r="A59" s="205" t="s">
        <v>289</v>
      </c>
      <c r="B59" s="154" t="s">
        <v>299</v>
      </c>
      <c r="C59" s="194"/>
      <c r="D59" s="195"/>
      <c r="E59" s="196"/>
      <c r="F59" s="197"/>
      <c r="G59" s="197"/>
      <c r="H59" s="197"/>
      <c r="I59" s="198"/>
      <c r="J59" s="197"/>
      <c r="K59" s="110">
        <v>1</v>
      </c>
      <c r="L59" s="110">
        <v>0</v>
      </c>
      <c r="M59" s="108"/>
      <c r="N59" s="108"/>
      <c r="O59" s="108"/>
      <c r="P59" s="108"/>
      <c r="Q59" s="111"/>
      <c r="R59" s="108"/>
      <c r="S59" s="113"/>
      <c r="T59" s="113"/>
      <c r="U59" s="114"/>
      <c r="V59" s="114"/>
      <c r="W59" s="111"/>
      <c r="X59" s="111">
        <f t="shared" si="38"/>
        <v>1014358.8</v>
      </c>
      <c r="Y59" s="114">
        <f t="shared" si="32"/>
        <v>1014358.8</v>
      </c>
      <c r="Z59" s="114">
        <f t="shared" si="33"/>
        <v>0</v>
      </c>
      <c r="AA59" s="111">
        <f t="shared" si="34"/>
        <v>1014358.8</v>
      </c>
      <c r="AB59" s="114">
        <f t="shared" si="35"/>
        <v>294000</v>
      </c>
      <c r="AC59" s="114">
        <f t="shared" si="36"/>
        <v>0</v>
      </c>
      <c r="AD59" s="131">
        <f t="shared" si="37"/>
        <v>294000</v>
      </c>
      <c r="AF59" s="207">
        <f t="shared" si="39"/>
        <v>294</v>
      </c>
      <c r="AG59" s="208">
        <f t="shared" si="40"/>
        <v>0</v>
      </c>
      <c r="AH59" s="209">
        <v>294</v>
      </c>
    </row>
    <row r="60" spans="1:34" ht="41.25" customHeight="1" x14ac:dyDescent="0.25">
      <c r="A60" s="205" t="s">
        <v>290</v>
      </c>
      <c r="B60" s="154" t="s">
        <v>300</v>
      </c>
      <c r="C60" s="194"/>
      <c r="D60" s="195"/>
      <c r="E60" s="196"/>
      <c r="F60" s="197"/>
      <c r="G60" s="197"/>
      <c r="H60" s="197"/>
      <c r="I60" s="198"/>
      <c r="J60" s="197"/>
      <c r="K60" s="110">
        <v>1</v>
      </c>
      <c r="L60" s="110">
        <v>0</v>
      </c>
      <c r="M60" s="108"/>
      <c r="N60" s="108"/>
      <c r="O60" s="108"/>
      <c r="P60" s="108"/>
      <c r="Q60" s="111"/>
      <c r="R60" s="108"/>
      <c r="S60" s="113"/>
      <c r="T60" s="113"/>
      <c r="U60" s="114"/>
      <c r="V60" s="114"/>
      <c r="W60" s="111"/>
      <c r="X60" s="111">
        <f t="shared" si="38"/>
        <v>345020.00000000006</v>
      </c>
      <c r="Y60" s="114">
        <f t="shared" si="32"/>
        <v>345020.00000000006</v>
      </c>
      <c r="Z60" s="114">
        <f t="shared" si="33"/>
        <v>0</v>
      </c>
      <c r="AA60" s="111">
        <f t="shared" si="34"/>
        <v>345020.00000000006</v>
      </c>
      <c r="AB60" s="114">
        <f t="shared" si="35"/>
        <v>100000</v>
      </c>
      <c r="AC60" s="114">
        <f t="shared" si="36"/>
        <v>0</v>
      </c>
      <c r="AD60" s="131">
        <f t="shared" si="37"/>
        <v>100000</v>
      </c>
      <c r="AF60" s="207">
        <f t="shared" si="39"/>
        <v>100</v>
      </c>
      <c r="AG60" s="208">
        <f t="shared" si="40"/>
        <v>0</v>
      </c>
      <c r="AH60" s="209">
        <v>100</v>
      </c>
    </row>
    <row r="61" spans="1:34" ht="41.25" customHeight="1" x14ac:dyDescent="0.25">
      <c r="A61" s="205" t="s">
        <v>291</v>
      </c>
      <c r="B61" s="154" t="s">
        <v>301</v>
      </c>
      <c r="C61" s="194"/>
      <c r="D61" s="195"/>
      <c r="E61" s="196"/>
      <c r="F61" s="197"/>
      <c r="G61" s="197"/>
      <c r="H61" s="197"/>
      <c r="I61" s="198"/>
      <c r="J61" s="197"/>
      <c r="K61" s="110">
        <v>1</v>
      </c>
      <c r="L61" s="110">
        <v>0</v>
      </c>
      <c r="M61" s="108"/>
      <c r="N61" s="108"/>
      <c r="O61" s="108"/>
      <c r="P61" s="108"/>
      <c r="Q61" s="111"/>
      <c r="R61" s="108"/>
      <c r="S61" s="113"/>
      <c r="T61" s="113"/>
      <c r="U61" s="114"/>
      <c r="V61" s="114"/>
      <c r="W61" s="111"/>
      <c r="X61" s="111">
        <f t="shared" si="38"/>
        <v>138008</v>
      </c>
      <c r="Y61" s="114">
        <f t="shared" si="32"/>
        <v>138008</v>
      </c>
      <c r="Z61" s="114">
        <f t="shared" si="33"/>
        <v>0</v>
      </c>
      <c r="AA61" s="111">
        <f t="shared" si="34"/>
        <v>138008</v>
      </c>
      <c r="AB61" s="114">
        <f t="shared" si="35"/>
        <v>40000</v>
      </c>
      <c r="AC61" s="114">
        <f t="shared" si="36"/>
        <v>0</v>
      </c>
      <c r="AD61" s="131">
        <f t="shared" si="37"/>
        <v>40000</v>
      </c>
      <c r="AF61" s="207">
        <f t="shared" si="39"/>
        <v>40</v>
      </c>
      <c r="AG61" s="208">
        <f t="shared" si="40"/>
        <v>0</v>
      </c>
      <c r="AH61" s="209">
        <v>40</v>
      </c>
    </row>
    <row r="62" spans="1:34" ht="41.25" customHeight="1" x14ac:dyDescent="0.25">
      <c r="A62" s="205" t="s">
        <v>292</v>
      </c>
      <c r="B62" s="154" t="s">
        <v>302</v>
      </c>
      <c r="C62" s="194"/>
      <c r="D62" s="195"/>
      <c r="E62" s="196"/>
      <c r="F62" s="197"/>
      <c r="G62" s="197"/>
      <c r="H62" s="197"/>
      <c r="I62" s="198"/>
      <c r="J62" s="197"/>
      <c r="K62" s="110">
        <v>1</v>
      </c>
      <c r="L62" s="110">
        <v>0</v>
      </c>
      <c r="M62" s="108"/>
      <c r="N62" s="108"/>
      <c r="O62" s="108"/>
      <c r="P62" s="108"/>
      <c r="Q62" s="111"/>
      <c r="R62" s="108"/>
      <c r="S62" s="113"/>
      <c r="T62" s="113"/>
      <c r="U62" s="114"/>
      <c r="V62" s="114"/>
      <c r="W62" s="111"/>
      <c r="X62" s="111">
        <f t="shared" si="38"/>
        <v>207012</v>
      </c>
      <c r="Y62" s="114">
        <f t="shared" si="32"/>
        <v>207012</v>
      </c>
      <c r="Z62" s="114">
        <f t="shared" si="33"/>
        <v>0</v>
      </c>
      <c r="AA62" s="111">
        <f t="shared" si="34"/>
        <v>207012</v>
      </c>
      <c r="AB62" s="114">
        <f t="shared" si="35"/>
        <v>60000</v>
      </c>
      <c r="AC62" s="114">
        <f t="shared" si="36"/>
        <v>0</v>
      </c>
      <c r="AD62" s="131">
        <f t="shared" si="37"/>
        <v>60000</v>
      </c>
      <c r="AF62" s="207">
        <f t="shared" si="39"/>
        <v>60</v>
      </c>
      <c r="AG62" s="208">
        <f t="shared" si="40"/>
        <v>0</v>
      </c>
      <c r="AH62" s="209">
        <v>60</v>
      </c>
    </row>
    <row r="63" spans="1:34" ht="41.25" customHeight="1" x14ac:dyDescent="0.25">
      <c r="A63" s="205" t="s">
        <v>293</v>
      </c>
      <c r="B63" s="154" t="s">
        <v>303</v>
      </c>
      <c r="C63" s="194"/>
      <c r="D63" s="195"/>
      <c r="E63" s="196"/>
      <c r="F63" s="197"/>
      <c r="G63" s="197"/>
      <c r="H63" s="197"/>
      <c r="I63" s="198"/>
      <c r="J63" s="197"/>
      <c r="K63" s="110">
        <v>1</v>
      </c>
      <c r="L63" s="110">
        <v>0</v>
      </c>
      <c r="M63" s="108"/>
      <c r="N63" s="108"/>
      <c r="O63" s="108"/>
      <c r="P63" s="108"/>
      <c r="Q63" s="111"/>
      <c r="R63" s="108"/>
      <c r="S63" s="113"/>
      <c r="T63" s="113"/>
      <c r="U63" s="114"/>
      <c r="V63" s="114"/>
      <c r="W63" s="111"/>
      <c r="X63" s="111">
        <f t="shared" si="38"/>
        <v>82804.800000000003</v>
      </c>
      <c r="Y63" s="114">
        <f t="shared" si="32"/>
        <v>82804.800000000003</v>
      </c>
      <c r="Z63" s="114">
        <f t="shared" si="33"/>
        <v>0</v>
      </c>
      <c r="AA63" s="111">
        <f t="shared" si="34"/>
        <v>82804.800000000003</v>
      </c>
      <c r="AB63" s="114">
        <f t="shared" si="35"/>
        <v>24000</v>
      </c>
      <c r="AC63" s="114">
        <f t="shared" si="36"/>
        <v>0</v>
      </c>
      <c r="AD63" s="131">
        <f t="shared" si="37"/>
        <v>24000</v>
      </c>
      <c r="AF63" s="207">
        <f t="shared" si="39"/>
        <v>24</v>
      </c>
      <c r="AG63" s="208">
        <f t="shared" si="40"/>
        <v>0</v>
      </c>
      <c r="AH63" s="209">
        <v>24</v>
      </c>
    </row>
    <row r="64" spans="1:34" ht="41.25" customHeight="1" x14ac:dyDescent="0.25">
      <c r="A64" s="205" t="s">
        <v>294</v>
      </c>
      <c r="B64" s="154" t="s">
        <v>304</v>
      </c>
      <c r="C64" s="194"/>
      <c r="D64" s="195"/>
      <c r="E64" s="196"/>
      <c r="F64" s="197"/>
      <c r="G64" s="197"/>
      <c r="H64" s="197"/>
      <c r="I64" s="198"/>
      <c r="J64" s="197"/>
      <c r="K64" s="110">
        <v>1</v>
      </c>
      <c r="L64" s="110">
        <v>0</v>
      </c>
      <c r="M64" s="108"/>
      <c r="N64" s="108"/>
      <c r="O64" s="108"/>
      <c r="P64" s="108"/>
      <c r="Q64" s="111"/>
      <c r="R64" s="108"/>
      <c r="S64" s="113"/>
      <c r="T64" s="113"/>
      <c r="U64" s="114"/>
      <c r="V64" s="114"/>
      <c r="W64" s="111"/>
      <c r="X64" s="111">
        <f t="shared" si="38"/>
        <v>284025.61018270522</v>
      </c>
      <c r="Y64" s="114">
        <f t="shared" si="32"/>
        <v>284025.61018270522</v>
      </c>
      <c r="Z64" s="114">
        <f t="shared" si="33"/>
        <v>0</v>
      </c>
      <c r="AA64" s="111">
        <f t="shared" si="34"/>
        <v>284025.61018270522</v>
      </c>
      <c r="AB64" s="114">
        <f t="shared" si="35"/>
        <v>82321.490000000005</v>
      </c>
      <c r="AC64" s="114">
        <f t="shared" si="36"/>
        <v>0</v>
      </c>
      <c r="AD64" s="131">
        <f t="shared" si="37"/>
        <v>82321.490000000005</v>
      </c>
      <c r="AF64" s="207">
        <f t="shared" si="39"/>
        <v>82.321491560693644</v>
      </c>
      <c r="AG64" s="208">
        <f t="shared" si="40"/>
        <v>0</v>
      </c>
      <c r="AH64" s="209">
        <v>82.321491560693644</v>
      </c>
    </row>
    <row r="65" spans="1:34" ht="41.25" customHeight="1" thickBot="1" x14ac:dyDescent="0.3">
      <c r="A65" s="206" t="s">
        <v>295</v>
      </c>
      <c r="B65" s="156" t="s">
        <v>305</v>
      </c>
      <c r="C65" s="199"/>
      <c r="D65" s="200"/>
      <c r="E65" s="201"/>
      <c r="F65" s="202"/>
      <c r="G65" s="202"/>
      <c r="H65" s="202"/>
      <c r="I65" s="203"/>
      <c r="J65" s="202"/>
      <c r="K65" s="139">
        <v>1</v>
      </c>
      <c r="L65" s="139">
        <v>0</v>
      </c>
      <c r="M65" s="137"/>
      <c r="N65" s="137"/>
      <c r="O65" s="137"/>
      <c r="P65" s="137"/>
      <c r="Q65" s="140"/>
      <c r="R65" s="137"/>
      <c r="S65" s="142"/>
      <c r="T65" s="142"/>
      <c r="U65" s="141"/>
      <c r="V65" s="141"/>
      <c r="W65" s="140"/>
      <c r="X65" s="111">
        <f t="shared" si="38"/>
        <v>3370560.1719660009</v>
      </c>
      <c r="Y65" s="141">
        <f t="shared" si="32"/>
        <v>3370560.1719660009</v>
      </c>
      <c r="Z65" s="141">
        <f t="shared" si="33"/>
        <v>0</v>
      </c>
      <c r="AA65" s="140">
        <f t="shared" si="34"/>
        <v>3370560.1719660009</v>
      </c>
      <c r="AB65" s="141">
        <f t="shared" si="35"/>
        <v>976917.33</v>
      </c>
      <c r="AC65" s="141">
        <f t="shared" si="36"/>
        <v>0</v>
      </c>
      <c r="AD65" s="143">
        <f t="shared" si="37"/>
        <v>976917.33</v>
      </c>
      <c r="AF65" s="210">
        <f t="shared" si="39"/>
        <v>976.91733000000022</v>
      </c>
      <c r="AG65" s="211">
        <f t="shared" si="40"/>
        <v>0</v>
      </c>
      <c r="AH65" s="212">
        <v>976.91733000000022</v>
      </c>
    </row>
    <row r="66" spans="1:34" ht="41.25" customHeight="1" thickBot="1" x14ac:dyDescent="0.3">
      <c r="B66" s="91" t="s">
        <v>203</v>
      </c>
      <c r="C66" s="97"/>
      <c r="D66" s="98"/>
      <c r="E66" s="99"/>
      <c r="F66" s="103">
        <f>F67+F93</f>
        <v>485242503.23000008</v>
      </c>
      <c r="G66" s="103">
        <f>G67+G93</f>
        <v>53609138.25</v>
      </c>
      <c r="H66" s="103">
        <f>H67+H93</f>
        <v>538851641.48000014</v>
      </c>
      <c r="I66" s="101"/>
      <c r="J66" s="103">
        <f>J67+J93</f>
        <v>642140087.89882028</v>
      </c>
      <c r="K66" s="102"/>
      <c r="L66" s="102"/>
      <c r="M66" s="103">
        <f>M67+M93</f>
        <v>366562484.01999998</v>
      </c>
      <c r="N66" s="103">
        <f>N67+N93</f>
        <v>43624784.900000006</v>
      </c>
      <c r="O66" s="103">
        <f>O67+O93</f>
        <v>2995599.4499999997</v>
      </c>
      <c r="P66" s="103">
        <f>P67+P93</f>
        <v>0</v>
      </c>
      <c r="Q66" s="103">
        <f>Q67+Q93</f>
        <v>413182868.37000006</v>
      </c>
      <c r="R66" s="100"/>
      <c r="S66" s="103">
        <f t="shared" ref="S66:X66" si="41">S67+S93</f>
        <v>144988035.49000001</v>
      </c>
      <c r="T66" s="103">
        <f t="shared" si="41"/>
        <v>14255534.569999997</v>
      </c>
      <c r="U66" s="103">
        <f t="shared" si="41"/>
        <v>1024826.48</v>
      </c>
      <c r="V66" s="103">
        <f t="shared" si="41"/>
        <v>0</v>
      </c>
      <c r="W66" s="103">
        <f t="shared" si="41"/>
        <v>160268396.53999999</v>
      </c>
      <c r="X66" s="103">
        <f t="shared" si="41"/>
        <v>186173240.5954957</v>
      </c>
      <c r="Y66" s="103">
        <f t="shared" ref="Y66:AD66" si="42">Y67+Y93</f>
        <v>128335107.18670401</v>
      </c>
      <c r="Z66" s="103">
        <f t="shared" si="42"/>
        <v>62930704.864339903</v>
      </c>
      <c r="AA66" s="103">
        <f t="shared" si="42"/>
        <v>191265812.05104393</v>
      </c>
      <c r="AB66" s="103">
        <f t="shared" si="42"/>
        <v>37196425.489999995</v>
      </c>
      <c r="AC66" s="103">
        <f t="shared" si="42"/>
        <v>18239726.640000004</v>
      </c>
      <c r="AD66" s="103">
        <f t="shared" si="42"/>
        <v>55436152.130000003</v>
      </c>
      <c r="AF66" s="80">
        <f>AF67+AF93</f>
        <v>45371.562155753469</v>
      </c>
      <c r="AG66" s="80">
        <f>AG67+AG93</f>
        <v>584852.00685174996</v>
      </c>
      <c r="AH66" s="80">
        <f>AH67+AH93</f>
        <v>64494.537198254948</v>
      </c>
    </row>
    <row r="67" spans="1:34" ht="41.25" customHeight="1" thickBot="1" x14ac:dyDescent="0.3">
      <c r="B67" s="91" t="s">
        <v>204</v>
      </c>
      <c r="C67" s="97"/>
      <c r="D67" s="98"/>
      <c r="E67" s="99"/>
      <c r="F67" s="89">
        <f>SUM(F68:F76)</f>
        <v>470141223.72000009</v>
      </c>
      <c r="G67" s="89">
        <f>SUM(G68:G76)</f>
        <v>53609138.25</v>
      </c>
      <c r="H67" s="89">
        <f>SUM(H68:H76)</f>
        <v>523750361.97000009</v>
      </c>
      <c r="I67" s="101"/>
      <c r="J67" s="89">
        <f>SUM(J68:J76)</f>
        <v>626972156.81882024</v>
      </c>
      <c r="K67" s="102"/>
      <c r="L67" s="102"/>
      <c r="M67" s="89">
        <f>SUM(M68:M76)</f>
        <v>355191763.13999999</v>
      </c>
      <c r="N67" s="89">
        <f>SUM(N68:N76)</f>
        <v>43556627.310000002</v>
      </c>
      <c r="O67" s="89">
        <f>SUM(O68:O76)</f>
        <v>2995599.4499999997</v>
      </c>
      <c r="P67" s="89">
        <f>SUM(P68:P76)</f>
        <v>0</v>
      </c>
      <c r="Q67" s="89">
        <f>SUM(Q68:Q76)</f>
        <v>401743989.90000004</v>
      </c>
      <c r="R67" s="100"/>
      <c r="S67" s="89">
        <f>SUM(S68:S76)</f>
        <v>141704083.99000001</v>
      </c>
      <c r="T67" s="89">
        <f>SUM(T68:T76)</f>
        <v>14224224.339999996</v>
      </c>
      <c r="U67" s="89">
        <f>SUM(U68:U76)</f>
        <v>1024826.48</v>
      </c>
      <c r="V67" s="89">
        <f>SUM(V68:V76)</f>
        <v>0</v>
      </c>
      <c r="W67" s="89">
        <f>SUM(W68:W76)</f>
        <v>156953134.81</v>
      </c>
      <c r="X67" s="89">
        <f>SUM(X68:X92)</f>
        <v>172414292.30591187</v>
      </c>
      <c r="Y67" s="89">
        <f t="shared" ref="Y67:AD67" si="43">SUM(Y68:Y92)</f>
        <v>114577060.74712019</v>
      </c>
      <c r="Z67" s="89">
        <f t="shared" si="43"/>
        <v>62929803.014339902</v>
      </c>
      <c r="AA67" s="89">
        <f t="shared" si="43"/>
        <v>177506863.7614601</v>
      </c>
      <c r="AB67" s="89">
        <f t="shared" si="43"/>
        <v>33208817.099999998</v>
      </c>
      <c r="AC67" s="89">
        <f t="shared" si="43"/>
        <v>18239465.250000004</v>
      </c>
      <c r="AD67" s="89">
        <f t="shared" si="43"/>
        <v>51448282.350000001</v>
      </c>
      <c r="AF67" s="89">
        <f>SUM(AF68:AF92)</f>
        <v>42353.657011244795</v>
      </c>
      <c r="AG67" s="89">
        <f>SUM(AG68:AG92)</f>
        <v>584852.00685174996</v>
      </c>
      <c r="AH67" s="89">
        <f>SUM(AH68:AH92)</f>
        <v>61476.632053746274</v>
      </c>
    </row>
    <row r="68" spans="1:34" ht="38.25" customHeight="1" x14ac:dyDescent="0.25">
      <c r="A68" s="218" t="s">
        <v>314</v>
      </c>
      <c r="B68" s="144" t="s">
        <v>199</v>
      </c>
      <c r="C68" s="121" t="s">
        <v>137</v>
      </c>
      <c r="D68" s="122" t="s">
        <v>77</v>
      </c>
      <c r="E68" s="123" t="s">
        <v>81</v>
      </c>
      <c r="F68" s="124">
        <f>38646295.75+14806584.76</f>
        <v>53452880.509999998</v>
      </c>
      <c r="G68" s="124"/>
      <c r="H68" s="124">
        <f t="shared" ref="H68:H76" si="44">F68+G68</f>
        <v>53452880.509999998</v>
      </c>
      <c r="I68" s="125"/>
      <c r="J68" s="124">
        <f t="shared" ref="J68:J76" si="45">H68+I68</f>
        <v>53452880.509999998</v>
      </c>
      <c r="K68" s="126">
        <v>1</v>
      </c>
      <c r="L68" s="126"/>
      <c r="M68" s="124">
        <v>38646295.750000007</v>
      </c>
      <c r="N68" s="124">
        <v>14806584.760000002</v>
      </c>
      <c r="O68" s="124"/>
      <c r="P68" s="124"/>
      <c r="Q68" s="127">
        <f t="shared" ref="Q68:Q108" si="46">M68+N68+O68+P68</f>
        <v>53452880.510000005</v>
      </c>
      <c r="R68" s="124"/>
      <c r="S68" s="150">
        <f>14295271.88-T68</f>
        <v>10335444.950000001</v>
      </c>
      <c r="T68" s="146">
        <v>3959826.93</v>
      </c>
      <c r="U68" s="128"/>
      <c r="V68" s="128"/>
      <c r="W68" s="127">
        <f>S68+T68+U68+V68</f>
        <v>14295271.880000001</v>
      </c>
      <c r="X68" s="127">
        <f>T68+U68+V68+W68</f>
        <v>18255098.810000002</v>
      </c>
      <c r="Y68" s="128">
        <f>X68*K68</f>
        <v>18255098.810000002</v>
      </c>
      <c r="Z68" s="128">
        <f>X68*L68</f>
        <v>0</v>
      </c>
      <c r="AA68" s="127">
        <f t="shared" ref="AA68:AA76" si="47">Y68+Z68</f>
        <v>18255098.810000002</v>
      </c>
      <c r="AB68" s="128">
        <f t="shared" ref="AB68:AC71" si="48">ROUND(Y68/$AE$2,2)</f>
        <v>5291026.26</v>
      </c>
      <c r="AC68" s="128">
        <f t="shared" si="48"/>
        <v>0</v>
      </c>
      <c r="AD68" s="129">
        <f t="shared" ref="AD68:AD76" si="49">AB68+AC68</f>
        <v>5291026.26</v>
      </c>
      <c r="AF68" s="40"/>
      <c r="AG68" s="41"/>
      <c r="AH68" s="42">
        <f>AF68+AG68</f>
        <v>0</v>
      </c>
    </row>
    <row r="69" spans="1:34" ht="45" x14ac:dyDescent="0.25">
      <c r="A69" s="30" t="s">
        <v>306</v>
      </c>
      <c r="B69" s="149" t="s">
        <v>200</v>
      </c>
      <c r="C69" s="105" t="s">
        <v>21</v>
      </c>
      <c r="D69" s="106" t="s">
        <v>103</v>
      </c>
      <c r="E69" s="107" t="s">
        <v>3</v>
      </c>
      <c r="F69" s="108">
        <v>277415678.69999999</v>
      </c>
      <c r="G69" s="108">
        <v>53609138.25</v>
      </c>
      <c r="H69" s="108">
        <f t="shared" si="44"/>
        <v>331024816.94999999</v>
      </c>
      <c r="I69" s="109">
        <v>52365820.259999976</v>
      </c>
      <c r="J69" s="108">
        <f t="shared" si="45"/>
        <v>383390637.20999998</v>
      </c>
      <c r="K69" s="110">
        <v>0.82</v>
      </c>
      <c r="L69" s="110">
        <v>0.18</v>
      </c>
      <c r="M69" s="108">
        <v>179760557.45999998</v>
      </c>
      <c r="N69" s="108">
        <v>28750042.550000001</v>
      </c>
      <c r="O69" s="108"/>
      <c r="P69" s="108"/>
      <c r="Q69" s="111">
        <f t="shared" si="46"/>
        <v>208510600.00999999</v>
      </c>
      <c r="R69" s="108"/>
      <c r="S69" s="113">
        <f>80252126.02-T69</f>
        <v>69987728.609999999</v>
      </c>
      <c r="T69" s="151">
        <v>10264397.409999996</v>
      </c>
      <c r="U69" s="113"/>
      <c r="V69" s="113"/>
      <c r="W69" s="111">
        <f t="shared" ref="W69:X76" si="50">S69+T69+U69+V69</f>
        <v>80252126.019999996</v>
      </c>
      <c r="X69" s="111">
        <f t="shared" si="50"/>
        <v>90516523.429999992</v>
      </c>
      <c r="Y69" s="114">
        <f>X69*K69</f>
        <v>74223549.212599993</v>
      </c>
      <c r="Z69" s="114">
        <f>X69*L69</f>
        <v>16292974.217399998</v>
      </c>
      <c r="AA69" s="111">
        <f t="shared" si="47"/>
        <v>90516523.429999992</v>
      </c>
      <c r="AB69" s="114">
        <f t="shared" si="48"/>
        <v>21512825.120000001</v>
      </c>
      <c r="AC69" s="114">
        <f t="shared" si="48"/>
        <v>4722327.46</v>
      </c>
      <c r="AD69" s="131">
        <f t="shared" si="49"/>
        <v>26235152.580000002</v>
      </c>
      <c r="AE69" s="27"/>
      <c r="AF69" s="40"/>
      <c r="AG69" s="41"/>
      <c r="AH69" s="42">
        <f>AF69+AG69</f>
        <v>0</v>
      </c>
    </row>
    <row r="70" spans="1:34" ht="41.25" customHeight="1" x14ac:dyDescent="0.25">
      <c r="A70" s="30" t="s">
        <v>308</v>
      </c>
      <c r="B70" s="149" t="s">
        <v>201</v>
      </c>
      <c r="C70" s="105"/>
      <c r="D70" s="106"/>
      <c r="E70" s="107"/>
      <c r="F70" s="117">
        <v>68580</v>
      </c>
      <c r="G70" s="108"/>
      <c r="H70" s="108">
        <f t="shared" si="44"/>
        <v>68580</v>
      </c>
      <c r="I70" s="109"/>
      <c r="J70" s="108">
        <f t="shared" si="45"/>
        <v>68580</v>
      </c>
      <c r="K70" s="110">
        <v>1</v>
      </c>
      <c r="L70" s="110"/>
      <c r="M70" s="108">
        <v>68580</v>
      </c>
      <c r="N70" s="108"/>
      <c r="O70" s="108"/>
      <c r="P70" s="108"/>
      <c r="Q70" s="111">
        <f t="shared" si="46"/>
        <v>68580</v>
      </c>
      <c r="R70" s="108"/>
      <c r="S70" s="113">
        <v>19820.810000000001</v>
      </c>
      <c r="T70" s="113"/>
      <c r="U70" s="114"/>
      <c r="V70" s="114"/>
      <c r="W70" s="111">
        <f t="shared" si="50"/>
        <v>19820.810000000001</v>
      </c>
      <c r="X70" s="111">
        <f t="shared" si="50"/>
        <v>19820.810000000001</v>
      </c>
      <c r="Y70" s="114">
        <f>X70*K70</f>
        <v>19820.810000000001</v>
      </c>
      <c r="Z70" s="114">
        <f>X70*L70</f>
        <v>0</v>
      </c>
      <c r="AA70" s="111">
        <f t="shared" si="47"/>
        <v>19820.810000000001</v>
      </c>
      <c r="AB70" s="114">
        <f t="shared" si="48"/>
        <v>5744.83</v>
      </c>
      <c r="AC70" s="114">
        <f t="shared" si="48"/>
        <v>0</v>
      </c>
      <c r="AD70" s="131">
        <f t="shared" si="49"/>
        <v>5744.83</v>
      </c>
      <c r="AF70" s="40"/>
      <c r="AG70" s="41"/>
      <c r="AH70" s="42"/>
    </row>
    <row r="71" spans="1:34" ht="38.25" customHeight="1" x14ac:dyDescent="0.25">
      <c r="A71" s="30" t="s">
        <v>307</v>
      </c>
      <c r="B71" s="149" t="s">
        <v>202</v>
      </c>
      <c r="C71" s="105"/>
      <c r="D71" s="106"/>
      <c r="E71" s="107"/>
      <c r="F71" s="117">
        <v>68580</v>
      </c>
      <c r="G71" s="108"/>
      <c r="H71" s="108">
        <f t="shared" si="44"/>
        <v>68580</v>
      </c>
      <c r="I71" s="109"/>
      <c r="J71" s="108">
        <f t="shared" si="45"/>
        <v>68580</v>
      </c>
      <c r="K71" s="110">
        <v>1</v>
      </c>
      <c r="L71" s="110"/>
      <c r="M71" s="108">
        <v>68580</v>
      </c>
      <c r="N71" s="108"/>
      <c r="O71" s="108"/>
      <c r="P71" s="108"/>
      <c r="Q71" s="111">
        <f t="shared" si="46"/>
        <v>68580</v>
      </c>
      <c r="R71" s="108"/>
      <c r="S71" s="113">
        <v>19820.810000000001</v>
      </c>
      <c r="T71" s="113"/>
      <c r="U71" s="114"/>
      <c r="V71" s="114"/>
      <c r="W71" s="111">
        <f t="shared" si="50"/>
        <v>19820.810000000001</v>
      </c>
      <c r="X71" s="111">
        <f t="shared" si="50"/>
        <v>19820.810000000001</v>
      </c>
      <c r="Y71" s="114">
        <f>X71*K71</f>
        <v>19820.810000000001</v>
      </c>
      <c r="Z71" s="114">
        <f>X71*L71</f>
        <v>0</v>
      </c>
      <c r="AA71" s="111">
        <f t="shared" si="47"/>
        <v>19820.810000000001</v>
      </c>
      <c r="AB71" s="114">
        <f t="shared" si="48"/>
        <v>5744.83</v>
      </c>
      <c r="AC71" s="114">
        <f t="shared" si="48"/>
        <v>0</v>
      </c>
      <c r="AD71" s="131">
        <f t="shared" si="49"/>
        <v>5744.83</v>
      </c>
      <c r="AF71" s="40"/>
      <c r="AG71" s="41"/>
      <c r="AH71" s="42"/>
    </row>
    <row r="72" spans="1:34" ht="42.75" customHeight="1" x14ac:dyDescent="0.25">
      <c r="A72" s="30" t="s">
        <v>309</v>
      </c>
      <c r="B72" s="149" t="s">
        <v>46</v>
      </c>
      <c r="C72" s="105" t="s">
        <v>16</v>
      </c>
      <c r="D72" s="106"/>
      <c r="E72" s="107" t="s">
        <v>70</v>
      </c>
      <c r="F72" s="108">
        <f>5231280</f>
        <v>5231280</v>
      </c>
      <c r="G72" s="108"/>
      <c r="H72" s="108">
        <f t="shared" si="44"/>
        <v>5231280</v>
      </c>
      <c r="I72" s="109"/>
      <c r="J72" s="108">
        <f t="shared" si="45"/>
        <v>5231280</v>
      </c>
      <c r="K72" s="110">
        <v>0.99</v>
      </c>
      <c r="L72" s="110">
        <v>0.01</v>
      </c>
      <c r="M72" s="108">
        <v>5321280</v>
      </c>
      <c r="N72" s="108"/>
      <c r="O72" s="108">
        <v>48000</v>
      </c>
      <c r="P72" s="108"/>
      <c r="Q72" s="111">
        <f t="shared" si="46"/>
        <v>5369280</v>
      </c>
      <c r="R72" s="108"/>
      <c r="S72" s="113">
        <v>2396075.6</v>
      </c>
      <c r="T72" s="113"/>
      <c r="U72" s="113">
        <v>16627.560000000001</v>
      </c>
      <c r="V72" s="113"/>
      <c r="W72" s="111">
        <f t="shared" si="50"/>
        <v>2412703.16</v>
      </c>
      <c r="X72" s="111">
        <f t="shared" si="50"/>
        <v>2429330.7200000002</v>
      </c>
      <c r="Y72" s="223">
        <v>18000</v>
      </c>
      <c r="Z72" s="114"/>
      <c r="AA72" s="111">
        <f t="shared" si="47"/>
        <v>18000</v>
      </c>
      <c r="AB72" s="114">
        <v>5217.09</v>
      </c>
      <c r="AC72" s="114"/>
      <c r="AD72" s="131">
        <f t="shared" si="49"/>
        <v>5217.09</v>
      </c>
      <c r="AF72" s="40"/>
      <c r="AG72" s="41"/>
      <c r="AH72" s="42">
        <f>AF72+AG72</f>
        <v>0</v>
      </c>
    </row>
    <row r="73" spans="1:34" ht="48" customHeight="1" x14ac:dyDescent="0.25">
      <c r="A73" s="30" t="s">
        <v>310</v>
      </c>
      <c r="B73" s="149" t="s">
        <v>51</v>
      </c>
      <c r="C73" s="105" t="s">
        <v>16</v>
      </c>
      <c r="D73" s="106"/>
      <c r="E73" s="107" t="s">
        <v>70</v>
      </c>
      <c r="F73" s="108">
        <v>389200</v>
      </c>
      <c r="G73" s="108"/>
      <c r="H73" s="108">
        <f t="shared" si="44"/>
        <v>389200</v>
      </c>
      <c r="I73" s="109"/>
      <c r="J73" s="108">
        <f t="shared" si="45"/>
        <v>389200</v>
      </c>
      <c r="K73" s="110">
        <v>1</v>
      </c>
      <c r="L73" s="110"/>
      <c r="M73" s="108">
        <v>389200</v>
      </c>
      <c r="N73" s="108"/>
      <c r="O73" s="108"/>
      <c r="P73" s="108"/>
      <c r="Q73" s="111">
        <f t="shared" si="46"/>
        <v>389200</v>
      </c>
      <c r="R73" s="108"/>
      <c r="S73" s="113">
        <v>173164.79</v>
      </c>
      <c r="T73" s="113"/>
      <c r="U73" s="114"/>
      <c r="V73" s="114"/>
      <c r="W73" s="111">
        <f t="shared" si="50"/>
        <v>173164.79</v>
      </c>
      <c r="X73" s="111">
        <f t="shared" si="50"/>
        <v>173164.79</v>
      </c>
      <c r="Y73" s="114">
        <f>X73*K73</f>
        <v>173164.79</v>
      </c>
      <c r="Z73" s="114">
        <f>X73*L73</f>
        <v>0</v>
      </c>
      <c r="AA73" s="111">
        <f t="shared" si="47"/>
        <v>173164.79</v>
      </c>
      <c r="AB73" s="114">
        <f t="shared" ref="AB73:AC88" si="51">ROUND(Y73/$AE$2,2)</f>
        <v>50189.78</v>
      </c>
      <c r="AC73" s="114">
        <f t="shared" si="51"/>
        <v>0</v>
      </c>
      <c r="AD73" s="131">
        <f t="shared" si="49"/>
        <v>50189.78</v>
      </c>
      <c r="AF73" s="40"/>
      <c r="AG73" s="41"/>
      <c r="AH73" s="42">
        <f>AF73+AG73</f>
        <v>0</v>
      </c>
    </row>
    <row r="74" spans="1:34" ht="42.75" customHeight="1" x14ac:dyDescent="0.25">
      <c r="A74" s="30" t="s">
        <v>311</v>
      </c>
      <c r="B74" s="152" t="s">
        <v>50</v>
      </c>
      <c r="C74" s="105" t="s">
        <v>16</v>
      </c>
      <c r="D74" s="106"/>
      <c r="E74" s="107" t="s">
        <v>70</v>
      </c>
      <c r="F74" s="108">
        <v>7033184.4700000007</v>
      </c>
      <c r="G74" s="108"/>
      <c r="H74" s="108">
        <f t="shared" si="44"/>
        <v>7033184.4700000007</v>
      </c>
      <c r="I74" s="109"/>
      <c r="J74" s="108">
        <f t="shared" si="45"/>
        <v>7033184.4700000007</v>
      </c>
      <c r="K74" s="110">
        <v>1</v>
      </c>
      <c r="L74" s="110"/>
      <c r="M74" s="108">
        <v>7033184.4700000007</v>
      </c>
      <c r="N74" s="108"/>
      <c r="O74" s="108"/>
      <c r="P74" s="108"/>
      <c r="Q74" s="111">
        <f t="shared" si="46"/>
        <v>7033184.4700000007</v>
      </c>
      <c r="R74" s="108"/>
      <c r="S74" s="113">
        <v>3240686.84</v>
      </c>
      <c r="T74" s="113"/>
      <c r="U74" s="114"/>
      <c r="V74" s="114"/>
      <c r="W74" s="111">
        <f t="shared" si="50"/>
        <v>3240686.84</v>
      </c>
      <c r="X74" s="111">
        <f t="shared" si="50"/>
        <v>3240686.84</v>
      </c>
      <c r="Y74" s="114">
        <f>X74*K74</f>
        <v>3240686.84</v>
      </c>
      <c r="Z74" s="114">
        <f>X74*L74</f>
        <v>0</v>
      </c>
      <c r="AA74" s="111">
        <f t="shared" si="47"/>
        <v>3240686.84</v>
      </c>
      <c r="AB74" s="114">
        <f t="shared" si="51"/>
        <v>939275.07</v>
      </c>
      <c r="AC74" s="114">
        <f t="shared" si="51"/>
        <v>0</v>
      </c>
      <c r="AD74" s="131">
        <f t="shared" si="49"/>
        <v>939275.07</v>
      </c>
      <c r="AF74" s="40"/>
      <c r="AG74" s="41"/>
      <c r="AH74" s="42">
        <f>AF74+AG74</f>
        <v>0</v>
      </c>
    </row>
    <row r="75" spans="1:34" ht="39.75" customHeight="1" x14ac:dyDescent="0.25">
      <c r="A75" s="30" t="s">
        <v>312</v>
      </c>
      <c r="B75" s="152" t="s">
        <v>49</v>
      </c>
      <c r="C75" s="105" t="s">
        <v>16</v>
      </c>
      <c r="D75" s="106"/>
      <c r="E75" s="107" t="s">
        <v>70</v>
      </c>
      <c r="F75" s="108">
        <v>24430000</v>
      </c>
      <c r="G75" s="108"/>
      <c r="H75" s="108">
        <f t="shared" si="44"/>
        <v>24430000</v>
      </c>
      <c r="I75" s="109"/>
      <c r="J75" s="108">
        <f t="shared" si="45"/>
        <v>24430000</v>
      </c>
      <c r="K75" s="110">
        <v>0.99</v>
      </c>
      <c r="L75" s="110">
        <v>0.01</v>
      </c>
      <c r="M75" s="108">
        <v>24255000</v>
      </c>
      <c r="N75" s="108"/>
      <c r="O75" s="108">
        <v>175000</v>
      </c>
      <c r="P75" s="108"/>
      <c r="Q75" s="111">
        <f t="shared" si="46"/>
        <v>24430000</v>
      </c>
      <c r="R75" s="108"/>
      <c r="S75" s="113">
        <v>11598865.49</v>
      </c>
      <c r="T75" s="113"/>
      <c r="U75" s="113">
        <v>74687.399999999994</v>
      </c>
      <c r="V75" s="113"/>
      <c r="W75" s="111">
        <f t="shared" si="50"/>
        <v>11673552.890000001</v>
      </c>
      <c r="X75" s="111">
        <f t="shared" si="50"/>
        <v>11748240.290000001</v>
      </c>
      <c r="Y75" s="223">
        <f>X75*K75</f>
        <v>11630757.8871</v>
      </c>
      <c r="Z75" s="114">
        <f>X75*L75</f>
        <v>117482.40290000002</v>
      </c>
      <c r="AA75" s="111">
        <f t="shared" si="47"/>
        <v>11748240.289999999</v>
      </c>
      <c r="AB75" s="114">
        <f t="shared" si="51"/>
        <v>3371038.75</v>
      </c>
      <c r="AC75" s="114">
        <f t="shared" si="51"/>
        <v>34050.9</v>
      </c>
      <c r="AD75" s="131">
        <f t="shared" si="49"/>
        <v>3405089.65</v>
      </c>
      <c r="AF75" s="40"/>
      <c r="AG75" s="41"/>
      <c r="AH75" s="42">
        <f>AF75+AG75</f>
        <v>0</v>
      </c>
    </row>
    <row r="76" spans="1:34" ht="43.5" customHeight="1" x14ac:dyDescent="0.25">
      <c r="A76" s="219" t="s">
        <v>313</v>
      </c>
      <c r="B76" s="220" t="s">
        <v>48</v>
      </c>
      <c r="C76" s="105" t="s">
        <v>16</v>
      </c>
      <c r="D76" s="106"/>
      <c r="E76" s="107" t="s">
        <v>70</v>
      </c>
      <c r="F76" s="108">
        <v>102051840.04000007</v>
      </c>
      <c r="G76" s="108"/>
      <c r="H76" s="108">
        <f t="shared" si="44"/>
        <v>102051840.04000007</v>
      </c>
      <c r="I76" s="109">
        <v>50855974.58882013</v>
      </c>
      <c r="J76" s="108">
        <f t="shared" si="45"/>
        <v>152907814.62882018</v>
      </c>
      <c r="K76" s="110">
        <v>0.77</v>
      </c>
      <c r="L76" s="110">
        <v>0.23</v>
      </c>
      <c r="M76" s="108">
        <v>99649085.460000023</v>
      </c>
      <c r="N76" s="108"/>
      <c r="O76" s="108">
        <v>2772599.4499999997</v>
      </c>
      <c r="P76" s="108"/>
      <c r="Q76" s="111">
        <f t="shared" si="46"/>
        <v>102421684.91000003</v>
      </c>
      <c r="R76" s="108"/>
      <c r="S76" s="113">
        <v>43932476.090000004</v>
      </c>
      <c r="T76" s="113"/>
      <c r="U76" s="113">
        <v>933511.52</v>
      </c>
      <c r="V76" s="113"/>
      <c r="W76" s="111">
        <f t="shared" si="50"/>
        <v>44865987.610000007</v>
      </c>
      <c r="X76" s="111">
        <f t="shared" si="50"/>
        <v>45799499.13000001</v>
      </c>
      <c r="Y76" s="224">
        <f>6850033</f>
        <v>6850033</v>
      </c>
      <c r="Z76" s="114">
        <v>44501490</v>
      </c>
      <c r="AA76" s="111">
        <f t="shared" si="47"/>
        <v>51351523</v>
      </c>
      <c r="AB76" s="114">
        <f t="shared" si="51"/>
        <v>1985401.72</v>
      </c>
      <c r="AC76" s="114">
        <f t="shared" si="51"/>
        <v>12898234.880000001</v>
      </c>
      <c r="AD76" s="131">
        <f t="shared" si="49"/>
        <v>14883636.600000001</v>
      </c>
      <c r="AF76" s="40"/>
      <c r="AG76" s="41"/>
      <c r="AH76" s="42">
        <f>AF76+AG76</f>
        <v>0</v>
      </c>
    </row>
    <row r="77" spans="1:34" ht="43.5" customHeight="1" x14ac:dyDescent="0.25">
      <c r="A77" s="221" t="s">
        <v>315</v>
      </c>
      <c r="B77" s="116" t="s">
        <v>331</v>
      </c>
      <c r="C77" s="105"/>
      <c r="D77" s="106"/>
      <c r="E77" s="107"/>
      <c r="F77" s="108"/>
      <c r="G77" s="108"/>
      <c r="H77" s="108"/>
      <c r="I77" s="109"/>
      <c r="J77" s="108"/>
      <c r="K77" s="110">
        <v>1</v>
      </c>
      <c r="L77" s="110">
        <v>0</v>
      </c>
      <c r="M77" s="108"/>
      <c r="N77" s="108"/>
      <c r="O77" s="108"/>
      <c r="P77" s="108"/>
      <c r="Q77" s="111"/>
      <c r="R77" s="108"/>
      <c r="S77" s="113"/>
      <c r="T77" s="113"/>
      <c r="U77" s="113"/>
      <c r="V77" s="113"/>
      <c r="W77" s="111"/>
      <c r="X77" s="111">
        <f>AH77*$AE$2</f>
        <v>51852.716763005788</v>
      </c>
      <c r="Y77" s="114">
        <f t="shared" ref="Y77:Y92" si="52">X77*K77</f>
        <v>51852.716763005788</v>
      </c>
      <c r="Z77" s="114">
        <f t="shared" ref="Z77:Z92" si="53">X77*L77</f>
        <v>0</v>
      </c>
      <c r="AA77" s="111">
        <f t="shared" ref="AA77:AA92" si="54">Y77+Z77</f>
        <v>51852.716763005788</v>
      </c>
      <c r="AB77" s="114">
        <f t="shared" si="51"/>
        <v>15028.9</v>
      </c>
      <c r="AC77" s="114">
        <f t="shared" si="51"/>
        <v>0</v>
      </c>
      <c r="AD77" s="131">
        <f t="shared" ref="AD77:AD92" si="55">AB77+AC77</f>
        <v>15028.9</v>
      </c>
      <c r="AF77" s="163">
        <f>AH77*K77</f>
        <v>15028.901734104047</v>
      </c>
      <c r="AG77" s="163">
        <f>AH77*L77</f>
        <v>0</v>
      </c>
      <c r="AH77" s="177">
        <v>15028.901734104047</v>
      </c>
    </row>
    <row r="78" spans="1:34" ht="43.5" customHeight="1" x14ac:dyDescent="0.25">
      <c r="A78" s="221" t="s">
        <v>316</v>
      </c>
      <c r="B78" s="116" t="s">
        <v>332</v>
      </c>
      <c r="C78" s="105"/>
      <c r="D78" s="106"/>
      <c r="E78" s="107"/>
      <c r="F78" s="108"/>
      <c r="G78" s="108"/>
      <c r="H78" s="108"/>
      <c r="I78" s="109"/>
      <c r="J78" s="108"/>
      <c r="K78" s="110">
        <v>1</v>
      </c>
      <c r="L78" s="110">
        <v>0</v>
      </c>
      <c r="M78" s="108"/>
      <c r="N78" s="108"/>
      <c r="O78" s="108"/>
      <c r="P78" s="108"/>
      <c r="Q78" s="111"/>
      <c r="R78" s="108"/>
      <c r="S78" s="113"/>
      <c r="T78" s="113"/>
      <c r="U78" s="113"/>
      <c r="V78" s="113"/>
      <c r="W78" s="111"/>
      <c r="X78" s="111">
        <f t="shared" ref="X78:X92" si="56">AH78*$AE$2</f>
        <v>3835.4666727450867</v>
      </c>
      <c r="Y78" s="114">
        <f t="shared" si="52"/>
        <v>3835.4666727450867</v>
      </c>
      <c r="Z78" s="114">
        <f t="shared" si="53"/>
        <v>0</v>
      </c>
      <c r="AA78" s="111">
        <f t="shared" si="54"/>
        <v>3835.4666727450867</v>
      </c>
      <c r="AB78" s="114">
        <f t="shared" si="51"/>
        <v>1111.67</v>
      </c>
      <c r="AC78" s="114">
        <f t="shared" si="51"/>
        <v>0</v>
      </c>
      <c r="AD78" s="131">
        <f t="shared" si="55"/>
        <v>1111.67</v>
      </c>
      <c r="AF78" s="163">
        <f t="shared" ref="AF78:AF92" si="57">AH78*K78</f>
        <v>1111.6650260115607</v>
      </c>
      <c r="AG78" s="163">
        <f t="shared" ref="AG78:AG92" si="58">AH78*L78</f>
        <v>0</v>
      </c>
      <c r="AH78" s="177">
        <v>1111.6650260115607</v>
      </c>
    </row>
    <row r="79" spans="1:34" ht="43.5" customHeight="1" x14ac:dyDescent="0.25">
      <c r="A79" s="221" t="s">
        <v>317</v>
      </c>
      <c r="B79" s="116" t="s">
        <v>333</v>
      </c>
      <c r="C79" s="105"/>
      <c r="D79" s="106"/>
      <c r="E79" s="107"/>
      <c r="F79" s="108"/>
      <c r="G79" s="108"/>
      <c r="H79" s="108"/>
      <c r="I79" s="109"/>
      <c r="J79" s="108"/>
      <c r="K79" s="110">
        <v>1</v>
      </c>
      <c r="L79" s="110">
        <v>0</v>
      </c>
      <c r="M79" s="108"/>
      <c r="N79" s="108"/>
      <c r="O79" s="108"/>
      <c r="P79" s="108"/>
      <c r="Q79" s="111"/>
      <c r="R79" s="108"/>
      <c r="S79" s="113"/>
      <c r="T79" s="113"/>
      <c r="U79" s="113"/>
      <c r="V79" s="113"/>
      <c r="W79" s="111"/>
      <c r="X79" s="111">
        <f t="shared" si="56"/>
        <v>5983.0057803468217</v>
      </c>
      <c r="Y79" s="114">
        <f t="shared" si="52"/>
        <v>5983.0057803468217</v>
      </c>
      <c r="Z79" s="114">
        <f t="shared" si="53"/>
        <v>0</v>
      </c>
      <c r="AA79" s="111">
        <f t="shared" si="54"/>
        <v>5983.0057803468217</v>
      </c>
      <c r="AB79" s="114">
        <f t="shared" si="51"/>
        <v>1734.1</v>
      </c>
      <c r="AC79" s="114">
        <f t="shared" si="51"/>
        <v>0</v>
      </c>
      <c r="AD79" s="131">
        <f t="shared" si="55"/>
        <v>1734.1</v>
      </c>
      <c r="AF79" s="163">
        <f t="shared" si="57"/>
        <v>1734.1040462427748</v>
      </c>
      <c r="AG79" s="163">
        <f t="shared" si="58"/>
        <v>0</v>
      </c>
      <c r="AH79" s="177">
        <v>1734.1040462427748</v>
      </c>
    </row>
    <row r="80" spans="1:34" ht="43.5" customHeight="1" x14ac:dyDescent="0.25">
      <c r="A80" s="221" t="s">
        <v>318</v>
      </c>
      <c r="B80" s="116" t="s">
        <v>334</v>
      </c>
      <c r="C80" s="105"/>
      <c r="D80" s="106"/>
      <c r="E80" s="107"/>
      <c r="F80" s="108"/>
      <c r="G80" s="108"/>
      <c r="H80" s="108"/>
      <c r="I80" s="109"/>
      <c r="J80" s="108"/>
      <c r="K80" s="110">
        <v>1</v>
      </c>
      <c r="L80" s="110">
        <v>0</v>
      </c>
      <c r="M80" s="108"/>
      <c r="N80" s="108"/>
      <c r="O80" s="108"/>
      <c r="P80" s="108"/>
      <c r="Q80" s="111"/>
      <c r="R80" s="108"/>
      <c r="S80" s="113"/>
      <c r="T80" s="113"/>
      <c r="U80" s="113"/>
      <c r="V80" s="113"/>
      <c r="W80" s="111"/>
      <c r="X80" s="111">
        <f t="shared" si="56"/>
        <v>1887.6658953843933</v>
      </c>
      <c r="Y80" s="114">
        <f t="shared" si="52"/>
        <v>1887.6658953843933</v>
      </c>
      <c r="Z80" s="114">
        <f t="shared" si="53"/>
        <v>0</v>
      </c>
      <c r="AA80" s="111">
        <f t="shared" si="54"/>
        <v>1887.6658953843933</v>
      </c>
      <c r="AB80" s="114">
        <f t="shared" si="51"/>
        <v>547.12</v>
      </c>
      <c r="AC80" s="114">
        <f t="shared" si="51"/>
        <v>0</v>
      </c>
      <c r="AD80" s="131">
        <f t="shared" si="55"/>
        <v>547.12</v>
      </c>
      <c r="AF80" s="163">
        <f t="shared" si="57"/>
        <v>547.11781791907515</v>
      </c>
      <c r="AG80" s="163">
        <f t="shared" si="58"/>
        <v>0</v>
      </c>
      <c r="AH80" s="177">
        <v>547.11781791907515</v>
      </c>
    </row>
    <row r="81" spans="1:34" ht="43.5" customHeight="1" x14ac:dyDescent="0.25">
      <c r="A81" s="221" t="s">
        <v>319</v>
      </c>
      <c r="B81" s="116" t="s">
        <v>335</v>
      </c>
      <c r="C81" s="105"/>
      <c r="D81" s="106"/>
      <c r="E81" s="107"/>
      <c r="F81" s="108"/>
      <c r="G81" s="108"/>
      <c r="H81" s="108"/>
      <c r="I81" s="109"/>
      <c r="J81" s="108"/>
      <c r="K81" s="110"/>
      <c r="L81" s="110">
        <v>100</v>
      </c>
      <c r="M81" s="108"/>
      <c r="N81" s="108"/>
      <c r="O81" s="108"/>
      <c r="P81" s="108"/>
      <c r="Q81" s="111"/>
      <c r="R81" s="108"/>
      <c r="S81" s="113"/>
      <c r="T81" s="113"/>
      <c r="U81" s="113"/>
      <c r="V81" s="113"/>
      <c r="W81" s="111"/>
      <c r="X81" s="111">
        <f t="shared" si="56"/>
        <v>19715.94248028555</v>
      </c>
      <c r="Y81" s="114">
        <f t="shared" si="52"/>
        <v>0</v>
      </c>
      <c r="Z81" s="114">
        <f t="shared" si="53"/>
        <v>1971594.248028555</v>
      </c>
      <c r="AA81" s="111">
        <f t="shared" si="54"/>
        <v>1971594.248028555</v>
      </c>
      <c r="AB81" s="114">
        <f t="shared" si="51"/>
        <v>0</v>
      </c>
      <c r="AC81" s="114">
        <f t="shared" si="51"/>
        <v>571443.47</v>
      </c>
      <c r="AD81" s="131">
        <f t="shared" si="55"/>
        <v>571443.47</v>
      </c>
      <c r="AF81" s="163">
        <f t="shared" si="57"/>
        <v>0</v>
      </c>
      <c r="AG81" s="163">
        <f t="shared" si="58"/>
        <v>571443.46647398837</v>
      </c>
      <c r="AH81" s="177">
        <v>5714.4346647398843</v>
      </c>
    </row>
    <row r="82" spans="1:34" ht="43.5" customHeight="1" x14ac:dyDescent="0.25">
      <c r="A82" s="221" t="s">
        <v>320</v>
      </c>
      <c r="B82" s="116" t="s">
        <v>336</v>
      </c>
      <c r="C82" s="105"/>
      <c r="D82" s="106"/>
      <c r="E82" s="107"/>
      <c r="F82" s="108"/>
      <c r="G82" s="108"/>
      <c r="H82" s="108"/>
      <c r="I82" s="109"/>
      <c r="J82" s="108"/>
      <c r="K82" s="110">
        <v>0.62534780550325397</v>
      </c>
      <c r="L82" s="110">
        <v>0.37465219449674603</v>
      </c>
      <c r="M82" s="108"/>
      <c r="N82" s="108"/>
      <c r="O82" s="108"/>
      <c r="P82" s="108"/>
      <c r="Q82" s="111"/>
      <c r="R82" s="108"/>
      <c r="S82" s="113"/>
      <c r="T82" s="113"/>
      <c r="U82" s="113"/>
      <c r="V82" s="113"/>
      <c r="W82" s="111"/>
      <c r="X82" s="111">
        <f t="shared" si="56"/>
        <v>61560.422010934097</v>
      </c>
      <c r="Y82" s="114">
        <f t="shared" si="52"/>
        <v>38496.674810391851</v>
      </c>
      <c r="Z82" s="114">
        <f t="shared" si="53"/>
        <v>23063.747200542246</v>
      </c>
      <c r="AA82" s="111">
        <f t="shared" si="54"/>
        <v>61560.422010934097</v>
      </c>
      <c r="AB82" s="114">
        <f t="shared" si="51"/>
        <v>11157.81</v>
      </c>
      <c r="AC82" s="114">
        <f t="shared" si="51"/>
        <v>6684.76</v>
      </c>
      <c r="AD82" s="131">
        <f t="shared" si="55"/>
        <v>17842.57</v>
      </c>
      <c r="AF82" s="163">
        <f t="shared" si="57"/>
        <v>11157.809637236058</v>
      </c>
      <c r="AG82" s="163">
        <f t="shared" si="58"/>
        <v>6684.7565939778115</v>
      </c>
      <c r="AH82" s="177">
        <v>17842.56623121387</v>
      </c>
    </row>
    <row r="83" spans="1:34" ht="43.5" customHeight="1" x14ac:dyDescent="0.25">
      <c r="A83" s="221" t="s">
        <v>321</v>
      </c>
      <c r="B83" s="116" t="s">
        <v>337</v>
      </c>
      <c r="C83" s="105"/>
      <c r="D83" s="106"/>
      <c r="E83" s="107"/>
      <c r="F83" s="108"/>
      <c r="G83" s="108"/>
      <c r="H83" s="108"/>
      <c r="I83" s="109"/>
      <c r="J83" s="108"/>
      <c r="K83" s="110">
        <v>1</v>
      </c>
      <c r="L83" s="110">
        <v>0</v>
      </c>
      <c r="M83" s="108"/>
      <c r="N83" s="108"/>
      <c r="O83" s="108"/>
      <c r="P83" s="108"/>
      <c r="Q83" s="111"/>
      <c r="R83" s="108"/>
      <c r="S83" s="113"/>
      <c r="T83" s="113"/>
      <c r="U83" s="113"/>
      <c r="V83" s="113"/>
      <c r="W83" s="111"/>
      <c r="X83" s="111">
        <f t="shared" si="56"/>
        <v>31709.930635838147</v>
      </c>
      <c r="Y83" s="114">
        <f t="shared" si="52"/>
        <v>31709.930635838147</v>
      </c>
      <c r="Z83" s="114">
        <f t="shared" si="53"/>
        <v>0</v>
      </c>
      <c r="AA83" s="111">
        <f t="shared" si="54"/>
        <v>31709.930635838147</v>
      </c>
      <c r="AB83" s="114">
        <f t="shared" si="51"/>
        <v>9190.75</v>
      </c>
      <c r="AC83" s="114">
        <f t="shared" si="51"/>
        <v>0</v>
      </c>
      <c r="AD83" s="131">
        <f t="shared" si="55"/>
        <v>9190.75</v>
      </c>
      <c r="AF83" s="163">
        <f t="shared" si="57"/>
        <v>9190.7514450867038</v>
      </c>
      <c r="AG83" s="163">
        <f t="shared" si="58"/>
        <v>0</v>
      </c>
      <c r="AH83" s="177">
        <v>9190.7514450867038</v>
      </c>
    </row>
    <row r="84" spans="1:34" ht="43.5" customHeight="1" x14ac:dyDescent="0.25">
      <c r="A84" s="221" t="s">
        <v>322</v>
      </c>
      <c r="B84" s="116" t="s">
        <v>338</v>
      </c>
      <c r="C84" s="105"/>
      <c r="D84" s="106"/>
      <c r="E84" s="107"/>
      <c r="F84" s="108"/>
      <c r="G84" s="108"/>
      <c r="H84" s="108"/>
      <c r="I84" s="109"/>
      <c r="J84" s="108"/>
      <c r="K84" s="110">
        <v>1</v>
      </c>
      <c r="L84" s="110">
        <v>0</v>
      </c>
      <c r="M84" s="108"/>
      <c r="N84" s="108"/>
      <c r="O84" s="108"/>
      <c r="P84" s="108"/>
      <c r="Q84" s="111"/>
      <c r="R84" s="108"/>
      <c r="S84" s="113"/>
      <c r="T84" s="113"/>
      <c r="U84" s="113"/>
      <c r="V84" s="113"/>
      <c r="W84" s="111"/>
      <c r="X84" s="111">
        <f t="shared" si="56"/>
        <v>86.25500000000001</v>
      </c>
      <c r="Y84" s="114">
        <f t="shared" si="52"/>
        <v>86.25500000000001</v>
      </c>
      <c r="Z84" s="114">
        <f t="shared" si="53"/>
        <v>0</v>
      </c>
      <c r="AA84" s="111">
        <f t="shared" si="54"/>
        <v>86.25500000000001</v>
      </c>
      <c r="AB84" s="114">
        <f t="shared" si="51"/>
        <v>25</v>
      </c>
      <c r="AC84" s="114">
        <f t="shared" si="51"/>
        <v>0</v>
      </c>
      <c r="AD84" s="131">
        <f t="shared" si="55"/>
        <v>25</v>
      </c>
      <c r="AF84" s="163">
        <f t="shared" si="57"/>
        <v>25</v>
      </c>
      <c r="AG84" s="163">
        <f t="shared" si="58"/>
        <v>0</v>
      </c>
      <c r="AH84" s="177">
        <v>25</v>
      </c>
    </row>
    <row r="85" spans="1:34" ht="43.5" customHeight="1" x14ac:dyDescent="0.25">
      <c r="A85" s="221" t="s">
        <v>323</v>
      </c>
      <c r="B85" s="116" t="s">
        <v>339</v>
      </c>
      <c r="C85" s="105"/>
      <c r="D85" s="106"/>
      <c r="E85" s="107"/>
      <c r="F85" s="108"/>
      <c r="G85" s="108"/>
      <c r="H85" s="108"/>
      <c r="I85" s="109"/>
      <c r="J85" s="108"/>
      <c r="K85" s="110">
        <v>1</v>
      </c>
      <c r="L85" s="110">
        <v>0</v>
      </c>
      <c r="M85" s="108"/>
      <c r="N85" s="108"/>
      <c r="O85" s="108"/>
      <c r="P85" s="108"/>
      <c r="Q85" s="111"/>
      <c r="R85" s="108"/>
      <c r="S85" s="113"/>
      <c r="T85" s="113"/>
      <c r="U85" s="113"/>
      <c r="V85" s="113"/>
      <c r="W85" s="111"/>
      <c r="X85" s="111">
        <f t="shared" si="56"/>
        <v>241.51400000000001</v>
      </c>
      <c r="Y85" s="114">
        <f t="shared" si="52"/>
        <v>241.51400000000001</v>
      </c>
      <c r="Z85" s="114">
        <f t="shared" si="53"/>
        <v>0</v>
      </c>
      <c r="AA85" s="111">
        <f t="shared" si="54"/>
        <v>241.51400000000001</v>
      </c>
      <c r="AB85" s="114">
        <f t="shared" si="51"/>
        <v>70</v>
      </c>
      <c r="AC85" s="114">
        <f t="shared" si="51"/>
        <v>0</v>
      </c>
      <c r="AD85" s="131">
        <f t="shared" si="55"/>
        <v>70</v>
      </c>
      <c r="AF85" s="163">
        <f t="shared" si="57"/>
        <v>70</v>
      </c>
      <c r="AG85" s="163">
        <f t="shared" si="58"/>
        <v>0</v>
      </c>
      <c r="AH85" s="177">
        <v>70</v>
      </c>
    </row>
    <row r="86" spans="1:34" ht="43.5" customHeight="1" x14ac:dyDescent="0.25">
      <c r="A86" s="221" t="s">
        <v>324</v>
      </c>
      <c r="B86" s="116" t="s">
        <v>340</v>
      </c>
      <c r="C86" s="105"/>
      <c r="D86" s="106"/>
      <c r="E86" s="107"/>
      <c r="F86" s="108"/>
      <c r="G86" s="108"/>
      <c r="H86" s="108"/>
      <c r="I86" s="109"/>
      <c r="J86" s="108"/>
      <c r="K86" s="110">
        <v>1</v>
      </c>
      <c r="L86" s="110"/>
      <c r="M86" s="108"/>
      <c r="N86" s="108"/>
      <c r="O86" s="108"/>
      <c r="P86" s="108"/>
      <c r="Q86" s="111"/>
      <c r="R86" s="108"/>
      <c r="S86" s="113"/>
      <c r="T86" s="113"/>
      <c r="U86" s="113"/>
      <c r="V86" s="113"/>
      <c r="W86" s="111"/>
      <c r="X86" s="111">
        <f t="shared" si="56"/>
        <v>69.004000000000005</v>
      </c>
      <c r="Y86" s="114">
        <f t="shared" si="52"/>
        <v>69.004000000000005</v>
      </c>
      <c r="Z86" s="114">
        <f t="shared" si="53"/>
        <v>0</v>
      </c>
      <c r="AA86" s="111">
        <f t="shared" si="54"/>
        <v>69.004000000000005</v>
      </c>
      <c r="AB86" s="114">
        <f t="shared" si="51"/>
        <v>20</v>
      </c>
      <c r="AC86" s="114">
        <f t="shared" si="51"/>
        <v>0</v>
      </c>
      <c r="AD86" s="131">
        <f t="shared" si="55"/>
        <v>20</v>
      </c>
      <c r="AF86" s="163">
        <f t="shared" si="57"/>
        <v>20</v>
      </c>
      <c r="AG86" s="163">
        <f t="shared" si="58"/>
        <v>0</v>
      </c>
      <c r="AH86" s="177">
        <v>20</v>
      </c>
    </row>
    <row r="87" spans="1:34" ht="43.5" customHeight="1" x14ac:dyDescent="0.25">
      <c r="A87" s="221" t="s">
        <v>325</v>
      </c>
      <c r="B87" s="116" t="s">
        <v>341</v>
      </c>
      <c r="C87" s="105"/>
      <c r="D87" s="106"/>
      <c r="E87" s="107"/>
      <c r="F87" s="108"/>
      <c r="G87" s="108"/>
      <c r="H87" s="108"/>
      <c r="I87" s="109"/>
      <c r="J87" s="108"/>
      <c r="K87" s="110">
        <v>1</v>
      </c>
      <c r="L87" s="110"/>
      <c r="M87" s="108"/>
      <c r="N87" s="108"/>
      <c r="O87" s="108"/>
      <c r="P87" s="108"/>
      <c r="Q87" s="111"/>
      <c r="R87" s="108"/>
      <c r="S87" s="113"/>
      <c r="T87" s="113"/>
      <c r="U87" s="113"/>
      <c r="V87" s="113"/>
      <c r="W87" s="111"/>
      <c r="X87" s="111">
        <f t="shared" si="56"/>
        <v>69.004000000000005</v>
      </c>
      <c r="Y87" s="114">
        <f t="shared" si="52"/>
        <v>69.004000000000005</v>
      </c>
      <c r="Z87" s="114">
        <f t="shared" si="53"/>
        <v>0</v>
      </c>
      <c r="AA87" s="111">
        <f t="shared" si="54"/>
        <v>69.004000000000005</v>
      </c>
      <c r="AB87" s="114">
        <f t="shared" si="51"/>
        <v>20</v>
      </c>
      <c r="AC87" s="114">
        <f t="shared" si="51"/>
        <v>0</v>
      </c>
      <c r="AD87" s="131">
        <f t="shared" si="55"/>
        <v>20</v>
      </c>
      <c r="AF87" s="163">
        <f t="shared" si="57"/>
        <v>20</v>
      </c>
      <c r="AG87" s="163">
        <f t="shared" si="58"/>
        <v>0</v>
      </c>
      <c r="AH87" s="177">
        <v>20</v>
      </c>
    </row>
    <row r="88" spans="1:34" ht="43.5" customHeight="1" x14ac:dyDescent="0.25">
      <c r="A88" s="221" t="s">
        <v>326</v>
      </c>
      <c r="B88" s="116" t="s">
        <v>342</v>
      </c>
      <c r="C88" s="105"/>
      <c r="D88" s="106"/>
      <c r="E88" s="107"/>
      <c r="F88" s="108"/>
      <c r="G88" s="108"/>
      <c r="H88" s="108"/>
      <c r="I88" s="109"/>
      <c r="J88" s="108"/>
      <c r="K88" s="110">
        <v>1</v>
      </c>
      <c r="L88" s="110"/>
      <c r="M88" s="108"/>
      <c r="N88" s="108"/>
      <c r="O88" s="108"/>
      <c r="P88" s="108"/>
      <c r="Q88" s="111"/>
      <c r="R88" s="108"/>
      <c r="S88" s="113"/>
      <c r="T88" s="113"/>
      <c r="U88" s="113"/>
      <c r="V88" s="113"/>
      <c r="W88" s="111"/>
      <c r="X88" s="475">
        <f t="shared" si="56"/>
        <v>99.716763005780351</v>
      </c>
      <c r="Y88" s="471">
        <f t="shared" si="52"/>
        <v>99.716763005780351</v>
      </c>
      <c r="Z88" s="471">
        <f t="shared" si="53"/>
        <v>0</v>
      </c>
      <c r="AA88" s="475">
        <f t="shared" si="54"/>
        <v>99.716763005780351</v>
      </c>
      <c r="AB88" s="471">
        <f t="shared" si="51"/>
        <v>28.9</v>
      </c>
      <c r="AC88" s="114">
        <f t="shared" si="51"/>
        <v>0</v>
      </c>
      <c r="AD88" s="131">
        <f t="shared" si="55"/>
        <v>28.9</v>
      </c>
      <c r="AF88" s="163">
        <f t="shared" si="57"/>
        <v>28.901734104046241</v>
      </c>
      <c r="AG88" s="163">
        <f t="shared" si="58"/>
        <v>0</v>
      </c>
      <c r="AH88" s="177">
        <v>28.901734104046241</v>
      </c>
    </row>
    <row r="89" spans="1:34" ht="43.5" customHeight="1" x14ac:dyDescent="0.25">
      <c r="A89" s="221" t="s">
        <v>327</v>
      </c>
      <c r="B89" s="116" t="s">
        <v>343</v>
      </c>
      <c r="C89" s="105"/>
      <c r="D89" s="106"/>
      <c r="E89" s="107"/>
      <c r="F89" s="108"/>
      <c r="G89" s="108"/>
      <c r="H89" s="108"/>
      <c r="I89" s="109"/>
      <c r="J89" s="108"/>
      <c r="K89" s="110">
        <v>1</v>
      </c>
      <c r="L89" s="110"/>
      <c r="M89" s="108"/>
      <c r="N89" s="108"/>
      <c r="O89" s="108"/>
      <c r="P89" s="108"/>
      <c r="Q89" s="111"/>
      <c r="R89" s="108"/>
      <c r="S89" s="113"/>
      <c r="T89" s="113"/>
      <c r="U89" s="113"/>
      <c r="V89" s="113"/>
      <c r="W89" s="111"/>
      <c r="X89" s="111">
        <f t="shared" si="56"/>
        <v>3277.6034372794597</v>
      </c>
      <c r="Y89" s="114">
        <f t="shared" si="52"/>
        <v>3277.6034372794597</v>
      </c>
      <c r="Z89" s="114">
        <f t="shared" si="53"/>
        <v>0</v>
      </c>
      <c r="AA89" s="111">
        <f t="shared" si="54"/>
        <v>3277.6034372794597</v>
      </c>
      <c r="AB89" s="114">
        <f t="shared" ref="AB89:AC92" si="59">ROUND(Y89/$AE$2,2)</f>
        <v>949.97</v>
      </c>
      <c r="AC89" s="114">
        <f t="shared" si="59"/>
        <v>0</v>
      </c>
      <c r="AD89" s="131">
        <f t="shared" si="55"/>
        <v>949.97</v>
      </c>
      <c r="AF89" s="163">
        <f t="shared" si="57"/>
        <v>949.9749108108108</v>
      </c>
      <c r="AG89" s="163">
        <f t="shared" si="58"/>
        <v>0</v>
      </c>
      <c r="AH89" s="177">
        <v>949.9749108108108</v>
      </c>
    </row>
    <row r="90" spans="1:34" ht="43.5" customHeight="1" x14ac:dyDescent="0.25">
      <c r="A90" s="221" t="s">
        <v>328</v>
      </c>
      <c r="B90" s="116" t="s">
        <v>344</v>
      </c>
      <c r="C90" s="105"/>
      <c r="D90" s="106"/>
      <c r="E90" s="107"/>
      <c r="F90" s="108"/>
      <c r="G90" s="108"/>
      <c r="H90" s="108"/>
      <c r="I90" s="109"/>
      <c r="J90" s="108"/>
      <c r="K90" s="110">
        <v>1</v>
      </c>
      <c r="L90" s="110"/>
      <c r="M90" s="108"/>
      <c r="N90" s="108"/>
      <c r="O90" s="108"/>
      <c r="P90" s="108"/>
      <c r="Q90" s="111"/>
      <c r="R90" s="108"/>
      <c r="S90" s="113"/>
      <c r="T90" s="113"/>
      <c r="U90" s="113"/>
      <c r="V90" s="113"/>
      <c r="W90" s="111"/>
      <c r="X90" s="111">
        <f t="shared" si="56"/>
        <v>4986.8383649022153</v>
      </c>
      <c r="Y90" s="114">
        <f t="shared" si="52"/>
        <v>4986.8383649022153</v>
      </c>
      <c r="Z90" s="114">
        <f t="shared" si="53"/>
        <v>0</v>
      </c>
      <c r="AA90" s="111">
        <f t="shared" si="54"/>
        <v>4986.8383649022153</v>
      </c>
      <c r="AB90" s="114">
        <f t="shared" si="59"/>
        <v>1445.38</v>
      </c>
      <c r="AC90" s="114">
        <f t="shared" si="59"/>
        <v>0</v>
      </c>
      <c r="AD90" s="131">
        <f t="shared" si="55"/>
        <v>1445.38</v>
      </c>
      <c r="AF90" s="163">
        <f t="shared" si="57"/>
        <v>1445.3766056756754</v>
      </c>
      <c r="AG90" s="163">
        <f t="shared" si="58"/>
        <v>0</v>
      </c>
      <c r="AH90" s="177">
        <v>1445.3766056756754</v>
      </c>
    </row>
    <row r="91" spans="1:34" ht="43.5" customHeight="1" x14ac:dyDescent="0.25">
      <c r="A91" s="221" t="s">
        <v>329</v>
      </c>
      <c r="B91" s="116" t="s">
        <v>345</v>
      </c>
      <c r="C91" s="105"/>
      <c r="D91" s="106"/>
      <c r="E91" s="107"/>
      <c r="F91" s="108"/>
      <c r="G91" s="108"/>
      <c r="H91" s="108"/>
      <c r="I91" s="109"/>
      <c r="J91" s="108"/>
      <c r="K91" s="110">
        <v>0</v>
      </c>
      <c r="L91" s="110">
        <v>1</v>
      </c>
      <c r="M91" s="108"/>
      <c r="N91" s="108"/>
      <c r="O91" s="108"/>
      <c r="P91" s="108"/>
      <c r="Q91" s="111"/>
      <c r="R91" s="108"/>
      <c r="S91" s="113"/>
      <c r="T91" s="113"/>
      <c r="U91" s="113"/>
      <c r="V91" s="113"/>
      <c r="W91" s="111"/>
      <c r="X91" s="111">
        <f t="shared" si="56"/>
        <v>23198.39881081081</v>
      </c>
      <c r="Y91" s="114">
        <f t="shared" si="52"/>
        <v>0</v>
      </c>
      <c r="Z91" s="114">
        <f t="shared" si="53"/>
        <v>23198.39881081081</v>
      </c>
      <c r="AA91" s="111">
        <f t="shared" si="54"/>
        <v>23198.39881081081</v>
      </c>
      <c r="AB91" s="114">
        <f t="shared" si="59"/>
        <v>0</v>
      </c>
      <c r="AC91" s="114">
        <f t="shared" si="59"/>
        <v>6723.78</v>
      </c>
      <c r="AD91" s="131">
        <f t="shared" si="55"/>
        <v>6723.78</v>
      </c>
      <c r="AF91" s="163">
        <f t="shared" si="57"/>
        <v>0</v>
      </c>
      <c r="AG91" s="163">
        <f t="shared" si="58"/>
        <v>6723.7837837837833</v>
      </c>
      <c r="AH91" s="177">
        <v>6723.7837837837833</v>
      </c>
    </row>
    <row r="92" spans="1:34" ht="43.5" customHeight="1" thickBot="1" x14ac:dyDescent="0.3">
      <c r="A92" s="222" t="s">
        <v>330</v>
      </c>
      <c r="B92" s="157" t="s">
        <v>346</v>
      </c>
      <c r="C92" s="134"/>
      <c r="D92" s="135"/>
      <c r="E92" s="136"/>
      <c r="F92" s="137"/>
      <c r="G92" s="137"/>
      <c r="H92" s="137"/>
      <c r="I92" s="138"/>
      <c r="J92" s="137"/>
      <c r="K92" s="139">
        <v>1</v>
      </c>
      <c r="L92" s="139"/>
      <c r="M92" s="137"/>
      <c r="N92" s="137"/>
      <c r="O92" s="137"/>
      <c r="P92" s="137"/>
      <c r="Q92" s="140"/>
      <c r="R92" s="137"/>
      <c r="S92" s="142"/>
      <c r="T92" s="142"/>
      <c r="U92" s="142"/>
      <c r="V92" s="142"/>
      <c r="W92" s="140"/>
      <c r="X92" s="111">
        <f t="shared" si="56"/>
        <v>3533.1912972972837</v>
      </c>
      <c r="Y92" s="114">
        <f t="shared" si="52"/>
        <v>3533.1912972972837</v>
      </c>
      <c r="Z92" s="114">
        <f t="shared" si="53"/>
        <v>0</v>
      </c>
      <c r="AA92" s="111">
        <f t="shared" si="54"/>
        <v>3533.1912972972837</v>
      </c>
      <c r="AB92" s="114">
        <f t="shared" si="59"/>
        <v>1024.05</v>
      </c>
      <c r="AC92" s="114">
        <f t="shared" si="59"/>
        <v>0</v>
      </c>
      <c r="AD92" s="131">
        <f t="shared" si="55"/>
        <v>1024.05</v>
      </c>
      <c r="AF92" s="163">
        <f t="shared" si="57"/>
        <v>1024.0540540540501</v>
      </c>
      <c r="AG92" s="163">
        <f t="shared" si="58"/>
        <v>0</v>
      </c>
      <c r="AH92" s="177">
        <v>1024.0540540540501</v>
      </c>
    </row>
    <row r="93" spans="1:34" ht="43.5" customHeight="1" thickBot="1" x14ac:dyDescent="0.3">
      <c r="B93" s="91" t="s">
        <v>219</v>
      </c>
      <c r="C93" s="104"/>
      <c r="D93" s="98"/>
      <c r="E93" s="99"/>
      <c r="F93" s="89">
        <f>SUM(F94:F108)</f>
        <v>15101279.510000002</v>
      </c>
      <c r="G93" s="89">
        <f>SUM(G94:G108)</f>
        <v>0</v>
      </c>
      <c r="H93" s="89">
        <f>SUM(H94:H108)</f>
        <v>15101279.510000002</v>
      </c>
      <c r="I93" s="101"/>
      <c r="J93" s="89">
        <f>SUM(J94:J108)</f>
        <v>15167931.08</v>
      </c>
      <c r="K93" s="102"/>
      <c r="L93" s="102"/>
      <c r="M93" s="89">
        <f>SUM(M94:M108)</f>
        <v>11370720.879999999</v>
      </c>
      <c r="N93" s="89">
        <f>SUM(N94:N108)</f>
        <v>68157.59</v>
      </c>
      <c r="O93" s="89">
        <f>SUM(O94:O108)</f>
        <v>0</v>
      </c>
      <c r="P93" s="89">
        <f>SUM(P94:P108)</f>
        <v>0</v>
      </c>
      <c r="Q93" s="89">
        <f>SUM(Q94:Q108)</f>
        <v>11438878.470000001</v>
      </c>
      <c r="R93" s="100"/>
      <c r="S93" s="89">
        <f>SUM(S94:S108)</f>
        <v>3283951.5</v>
      </c>
      <c r="T93" s="89">
        <f>SUM(T94:T108)</f>
        <v>31310.229999999996</v>
      </c>
      <c r="U93" s="89">
        <f>SUM(U94:U108)</f>
        <v>0</v>
      </c>
      <c r="V93" s="89">
        <f>SUM(V94:V108)</f>
        <v>0</v>
      </c>
      <c r="W93" s="89">
        <f>SUM(W94:W108)</f>
        <v>3315261.73</v>
      </c>
      <c r="X93" s="89">
        <f>SUM(X94:X126)</f>
        <v>13758948.289583819</v>
      </c>
      <c r="Y93" s="89">
        <f t="shared" ref="Y93:AD93" si="60">SUM(Y94:Y126)</f>
        <v>13758046.439583817</v>
      </c>
      <c r="Z93" s="89">
        <f t="shared" si="60"/>
        <v>901.85</v>
      </c>
      <c r="AA93" s="89">
        <f t="shared" si="60"/>
        <v>13758948.289583819</v>
      </c>
      <c r="AB93" s="89">
        <f t="shared" si="60"/>
        <v>3987608.39</v>
      </c>
      <c r="AC93" s="89">
        <f t="shared" si="60"/>
        <v>261.39</v>
      </c>
      <c r="AD93" s="89">
        <f t="shared" si="60"/>
        <v>3987869.7800000003</v>
      </c>
      <c r="AF93" s="89">
        <f>SUM(AF94:AF126)</f>
        <v>3017.9051445086707</v>
      </c>
      <c r="AG93" s="89">
        <f>SUM(AG94:AG126)</f>
        <v>0</v>
      </c>
      <c r="AH93" s="89">
        <f>SUM(AH94:AH126)</f>
        <v>3017.9051445086707</v>
      </c>
    </row>
    <row r="94" spans="1:34" ht="43.5" customHeight="1" x14ac:dyDescent="0.25">
      <c r="A94" s="30" t="s">
        <v>347</v>
      </c>
      <c r="B94" s="144" t="s">
        <v>205</v>
      </c>
      <c r="C94" s="121" t="s">
        <v>39</v>
      </c>
      <c r="D94" s="122" t="s">
        <v>117</v>
      </c>
      <c r="E94" s="123" t="s">
        <v>67</v>
      </c>
      <c r="F94" s="124">
        <v>204584</v>
      </c>
      <c r="G94" s="124"/>
      <c r="H94" s="124">
        <f t="shared" ref="H94:H106" si="61">F94+G94</f>
        <v>204584</v>
      </c>
      <c r="I94" s="125"/>
      <c r="J94" s="124">
        <f t="shared" ref="J94:J106" si="62">H94+I94</f>
        <v>204584</v>
      </c>
      <c r="K94" s="126">
        <v>1</v>
      </c>
      <c r="L94" s="126"/>
      <c r="M94" s="124">
        <v>204584</v>
      </c>
      <c r="N94" s="124"/>
      <c r="O94" s="124"/>
      <c r="P94" s="124"/>
      <c r="Q94" s="127">
        <f t="shared" si="46"/>
        <v>204584</v>
      </c>
      <c r="R94" s="124"/>
      <c r="S94" s="145">
        <v>86036.36</v>
      </c>
      <c r="T94" s="128"/>
      <c r="U94" s="128"/>
      <c r="V94" s="128"/>
      <c r="W94" s="127">
        <f t="shared" ref="W94:X108" si="63">S94+T94+U94+V94</f>
        <v>86036.36</v>
      </c>
      <c r="X94" s="127">
        <f t="shared" si="63"/>
        <v>86036.36</v>
      </c>
      <c r="Y94" s="128">
        <f t="shared" ref="Y94:Y108" si="64">X94*K94</f>
        <v>86036.36</v>
      </c>
      <c r="Z94" s="128">
        <f t="shared" ref="Z94:Z108" si="65">X94*L94</f>
        <v>0</v>
      </c>
      <c r="AA94" s="127">
        <f t="shared" ref="AA94:AA108" si="66">Y94+Z94</f>
        <v>86036.36</v>
      </c>
      <c r="AB94" s="128">
        <f t="shared" ref="AB94:AB108" si="67">ROUND(Y94/$AE$2,2)</f>
        <v>24936.63</v>
      </c>
      <c r="AC94" s="128">
        <f t="shared" ref="AC94:AC108" si="68">ROUND(Z94/$AE$2,2)</f>
        <v>0</v>
      </c>
      <c r="AD94" s="129">
        <f t="shared" ref="AD94:AD108" si="69">AB94+AC94</f>
        <v>24936.63</v>
      </c>
      <c r="AF94" s="73" t="s">
        <v>86</v>
      </c>
      <c r="AG94" s="72" t="s">
        <v>87</v>
      </c>
      <c r="AH94" s="74" t="s">
        <v>92</v>
      </c>
    </row>
    <row r="95" spans="1:34" ht="36" customHeight="1" x14ac:dyDescent="0.25">
      <c r="A95" s="30" t="s">
        <v>349</v>
      </c>
      <c r="B95" s="149" t="s">
        <v>206</v>
      </c>
      <c r="C95" s="153" t="s">
        <v>136</v>
      </c>
      <c r="D95" s="106" t="s">
        <v>102</v>
      </c>
      <c r="E95" s="107" t="s">
        <v>1</v>
      </c>
      <c r="F95" s="108">
        <v>404440</v>
      </c>
      <c r="G95" s="108"/>
      <c r="H95" s="108">
        <f t="shared" si="61"/>
        <v>404440</v>
      </c>
      <c r="I95" s="109"/>
      <c r="J95" s="108">
        <f t="shared" si="62"/>
        <v>404440</v>
      </c>
      <c r="K95" s="110">
        <v>1</v>
      </c>
      <c r="L95" s="110"/>
      <c r="M95" s="108">
        <v>427757.3</v>
      </c>
      <c r="N95" s="108"/>
      <c r="O95" s="108"/>
      <c r="P95" s="108"/>
      <c r="Q95" s="111">
        <f t="shared" si="46"/>
        <v>427757.3</v>
      </c>
      <c r="R95" s="108"/>
      <c r="S95" s="113">
        <f>118438.37-T95</f>
        <v>106259.76999999999</v>
      </c>
      <c r="T95" s="151">
        <v>12178.6</v>
      </c>
      <c r="U95" s="114"/>
      <c r="V95" s="114"/>
      <c r="W95" s="111">
        <f t="shared" si="63"/>
        <v>118438.37</v>
      </c>
      <c r="X95" s="111">
        <f t="shared" si="63"/>
        <v>130616.97</v>
      </c>
      <c r="Y95" s="114">
        <f t="shared" si="64"/>
        <v>130616.97</v>
      </c>
      <c r="Z95" s="114">
        <f t="shared" si="65"/>
        <v>0</v>
      </c>
      <c r="AA95" s="111">
        <f t="shared" si="66"/>
        <v>130616.97</v>
      </c>
      <c r="AB95" s="114">
        <f t="shared" si="67"/>
        <v>37857.800000000003</v>
      </c>
      <c r="AC95" s="114">
        <f t="shared" si="68"/>
        <v>0</v>
      </c>
      <c r="AD95" s="131">
        <f t="shared" si="69"/>
        <v>37857.800000000003</v>
      </c>
      <c r="AF95" s="40"/>
      <c r="AG95" s="41"/>
      <c r="AH95" s="42">
        <f t="shared" ref="AH95:AH108" si="70">AF95+AG95</f>
        <v>0</v>
      </c>
    </row>
    <row r="96" spans="1:34" ht="38.25" customHeight="1" x14ac:dyDescent="0.25">
      <c r="A96" s="30" t="s">
        <v>350</v>
      </c>
      <c r="B96" s="149" t="s">
        <v>207</v>
      </c>
      <c r="C96" s="105" t="s">
        <v>52</v>
      </c>
      <c r="D96" s="106" t="s">
        <v>101</v>
      </c>
      <c r="E96" s="107" t="s">
        <v>4</v>
      </c>
      <c r="F96" s="108">
        <v>2493626.6</v>
      </c>
      <c r="G96" s="108"/>
      <c r="H96" s="108">
        <f t="shared" si="61"/>
        <v>2493626.6</v>
      </c>
      <c r="I96" s="109">
        <v>66651.570000000007</v>
      </c>
      <c r="J96" s="108">
        <f t="shared" si="62"/>
        <v>2560278.17</v>
      </c>
      <c r="K96" s="110">
        <v>1</v>
      </c>
      <c r="L96" s="110"/>
      <c r="M96" s="108">
        <v>1754153</v>
      </c>
      <c r="N96" s="108">
        <v>68157.59</v>
      </c>
      <c r="O96" s="108"/>
      <c r="P96" s="108"/>
      <c r="Q96" s="111">
        <f t="shared" si="46"/>
        <v>1822310.59</v>
      </c>
      <c r="R96" s="108"/>
      <c r="S96" s="113">
        <f>540664.48-T96</f>
        <v>521532.85</v>
      </c>
      <c r="T96" s="151">
        <v>19131.629999999997</v>
      </c>
      <c r="U96" s="114"/>
      <c r="V96" s="114"/>
      <c r="W96" s="111">
        <f t="shared" si="63"/>
        <v>540664.48</v>
      </c>
      <c r="X96" s="111">
        <f t="shared" si="63"/>
        <v>559796.11</v>
      </c>
      <c r="Y96" s="114">
        <f t="shared" si="64"/>
        <v>559796.11</v>
      </c>
      <c r="Z96" s="114">
        <f t="shared" si="65"/>
        <v>0</v>
      </c>
      <c r="AA96" s="111">
        <f t="shared" si="66"/>
        <v>559796.11</v>
      </c>
      <c r="AB96" s="114">
        <f t="shared" si="67"/>
        <v>162250.34</v>
      </c>
      <c r="AC96" s="114">
        <f t="shared" si="68"/>
        <v>0</v>
      </c>
      <c r="AD96" s="131">
        <f t="shared" si="69"/>
        <v>162250.34</v>
      </c>
      <c r="AF96" s="40"/>
      <c r="AG96" s="41"/>
      <c r="AH96" s="42">
        <f t="shared" si="70"/>
        <v>0</v>
      </c>
    </row>
    <row r="97" spans="1:34" ht="45" x14ac:dyDescent="0.25">
      <c r="A97" s="30" t="s">
        <v>351</v>
      </c>
      <c r="B97" s="149" t="s">
        <v>208</v>
      </c>
      <c r="C97" s="105" t="s">
        <v>20</v>
      </c>
      <c r="D97" s="106" t="s">
        <v>95</v>
      </c>
      <c r="E97" s="107" t="s">
        <v>135</v>
      </c>
      <c r="F97" s="108">
        <v>2652007.2000000002</v>
      </c>
      <c r="G97" s="108"/>
      <c r="H97" s="108">
        <f t="shared" si="61"/>
        <v>2652007.2000000002</v>
      </c>
      <c r="I97" s="109"/>
      <c r="J97" s="108">
        <f t="shared" si="62"/>
        <v>2652007.2000000002</v>
      </c>
      <c r="K97" s="110">
        <v>1</v>
      </c>
      <c r="L97" s="110"/>
      <c r="M97" s="108">
        <v>560428.62</v>
      </c>
      <c r="N97" s="108"/>
      <c r="O97" s="108"/>
      <c r="P97" s="108"/>
      <c r="Q97" s="111">
        <f t="shared" si="46"/>
        <v>560428.62</v>
      </c>
      <c r="R97" s="108"/>
      <c r="S97" s="113">
        <v>158723.79999999999</v>
      </c>
      <c r="T97" s="113"/>
      <c r="U97" s="114"/>
      <c r="V97" s="114"/>
      <c r="W97" s="111">
        <f t="shared" si="63"/>
        <v>158723.79999999999</v>
      </c>
      <c r="X97" s="111">
        <f t="shared" si="63"/>
        <v>158723.79999999999</v>
      </c>
      <c r="Y97" s="114">
        <f t="shared" si="64"/>
        <v>158723.79999999999</v>
      </c>
      <c r="Z97" s="114">
        <f t="shared" si="65"/>
        <v>0</v>
      </c>
      <c r="AA97" s="111">
        <f t="shared" si="66"/>
        <v>158723.79999999999</v>
      </c>
      <c r="AB97" s="114">
        <f t="shared" si="67"/>
        <v>46004.23</v>
      </c>
      <c r="AC97" s="114">
        <f t="shared" si="68"/>
        <v>0</v>
      </c>
      <c r="AD97" s="131">
        <f t="shared" si="69"/>
        <v>46004.23</v>
      </c>
      <c r="AF97" s="40"/>
      <c r="AG97" s="41"/>
      <c r="AH97" s="42">
        <f t="shared" si="70"/>
        <v>0</v>
      </c>
    </row>
    <row r="98" spans="1:34" ht="45" x14ac:dyDescent="0.25">
      <c r="A98" s="30" t="s">
        <v>353</v>
      </c>
      <c r="B98" s="149" t="s">
        <v>209</v>
      </c>
      <c r="C98" s="105" t="s">
        <v>19</v>
      </c>
      <c r="D98" s="106" t="s">
        <v>100</v>
      </c>
      <c r="E98" s="107" t="s">
        <v>129</v>
      </c>
      <c r="F98" s="108">
        <v>3102464.71</v>
      </c>
      <c r="G98" s="108"/>
      <c r="H98" s="108">
        <f t="shared" si="61"/>
        <v>3102464.71</v>
      </c>
      <c r="I98" s="109"/>
      <c r="J98" s="108">
        <f t="shared" si="62"/>
        <v>3102464.71</v>
      </c>
      <c r="K98" s="110">
        <v>1</v>
      </c>
      <c r="L98" s="110"/>
      <c r="M98" s="108">
        <v>1895585.96</v>
      </c>
      <c r="N98" s="108"/>
      <c r="O98" s="108"/>
      <c r="P98" s="108"/>
      <c r="Q98" s="111">
        <f t="shared" si="46"/>
        <v>1895585.96</v>
      </c>
      <c r="R98" s="108"/>
      <c r="S98" s="113">
        <v>524278.73</v>
      </c>
      <c r="T98" s="113"/>
      <c r="U98" s="114"/>
      <c r="V98" s="114"/>
      <c r="W98" s="111">
        <f t="shared" si="63"/>
        <v>524278.73</v>
      </c>
      <c r="X98" s="111">
        <f t="shared" si="63"/>
        <v>524278.73</v>
      </c>
      <c r="Y98" s="114">
        <f t="shared" si="64"/>
        <v>524278.73</v>
      </c>
      <c r="Z98" s="114">
        <f t="shared" si="65"/>
        <v>0</v>
      </c>
      <c r="AA98" s="111">
        <f t="shared" si="66"/>
        <v>524278.73</v>
      </c>
      <c r="AB98" s="114">
        <f t="shared" si="67"/>
        <v>151956.04</v>
      </c>
      <c r="AC98" s="114">
        <f t="shared" si="68"/>
        <v>0</v>
      </c>
      <c r="AD98" s="131">
        <f t="shared" si="69"/>
        <v>151956.04</v>
      </c>
      <c r="AF98" s="40"/>
      <c r="AG98" s="41"/>
      <c r="AH98" s="42">
        <f t="shared" si="70"/>
        <v>0</v>
      </c>
    </row>
    <row r="99" spans="1:34" ht="45" x14ac:dyDescent="0.25">
      <c r="A99" s="30" t="s">
        <v>352</v>
      </c>
      <c r="B99" s="149" t="s">
        <v>210</v>
      </c>
      <c r="C99" s="105" t="s">
        <v>24</v>
      </c>
      <c r="D99" s="106" t="s">
        <v>106</v>
      </c>
      <c r="E99" s="107" t="s">
        <v>58</v>
      </c>
      <c r="F99" s="108">
        <v>2672</v>
      </c>
      <c r="G99" s="108"/>
      <c r="H99" s="108">
        <f t="shared" si="61"/>
        <v>2672</v>
      </c>
      <c r="I99" s="109"/>
      <c r="J99" s="108">
        <f t="shared" si="62"/>
        <v>2672</v>
      </c>
      <c r="K99" s="110"/>
      <c r="L99" s="110">
        <v>1</v>
      </c>
      <c r="M99" s="108">
        <v>2672</v>
      </c>
      <c r="N99" s="108"/>
      <c r="O99" s="108"/>
      <c r="P99" s="108"/>
      <c r="Q99" s="111">
        <f t="shared" si="46"/>
        <v>2672</v>
      </c>
      <c r="R99" s="108"/>
      <c r="S99" s="113">
        <v>901.85</v>
      </c>
      <c r="T99" s="113"/>
      <c r="U99" s="114"/>
      <c r="V99" s="114"/>
      <c r="W99" s="111">
        <f t="shared" si="63"/>
        <v>901.85</v>
      </c>
      <c r="X99" s="111">
        <f t="shared" si="63"/>
        <v>901.85</v>
      </c>
      <c r="Y99" s="114">
        <f t="shared" si="64"/>
        <v>0</v>
      </c>
      <c r="Z99" s="114">
        <f t="shared" si="65"/>
        <v>901.85</v>
      </c>
      <c r="AA99" s="111">
        <f t="shared" si="66"/>
        <v>901.85</v>
      </c>
      <c r="AB99" s="114">
        <f t="shared" si="67"/>
        <v>0</v>
      </c>
      <c r="AC99" s="114">
        <f t="shared" si="68"/>
        <v>261.39</v>
      </c>
      <c r="AD99" s="131">
        <f t="shared" si="69"/>
        <v>261.39</v>
      </c>
      <c r="AF99" s="40"/>
      <c r="AG99" s="41"/>
      <c r="AH99" s="42">
        <f t="shared" si="70"/>
        <v>0</v>
      </c>
    </row>
    <row r="100" spans="1:34" ht="45" x14ac:dyDescent="0.25">
      <c r="A100" s="30" t="s">
        <v>356</v>
      </c>
      <c r="B100" s="149" t="s">
        <v>211</v>
      </c>
      <c r="C100" s="105" t="s">
        <v>152</v>
      </c>
      <c r="D100" s="106" t="s">
        <v>153</v>
      </c>
      <c r="E100" s="107" t="s">
        <v>144</v>
      </c>
      <c r="F100" s="108">
        <v>1750100</v>
      </c>
      <c r="G100" s="108"/>
      <c r="H100" s="108">
        <f t="shared" si="61"/>
        <v>1750100</v>
      </c>
      <c r="I100" s="109"/>
      <c r="J100" s="108">
        <f t="shared" si="62"/>
        <v>1750100</v>
      </c>
      <c r="K100" s="110">
        <v>1</v>
      </c>
      <c r="L100" s="110"/>
      <c r="M100" s="108">
        <v>1750100</v>
      </c>
      <c r="N100" s="108"/>
      <c r="O100" s="108"/>
      <c r="P100" s="108"/>
      <c r="Q100" s="111">
        <f t="shared" si="46"/>
        <v>1750100</v>
      </c>
      <c r="R100" s="108"/>
      <c r="S100" s="113">
        <v>505809.24</v>
      </c>
      <c r="T100" s="113"/>
      <c r="U100" s="114"/>
      <c r="V100" s="114"/>
      <c r="W100" s="111">
        <f t="shared" si="63"/>
        <v>505809.24</v>
      </c>
      <c r="X100" s="111">
        <f t="shared" si="63"/>
        <v>505809.24</v>
      </c>
      <c r="Y100" s="114">
        <f t="shared" si="64"/>
        <v>505809.24</v>
      </c>
      <c r="Z100" s="114">
        <f t="shared" si="65"/>
        <v>0</v>
      </c>
      <c r="AA100" s="111">
        <f t="shared" si="66"/>
        <v>505809.24</v>
      </c>
      <c r="AB100" s="114">
        <f t="shared" si="67"/>
        <v>146602.88</v>
      </c>
      <c r="AC100" s="114">
        <f t="shared" si="68"/>
        <v>0</v>
      </c>
      <c r="AD100" s="131">
        <f t="shared" si="69"/>
        <v>146602.88</v>
      </c>
      <c r="AF100" s="40"/>
      <c r="AG100" s="41"/>
      <c r="AH100" s="42">
        <f t="shared" si="70"/>
        <v>0</v>
      </c>
    </row>
    <row r="101" spans="1:34" ht="30" x14ac:dyDescent="0.25">
      <c r="A101" s="30" t="s">
        <v>358</v>
      </c>
      <c r="B101" s="149" t="s">
        <v>212</v>
      </c>
      <c r="C101" s="105" t="s">
        <v>154</v>
      </c>
      <c r="D101" s="106" t="s">
        <v>143</v>
      </c>
      <c r="E101" s="107" t="s">
        <v>144</v>
      </c>
      <c r="F101" s="108">
        <v>729280</v>
      </c>
      <c r="G101" s="108"/>
      <c r="H101" s="108">
        <f t="shared" si="61"/>
        <v>729280</v>
      </c>
      <c r="I101" s="109"/>
      <c r="J101" s="108">
        <f t="shared" si="62"/>
        <v>729280</v>
      </c>
      <c r="K101" s="110">
        <v>1</v>
      </c>
      <c r="L101" s="110"/>
      <c r="M101" s="108">
        <v>729280</v>
      </c>
      <c r="N101" s="108"/>
      <c r="O101" s="108"/>
      <c r="P101" s="108"/>
      <c r="Q101" s="111">
        <f t="shared" si="46"/>
        <v>729280</v>
      </c>
      <c r="R101" s="108"/>
      <c r="S101" s="113">
        <v>210774.57</v>
      </c>
      <c r="T101" s="113"/>
      <c r="U101" s="114"/>
      <c r="V101" s="114"/>
      <c r="W101" s="111">
        <f t="shared" si="63"/>
        <v>210774.57</v>
      </c>
      <c r="X101" s="111">
        <f t="shared" si="63"/>
        <v>210774.57</v>
      </c>
      <c r="Y101" s="114">
        <f t="shared" si="64"/>
        <v>210774.57</v>
      </c>
      <c r="Z101" s="114">
        <f t="shared" si="65"/>
        <v>0</v>
      </c>
      <c r="AA101" s="111">
        <f t="shared" si="66"/>
        <v>210774.57</v>
      </c>
      <c r="AB101" s="114">
        <f t="shared" si="67"/>
        <v>61090.54</v>
      </c>
      <c r="AC101" s="114">
        <f t="shared" si="68"/>
        <v>0</v>
      </c>
      <c r="AD101" s="131">
        <f t="shared" si="69"/>
        <v>61090.54</v>
      </c>
      <c r="AF101" s="40"/>
      <c r="AG101" s="41"/>
      <c r="AH101" s="42">
        <f t="shared" si="70"/>
        <v>0</v>
      </c>
    </row>
    <row r="102" spans="1:34" ht="30" x14ac:dyDescent="0.25">
      <c r="A102" s="30" t="s">
        <v>359</v>
      </c>
      <c r="B102" s="149" t="s">
        <v>213</v>
      </c>
      <c r="C102" s="105" t="s">
        <v>151</v>
      </c>
      <c r="D102" s="106" t="s">
        <v>150</v>
      </c>
      <c r="E102" s="107" t="s">
        <v>144</v>
      </c>
      <c r="F102" s="108">
        <v>49500</v>
      </c>
      <c r="G102" s="108"/>
      <c r="H102" s="108">
        <f t="shared" si="61"/>
        <v>49500</v>
      </c>
      <c r="I102" s="109"/>
      <c r="J102" s="108">
        <f t="shared" si="62"/>
        <v>49500</v>
      </c>
      <c r="K102" s="110">
        <v>1</v>
      </c>
      <c r="L102" s="110"/>
      <c r="M102" s="108">
        <v>49500</v>
      </c>
      <c r="N102" s="108"/>
      <c r="O102" s="108"/>
      <c r="P102" s="108"/>
      <c r="Q102" s="111">
        <f t="shared" si="46"/>
        <v>49500</v>
      </c>
      <c r="R102" s="108"/>
      <c r="S102" s="113">
        <v>14306.36</v>
      </c>
      <c r="T102" s="113"/>
      <c r="U102" s="114"/>
      <c r="V102" s="114"/>
      <c r="W102" s="111">
        <f t="shared" si="63"/>
        <v>14306.36</v>
      </c>
      <c r="X102" s="111">
        <f t="shared" si="63"/>
        <v>14306.36</v>
      </c>
      <c r="Y102" s="114">
        <f t="shared" si="64"/>
        <v>14306.36</v>
      </c>
      <c r="Z102" s="114">
        <f t="shared" si="65"/>
        <v>0</v>
      </c>
      <c r="AA102" s="111">
        <f t="shared" si="66"/>
        <v>14306.36</v>
      </c>
      <c r="AB102" s="114">
        <f t="shared" si="67"/>
        <v>4146.53</v>
      </c>
      <c r="AC102" s="114">
        <f t="shared" si="68"/>
        <v>0</v>
      </c>
      <c r="AD102" s="131">
        <f t="shared" si="69"/>
        <v>4146.53</v>
      </c>
      <c r="AF102" s="40"/>
      <c r="AG102" s="41"/>
      <c r="AH102" s="42">
        <f t="shared" si="70"/>
        <v>0</v>
      </c>
    </row>
    <row r="103" spans="1:34" ht="30" x14ac:dyDescent="0.25">
      <c r="A103" s="30" t="s">
        <v>360</v>
      </c>
      <c r="B103" s="149" t="s">
        <v>214</v>
      </c>
      <c r="C103" s="105" t="s">
        <v>147</v>
      </c>
      <c r="D103" s="106" t="s">
        <v>150</v>
      </c>
      <c r="E103" s="107" t="s">
        <v>144</v>
      </c>
      <c r="F103" s="108">
        <v>1495245</v>
      </c>
      <c r="G103" s="108"/>
      <c r="H103" s="108">
        <f t="shared" si="61"/>
        <v>1495245</v>
      </c>
      <c r="I103" s="109"/>
      <c r="J103" s="108">
        <f t="shared" si="62"/>
        <v>1495245</v>
      </c>
      <c r="K103" s="110">
        <v>1</v>
      </c>
      <c r="L103" s="110"/>
      <c r="M103" s="108">
        <v>1495245</v>
      </c>
      <c r="N103" s="108"/>
      <c r="O103" s="108"/>
      <c r="P103" s="108"/>
      <c r="Q103" s="111">
        <f t="shared" si="46"/>
        <v>1495245</v>
      </c>
      <c r="R103" s="108"/>
      <c r="S103" s="113">
        <v>432151.73</v>
      </c>
      <c r="T103" s="113"/>
      <c r="U103" s="114"/>
      <c r="V103" s="114"/>
      <c r="W103" s="111">
        <f t="shared" si="63"/>
        <v>432151.73</v>
      </c>
      <c r="X103" s="111">
        <f t="shared" si="63"/>
        <v>432151.73</v>
      </c>
      <c r="Y103" s="114">
        <f t="shared" si="64"/>
        <v>432151.73</v>
      </c>
      <c r="Z103" s="114">
        <f t="shared" si="65"/>
        <v>0</v>
      </c>
      <c r="AA103" s="111">
        <f t="shared" si="66"/>
        <v>432151.73</v>
      </c>
      <c r="AB103" s="114">
        <f t="shared" si="67"/>
        <v>125254.11</v>
      </c>
      <c r="AC103" s="114">
        <f t="shared" si="68"/>
        <v>0</v>
      </c>
      <c r="AD103" s="131">
        <f t="shared" si="69"/>
        <v>125254.11</v>
      </c>
      <c r="AF103" s="40"/>
      <c r="AG103" s="41"/>
      <c r="AH103" s="42">
        <f t="shared" si="70"/>
        <v>0</v>
      </c>
    </row>
    <row r="104" spans="1:34" ht="30" x14ac:dyDescent="0.25">
      <c r="A104" s="30" t="s">
        <v>361</v>
      </c>
      <c r="B104" s="149" t="s">
        <v>215</v>
      </c>
      <c r="C104" s="105" t="s">
        <v>149</v>
      </c>
      <c r="D104" s="106" t="s">
        <v>143</v>
      </c>
      <c r="E104" s="107" t="s">
        <v>144</v>
      </c>
      <c r="F104" s="108">
        <v>1008000</v>
      </c>
      <c r="G104" s="108"/>
      <c r="H104" s="108">
        <f t="shared" si="61"/>
        <v>1008000</v>
      </c>
      <c r="I104" s="109"/>
      <c r="J104" s="108">
        <f t="shared" si="62"/>
        <v>1008000</v>
      </c>
      <c r="K104" s="110">
        <v>1</v>
      </c>
      <c r="L104" s="110"/>
      <c r="M104" s="108">
        <v>1008000</v>
      </c>
      <c r="N104" s="108"/>
      <c r="O104" s="108"/>
      <c r="P104" s="108"/>
      <c r="Q104" s="111">
        <f t="shared" si="46"/>
        <v>1008000</v>
      </c>
      <c r="R104" s="108"/>
      <c r="S104" s="113">
        <v>291329.48</v>
      </c>
      <c r="T104" s="113"/>
      <c r="U104" s="114"/>
      <c r="V104" s="114"/>
      <c r="W104" s="111">
        <f t="shared" si="63"/>
        <v>291329.48</v>
      </c>
      <c r="X104" s="111">
        <f t="shared" si="63"/>
        <v>291329.48</v>
      </c>
      <c r="Y104" s="114">
        <f t="shared" si="64"/>
        <v>291329.48</v>
      </c>
      <c r="Z104" s="114">
        <f t="shared" si="65"/>
        <v>0</v>
      </c>
      <c r="AA104" s="111">
        <f t="shared" si="66"/>
        <v>291329.48</v>
      </c>
      <c r="AB104" s="114">
        <f t="shared" si="67"/>
        <v>84438.43</v>
      </c>
      <c r="AC104" s="114">
        <f t="shared" si="68"/>
        <v>0</v>
      </c>
      <c r="AD104" s="131">
        <f t="shared" si="69"/>
        <v>84438.43</v>
      </c>
      <c r="AF104" s="40"/>
      <c r="AG104" s="41"/>
      <c r="AH104" s="42">
        <f t="shared" si="70"/>
        <v>0</v>
      </c>
    </row>
    <row r="105" spans="1:34" ht="45" x14ac:dyDescent="0.25">
      <c r="A105" s="30" t="s">
        <v>354</v>
      </c>
      <c r="B105" s="149" t="s">
        <v>216</v>
      </c>
      <c r="C105" s="105" t="s">
        <v>38</v>
      </c>
      <c r="D105" s="106" t="s">
        <v>116</v>
      </c>
      <c r="E105" s="107" t="s">
        <v>64</v>
      </c>
      <c r="F105" s="108">
        <v>1965</v>
      </c>
      <c r="G105" s="108"/>
      <c r="H105" s="108">
        <f t="shared" si="61"/>
        <v>1965</v>
      </c>
      <c r="I105" s="109"/>
      <c r="J105" s="108">
        <f t="shared" si="62"/>
        <v>1965</v>
      </c>
      <c r="K105" s="110">
        <v>1</v>
      </c>
      <c r="L105" s="110"/>
      <c r="M105" s="108">
        <v>1965</v>
      </c>
      <c r="N105" s="108"/>
      <c r="O105" s="108"/>
      <c r="P105" s="108"/>
      <c r="Q105" s="111">
        <f t="shared" si="46"/>
        <v>1965</v>
      </c>
      <c r="R105" s="108"/>
      <c r="S105" s="113">
        <v>792.85</v>
      </c>
      <c r="T105" s="113"/>
      <c r="U105" s="114"/>
      <c r="V105" s="114"/>
      <c r="W105" s="111">
        <f t="shared" si="63"/>
        <v>792.85</v>
      </c>
      <c r="X105" s="111">
        <f t="shared" si="63"/>
        <v>792.85</v>
      </c>
      <c r="Y105" s="114">
        <f t="shared" si="64"/>
        <v>792.85</v>
      </c>
      <c r="Z105" s="114">
        <f t="shared" si="65"/>
        <v>0</v>
      </c>
      <c r="AA105" s="111">
        <f t="shared" si="66"/>
        <v>792.85</v>
      </c>
      <c r="AB105" s="114">
        <f t="shared" si="67"/>
        <v>229.8</v>
      </c>
      <c r="AC105" s="114">
        <f t="shared" si="68"/>
        <v>0</v>
      </c>
      <c r="AD105" s="131">
        <f t="shared" si="69"/>
        <v>229.8</v>
      </c>
      <c r="AF105" s="40"/>
      <c r="AG105" s="41"/>
      <c r="AH105" s="42">
        <f t="shared" si="70"/>
        <v>0</v>
      </c>
    </row>
    <row r="106" spans="1:34" ht="28.5" customHeight="1" x14ac:dyDescent="0.25">
      <c r="A106" s="30" t="s">
        <v>355</v>
      </c>
      <c r="B106" s="149" t="s">
        <v>217</v>
      </c>
      <c r="C106" s="105" t="s">
        <v>148</v>
      </c>
      <c r="D106" s="106" t="s">
        <v>145</v>
      </c>
      <c r="E106" s="107" t="s">
        <v>144</v>
      </c>
      <c r="F106" s="108">
        <v>211500</v>
      </c>
      <c r="G106" s="108"/>
      <c r="H106" s="108">
        <f t="shared" si="61"/>
        <v>211500</v>
      </c>
      <c r="I106" s="109"/>
      <c r="J106" s="108">
        <f t="shared" si="62"/>
        <v>211500</v>
      </c>
      <c r="K106" s="110">
        <v>1</v>
      </c>
      <c r="L106" s="110"/>
      <c r="M106" s="108">
        <v>211500</v>
      </c>
      <c r="N106" s="108"/>
      <c r="O106" s="108"/>
      <c r="P106" s="108"/>
      <c r="Q106" s="111">
        <f t="shared" si="46"/>
        <v>211500</v>
      </c>
      <c r="R106" s="108"/>
      <c r="S106" s="113">
        <v>61127.17</v>
      </c>
      <c r="T106" s="113"/>
      <c r="U106" s="114"/>
      <c r="V106" s="114"/>
      <c r="W106" s="111">
        <f t="shared" si="63"/>
        <v>61127.17</v>
      </c>
      <c r="X106" s="111">
        <f t="shared" si="63"/>
        <v>61127.17</v>
      </c>
      <c r="Y106" s="114">
        <f t="shared" si="64"/>
        <v>61127.17</v>
      </c>
      <c r="Z106" s="114">
        <f t="shared" si="65"/>
        <v>0</v>
      </c>
      <c r="AA106" s="111">
        <f t="shared" si="66"/>
        <v>61127.17</v>
      </c>
      <c r="AB106" s="114">
        <f t="shared" si="67"/>
        <v>17716.990000000002</v>
      </c>
      <c r="AC106" s="114">
        <f t="shared" si="68"/>
        <v>0</v>
      </c>
      <c r="AD106" s="131">
        <f t="shared" si="69"/>
        <v>17716.990000000002</v>
      </c>
      <c r="AF106" s="40"/>
      <c r="AG106" s="41"/>
      <c r="AH106" s="42">
        <f t="shared" si="70"/>
        <v>0</v>
      </c>
    </row>
    <row r="107" spans="1:34" ht="34.5" customHeight="1" x14ac:dyDescent="0.25">
      <c r="A107" s="30" t="s">
        <v>362</v>
      </c>
      <c r="B107" s="154" t="s">
        <v>229</v>
      </c>
      <c r="C107" s="116"/>
      <c r="D107" s="106"/>
      <c r="E107" s="107"/>
      <c r="F107" s="117">
        <v>355920</v>
      </c>
      <c r="G107" s="108"/>
      <c r="H107" s="108">
        <f>F107+G107</f>
        <v>355920</v>
      </c>
      <c r="I107" s="109"/>
      <c r="J107" s="108">
        <f>H107+I107</f>
        <v>355920</v>
      </c>
      <c r="K107" s="110">
        <v>1</v>
      </c>
      <c r="L107" s="110"/>
      <c r="M107" s="108">
        <v>639975</v>
      </c>
      <c r="N107" s="108"/>
      <c r="O107" s="108"/>
      <c r="P107" s="108"/>
      <c r="Q107" s="111">
        <f>M107+N107+O107+P107</f>
        <v>639975</v>
      </c>
      <c r="R107" s="108"/>
      <c r="S107" s="155">
        <v>184962.87</v>
      </c>
      <c r="T107" s="155"/>
      <c r="U107" s="118"/>
      <c r="V107" s="118"/>
      <c r="W107" s="111">
        <f>S107+T107+U107+V107</f>
        <v>184962.87</v>
      </c>
      <c r="X107" s="111">
        <f>T107+U107+V107+W107</f>
        <v>184962.87</v>
      </c>
      <c r="Y107" s="118">
        <f>X107*K107</f>
        <v>184962.87</v>
      </c>
      <c r="Z107" s="118">
        <f>X107*L107</f>
        <v>0</v>
      </c>
      <c r="AA107" s="119">
        <f>Y107+Z107</f>
        <v>184962.87</v>
      </c>
      <c r="AB107" s="118">
        <f>ROUND(Y107/$AE$2,2)</f>
        <v>53609.32</v>
      </c>
      <c r="AC107" s="118">
        <f>ROUND(Z107/$AE$2,2)</f>
        <v>0</v>
      </c>
      <c r="AD107" s="133">
        <f>AB107+AC107</f>
        <v>53609.32</v>
      </c>
      <c r="AF107" s="40"/>
      <c r="AG107" s="41"/>
      <c r="AH107" s="42"/>
    </row>
    <row r="108" spans="1:34" ht="44.25" customHeight="1" thickBot="1" x14ac:dyDescent="0.3">
      <c r="A108" s="30" t="s">
        <v>363</v>
      </c>
      <c r="B108" s="156" t="s">
        <v>218</v>
      </c>
      <c r="C108" s="157"/>
      <c r="D108" s="135"/>
      <c r="E108" s="136"/>
      <c r="F108" s="158">
        <v>639975</v>
      </c>
      <c r="G108" s="137"/>
      <c r="H108" s="137">
        <f>F108+G108</f>
        <v>639975</v>
      </c>
      <c r="I108" s="138"/>
      <c r="J108" s="137">
        <f>H108+I108</f>
        <v>639975</v>
      </c>
      <c r="K108" s="139">
        <v>1</v>
      </c>
      <c r="L108" s="139"/>
      <c r="M108" s="137">
        <v>639975</v>
      </c>
      <c r="N108" s="137"/>
      <c r="O108" s="137"/>
      <c r="P108" s="137"/>
      <c r="Q108" s="140">
        <f t="shared" si="46"/>
        <v>639975</v>
      </c>
      <c r="R108" s="137"/>
      <c r="S108" s="159">
        <v>184963.87</v>
      </c>
      <c r="T108" s="159"/>
      <c r="U108" s="160"/>
      <c r="V108" s="160"/>
      <c r="W108" s="140">
        <f t="shared" si="63"/>
        <v>184963.87</v>
      </c>
      <c r="X108" s="140">
        <f t="shared" si="63"/>
        <v>184963.87</v>
      </c>
      <c r="Y108" s="160">
        <f t="shared" si="64"/>
        <v>184963.87</v>
      </c>
      <c r="Z108" s="160">
        <f t="shared" si="65"/>
        <v>0</v>
      </c>
      <c r="AA108" s="161">
        <f t="shared" si="66"/>
        <v>184963.87</v>
      </c>
      <c r="AB108" s="160">
        <f t="shared" si="67"/>
        <v>53609.61</v>
      </c>
      <c r="AC108" s="160">
        <f t="shared" si="68"/>
        <v>0</v>
      </c>
      <c r="AD108" s="162">
        <f t="shared" si="69"/>
        <v>53609.61</v>
      </c>
      <c r="AF108" s="40"/>
      <c r="AG108" s="41"/>
      <c r="AH108" s="42">
        <f t="shared" si="70"/>
        <v>0</v>
      </c>
    </row>
    <row r="109" spans="1:34" ht="44.25" customHeight="1" x14ac:dyDescent="0.25">
      <c r="A109" s="225" t="s">
        <v>357</v>
      </c>
      <c r="B109" s="226" t="s">
        <v>380</v>
      </c>
      <c r="C109" s="227"/>
      <c r="D109" s="228"/>
      <c r="E109" s="229"/>
      <c r="F109" s="230"/>
      <c r="G109" s="231"/>
      <c r="H109" s="231"/>
      <c r="I109" s="232"/>
      <c r="J109" s="231"/>
      <c r="K109" s="233">
        <v>1</v>
      </c>
      <c r="L109" s="233">
        <v>0</v>
      </c>
      <c r="M109" s="231"/>
      <c r="N109" s="231"/>
      <c r="O109" s="231"/>
      <c r="P109" s="231"/>
      <c r="Q109" s="234"/>
      <c r="R109" s="231"/>
      <c r="S109" s="235"/>
      <c r="T109" s="235"/>
      <c r="U109" s="236"/>
      <c r="V109" s="236"/>
      <c r="W109" s="234"/>
      <c r="X109" s="234">
        <f>AH109*$AE$2*1000</f>
        <v>1246459.5375722544</v>
      </c>
      <c r="Y109" s="240">
        <f t="shared" ref="Y109:Y126" si="71">X109*K109</f>
        <v>1246459.5375722544</v>
      </c>
      <c r="Z109" s="240">
        <f t="shared" ref="Z109:Z126" si="72">X109*L109</f>
        <v>0</v>
      </c>
      <c r="AA109" s="241">
        <f t="shared" ref="AA109:AA126" si="73">Y109+Z109</f>
        <v>1246459.5375722544</v>
      </c>
      <c r="AB109" s="240">
        <f t="shared" ref="AB109:AB126" si="74">ROUND(Y109/$AE$2,2)</f>
        <v>361271.68</v>
      </c>
      <c r="AC109" s="240">
        <f t="shared" ref="AC109:AC126" si="75">ROUND(Z109/$AE$2,2)</f>
        <v>0</v>
      </c>
      <c r="AD109" s="242">
        <f t="shared" ref="AD109:AD126" si="76">AB109+AC109</f>
        <v>361271.68</v>
      </c>
      <c r="AF109" s="163">
        <f>AH109*K109</f>
        <v>361.27167630057806</v>
      </c>
      <c r="AG109" s="163">
        <f>AH109*L109</f>
        <v>0</v>
      </c>
      <c r="AH109" s="177">
        <v>361.27167630057806</v>
      </c>
    </row>
    <row r="110" spans="1:34" ht="44.25" customHeight="1" x14ac:dyDescent="0.25">
      <c r="A110" s="237" t="s">
        <v>364</v>
      </c>
      <c r="B110" s="226" t="s">
        <v>381</v>
      </c>
      <c r="C110" s="116"/>
      <c r="D110" s="106"/>
      <c r="E110" s="107"/>
      <c r="F110" s="117"/>
      <c r="G110" s="108"/>
      <c r="H110" s="108"/>
      <c r="I110" s="109"/>
      <c r="J110" s="108"/>
      <c r="K110" s="233">
        <v>1</v>
      </c>
      <c r="L110" s="110">
        <v>0</v>
      </c>
      <c r="M110" s="108"/>
      <c r="N110" s="108"/>
      <c r="O110" s="108"/>
      <c r="P110" s="108"/>
      <c r="Q110" s="111"/>
      <c r="R110" s="108"/>
      <c r="S110" s="155"/>
      <c r="T110" s="155"/>
      <c r="U110" s="118"/>
      <c r="V110" s="118"/>
      <c r="W110" s="111"/>
      <c r="X110" s="234">
        <f t="shared" ref="X110:X126" si="77">AH110*$AE$2*1000</f>
        <v>498583.81502890179</v>
      </c>
      <c r="Y110" s="118">
        <f t="shared" si="71"/>
        <v>498583.81502890179</v>
      </c>
      <c r="Z110" s="118">
        <f t="shared" si="72"/>
        <v>0</v>
      </c>
      <c r="AA110" s="119">
        <f t="shared" si="73"/>
        <v>498583.81502890179</v>
      </c>
      <c r="AB110" s="118">
        <f t="shared" si="74"/>
        <v>144508.67000000001</v>
      </c>
      <c r="AC110" s="118">
        <f t="shared" si="75"/>
        <v>0</v>
      </c>
      <c r="AD110" s="133">
        <f t="shared" si="76"/>
        <v>144508.67000000001</v>
      </c>
      <c r="AF110" s="163">
        <f t="shared" ref="AF110:AF126" si="78">AH110*K110</f>
        <v>144.50867052023122</v>
      </c>
      <c r="AG110" s="163">
        <f t="shared" ref="AG110:AG126" si="79">AH110*L110</f>
        <v>0</v>
      </c>
      <c r="AH110" s="177">
        <v>144.50867052023122</v>
      </c>
    </row>
    <row r="111" spans="1:34" ht="44.25" customHeight="1" x14ac:dyDescent="0.25">
      <c r="A111" s="237" t="s">
        <v>365</v>
      </c>
      <c r="B111" s="226" t="s">
        <v>382</v>
      </c>
      <c r="C111" s="116"/>
      <c r="D111" s="106"/>
      <c r="E111" s="107"/>
      <c r="F111" s="117"/>
      <c r="G111" s="108"/>
      <c r="H111" s="108"/>
      <c r="I111" s="109"/>
      <c r="J111" s="108"/>
      <c r="K111" s="233">
        <v>1</v>
      </c>
      <c r="L111" s="110">
        <v>0</v>
      </c>
      <c r="M111" s="108"/>
      <c r="N111" s="108"/>
      <c r="O111" s="108"/>
      <c r="P111" s="108"/>
      <c r="Q111" s="111"/>
      <c r="R111" s="108"/>
      <c r="S111" s="155"/>
      <c r="T111" s="155"/>
      <c r="U111" s="118"/>
      <c r="V111" s="118"/>
      <c r="W111" s="111"/>
      <c r="X111" s="234">
        <f t="shared" si="77"/>
        <v>1356147.9768786128</v>
      </c>
      <c r="Y111" s="118">
        <f t="shared" si="71"/>
        <v>1356147.9768786128</v>
      </c>
      <c r="Z111" s="118">
        <f t="shared" si="72"/>
        <v>0</v>
      </c>
      <c r="AA111" s="119">
        <f t="shared" si="73"/>
        <v>1356147.9768786128</v>
      </c>
      <c r="AB111" s="118">
        <f t="shared" si="74"/>
        <v>393063.58</v>
      </c>
      <c r="AC111" s="118">
        <f t="shared" si="75"/>
        <v>0</v>
      </c>
      <c r="AD111" s="133">
        <f t="shared" si="76"/>
        <v>393063.58</v>
      </c>
      <c r="AF111" s="163">
        <f t="shared" si="78"/>
        <v>393.06358381502889</v>
      </c>
      <c r="AG111" s="163">
        <f t="shared" si="79"/>
        <v>0</v>
      </c>
      <c r="AH111" s="177">
        <v>393.06358381502889</v>
      </c>
    </row>
    <row r="112" spans="1:34" ht="44.25" customHeight="1" x14ac:dyDescent="0.25">
      <c r="A112" s="237" t="s">
        <v>366</v>
      </c>
      <c r="B112" s="226" t="s">
        <v>383</v>
      </c>
      <c r="C112" s="116"/>
      <c r="D112" s="106"/>
      <c r="E112" s="107"/>
      <c r="F112" s="117"/>
      <c r="G112" s="108"/>
      <c r="H112" s="108"/>
      <c r="I112" s="109"/>
      <c r="J112" s="108"/>
      <c r="K112" s="233">
        <v>1</v>
      </c>
      <c r="L112" s="110">
        <v>0</v>
      </c>
      <c r="M112" s="108"/>
      <c r="N112" s="108"/>
      <c r="O112" s="108"/>
      <c r="P112" s="108"/>
      <c r="Q112" s="111"/>
      <c r="R112" s="108"/>
      <c r="S112" s="155"/>
      <c r="T112" s="155"/>
      <c r="U112" s="118"/>
      <c r="V112" s="118"/>
      <c r="W112" s="111"/>
      <c r="X112" s="234">
        <f t="shared" si="77"/>
        <v>119660.11560693642</v>
      </c>
      <c r="Y112" s="118">
        <f t="shared" si="71"/>
        <v>119660.11560693642</v>
      </c>
      <c r="Z112" s="118">
        <f t="shared" si="72"/>
        <v>0</v>
      </c>
      <c r="AA112" s="119">
        <f t="shared" si="73"/>
        <v>119660.11560693642</v>
      </c>
      <c r="AB112" s="118">
        <f t="shared" si="74"/>
        <v>34682.080000000002</v>
      </c>
      <c r="AC112" s="118">
        <f t="shared" si="75"/>
        <v>0</v>
      </c>
      <c r="AD112" s="133">
        <f t="shared" si="76"/>
        <v>34682.080000000002</v>
      </c>
      <c r="AF112" s="163">
        <f t="shared" si="78"/>
        <v>34.682080924855491</v>
      </c>
      <c r="AG112" s="163">
        <f t="shared" si="79"/>
        <v>0</v>
      </c>
      <c r="AH112" s="177">
        <v>34.682080924855491</v>
      </c>
    </row>
    <row r="113" spans="1:34" ht="44.25" customHeight="1" x14ac:dyDescent="0.25">
      <c r="A113" s="237" t="s">
        <v>367</v>
      </c>
      <c r="B113" s="226" t="s">
        <v>384</v>
      </c>
      <c r="C113" s="116"/>
      <c r="D113" s="106"/>
      <c r="E113" s="107"/>
      <c r="F113" s="117"/>
      <c r="G113" s="108"/>
      <c r="H113" s="108"/>
      <c r="I113" s="109"/>
      <c r="J113" s="108"/>
      <c r="K113" s="233">
        <v>1</v>
      </c>
      <c r="L113" s="110">
        <v>0</v>
      </c>
      <c r="M113" s="108"/>
      <c r="N113" s="108"/>
      <c r="O113" s="108"/>
      <c r="P113" s="108"/>
      <c r="Q113" s="111"/>
      <c r="R113" s="108"/>
      <c r="S113" s="155"/>
      <c r="T113" s="155"/>
      <c r="U113" s="118"/>
      <c r="V113" s="118"/>
      <c r="W113" s="111"/>
      <c r="X113" s="234">
        <f t="shared" si="77"/>
        <v>2764148.6705202311</v>
      </c>
      <c r="Y113" s="118">
        <f t="shared" si="71"/>
        <v>2764148.6705202311</v>
      </c>
      <c r="Z113" s="118">
        <f t="shared" si="72"/>
        <v>0</v>
      </c>
      <c r="AA113" s="119">
        <f t="shared" si="73"/>
        <v>2764148.6705202311</v>
      </c>
      <c r="AB113" s="118">
        <f t="shared" si="74"/>
        <v>801156.07</v>
      </c>
      <c r="AC113" s="118">
        <f t="shared" si="75"/>
        <v>0</v>
      </c>
      <c r="AD113" s="133">
        <f t="shared" si="76"/>
        <v>801156.07</v>
      </c>
      <c r="AF113" s="163">
        <f t="shared" si="78"/>
        <v>801.15606936416179</v>
      </c>
      <c r="AG113" s="163">
        <f t="shared" si="79"/>
        <v>0</v>
      </c>
      <c r="AH113" s="177">
        <v>801.15606936416179</v>
      </c>
    </row>
    <row r="114" spans="1:34" ht="44.25" customHeight="1" x14ac:dyDescent="0.25">
      <c r="A114" s="237" t="s">
        <v>368</v>
      </c>
      <c r="B114" s="226" t="s">
        <v>385</v>
      </c>
      <c r="C114" s="116"/>
      <c r="D114" s="106"/>
      <c r="E114" s="107"/>
      <c r="F114" s="117"/>
      <c r="G114" s="108"/>
      <c r="H114" s="108"/>
      <c r="I114" s="109"/>
      <c r="J114" s="108"/>
      <c r="K114" s="233">
        <v>1</v>
      </c>
      <c r="L114" s="110">
        <v>0</v>
      </c>
      <c r="M114" s="108"/>
      <c r="N114" s="108"/>
      <c r="O114" s="108"/>
      <c r="P114" s="108"/>
      <c r="Q114" s="111"/>
      <c r="R114" s="108"/>
      <c r="S114" s="155"/>
      <c r="T114" s="155"/>
      <c r="U114" s="118"/>
      <c r="V114" s="118"/>
      <c r="W114" s="111"/>
      <c r="X114" s="234">
        <f t="shared" si="77"/>
        <v>463682.94797687867</v>
      </c>
      <c r="Y114" s="118">
        <f t="shared" si="71"/>
        <v>463682.94797687867</v>
      </c>
      <c r="Z114" s="118">
        <f t="shared" si="72"/>
        <v>0</v>
      </c>
      <c r="AA114" s="119">
        <f t="shared" si="73"/>
        <v>463682.94797687867</v>
      </c>
      <c r="AB114" s="118">
        <f t="shared" si="74"/>
        <v>134393.06</v>
      </c>
      <c r="AC114" s="118">
        <f t="shared" si="75"/>
        <v>0</v>
      </c>
      <c r="AD114" s="133">
        <f t="shared" si="76"/>
        <v>134393.06</v>
      </c>
      <c r="AF114" s="163">
        <f t="shared" si="78"/>
        <v>134.39306358381504</v>
      </c>
      <c r="AG114" s="163">
        <f t="shared" si="79"/>
        <v>0</v>
      </c>
      <c r="AH114" s="177">
        <v>134.39306358381504</v>
      </c>
    </row>
    <row r="115" spans="1:34" ht="44.25" customHeight="1" x14ac:dyDescent="0.25">
      <c r="A115" s="237" t="s">
        <v>369</v>
      </c>
      <c r="B115" s="226" t="s">
        <v>386</v>
      </c>
      <c r="C115" s="116"/>
      <c r="D115" s="106"/>
      <c r="E115" s="107"/>
      <c r="F115" s="117"/>
      <c r="G115" s="108"/>
      <c r="H115" s="108"/>
      <c r="I115" s="109"/>
      <c r="J115" s="108"/>
      <c r="K115" s="233">
        <v>1</v>
      </c>
      <c r="L115" s="110">
        <v>0</v>
      </c>
      <c r="M115" s="108"/>
      <c r="N115" s="108"/>
      <c r="O115" s="108"/>
      <c r="P115" s="108"/>
      <c r="Q115" s="111"/>
      <c r="R115" s="108"/>
      <c r="S115" s="155"/>
      <c r="T115" s="155"/>
      <c r="U115" s="118"/>
      <c r="V115" s="118"/>
      <c r="W115" s="111"/>
      <c r="X115" s="234">
        <f t="shared" si="77"/>
        <v>345020.00000000006</v>
      </c>
      <c r="Y115" s="118">
        <f t="shared" si="71"/>
        <v>345020.00000000006</v>
      </c>
      <c r="Z115" s="118">
        <f t="shared" si="72"/>
        <v>0</v>
      </c>
      <c r="AA115" s="119">
        <f t="shared" si="73"/>
        <v>345020.00000000006</v>
      </c>
      <c r="AB115" s="118">
        <f t="shared" si="74"/>
        <v>100000</v>
      </c>
      <c r="AC115" s="118">
        <f t="shared" si="75"/>
        <v>0</v>
      </c>
      <c r="AD115" s="133">
        <f t="shared" si="76"/>
        <v>100000</v>
      </c>
      <c r="AF115" s="163">
        <f t="shared" si="78"/>
        <v>100</v>
      </c>
      <c r="AG115" s="163">
        <f t="shared" si="79"/>
        <v>0</v>
      </c>
      <c r="AH115" s="177">
        <v>100</v>
      </c>
    </row>
    <row r="116" spans="1:34" ht="44.25" customHeight="1" x14ac:dyDescent="0.25">
      <c r="A116" s="237" t="s">
        <v>370</v>
      </c>
      <c r="B116" s="226" t="s">
        <v>387</v>
      </c>
      <c r="C116" s="116"/>
      <c r="D116" s="106"/>
      <c r="E116" s="107"/>
      <c r="F116" s="117"/>
      <c r="G116" s="108"/>
      <c r="H116" s="108"/>
      <c r="I116" s="109"/>
      <c r="J116" s="108"/>
      <c r="K116" s="233">
        <v>1</v>
      </c>
      <c r="L116" s="110">
        <v>0</v>
      </c>
      <c r="M116" s="108"/>
      <c r="N116" s="108"/>
      <c r="O116" s="108"/>
      <c r="P116" s="108"/>
      <c r="Q116" s="111"/>
      <c r="R116" s="108"/>
      <c r="S116" s="155"/>
      <c r="T116" s="155"/>
      <c r="U116" s="118"/>
      <c r="V116" s="118"/>
      <c r="W116" s="111"/>
      <c r="X116" s="234">
        <f t="shared" si="77"/>
        <v>83080.815999999992</v>
      </c>
      <c r="Y116" s="118">
        <f t="shared" si="71"/>
        <v>83080.815999999992</v>
      </c>
      <c r="Z116" s="118">
        <f t="shared" si="72"/>
        <v>0</v>
      </c>
      <c r="AA116" s="119">
        <f t="shared" si="73"/>
        <v>83080.815999999992</v>
      </c>
      <c r="AB116" s="118">
        <f t="shared" si="74"/>
        <v>24080</v>
      </c>
      <c r="AC116" s="118">
        <f t="shared" si="75"/>
        <v>0</v>
      </c>
      <c r="AD116" s="133">
        <f t="shared" si="76"/>
        <v>24080</v>
      </c>
      <c r="AF116" s="163">
        <f t="shared" si="78"/>
        <v>24.08</v>
      </c>
      <c r="AG116" s="163">
        <f t="shared" si="79"/>
        <v>0</v>
      </c>
      <c r="AH116" s="177">
        <v>24.08</v>
      </c>
    </row>
    <row r="117" spans="1:34" ht="44.25" customHeight="1" x14ac:dyDescent="0.25">
      <c r="A117" s="237" t="s">
        <v>371</v>
      </c>
      <c r="B117" s="226" t="s">
        <v>388</v>
      </c>
      <c r="C117" s="116"/>
      <c r="D117" s="106"/>
      <c r="E117" s="107"/>
      <c r="F117" s="117"/>
      <c r="G117" s="108"/>
      <c r="H117" s="108"/>
      <c r="I117" s="109"/>
      <c r="J117" s="108"/>
      <c r="K117" s="233">
        <v>1</v>
      </c>
      <c r="L117" s="110">
        <v>0</v>
      </c>
      <c r="M117" s="108"/>
      <c r="N117" s="108"/>
      <c r="O117" s="108"/>
      <c r="P117" s="108"/>
      <c r="Q117" s="111"/>
      <c r="R117" s="108"/>
      <c r="S117" s="155"/>
      <c r="T117" s="155"/>
      <c r="U117" s="118"/>
      <c r="V117" s="118"/>
      <c r="W117" s="111"/>
      <c r="X117" s="234">
        <f t="shared" si="77"/>
        <v>126415.32800000001</v>
      </c>
      <c r="Y117" s="118">
        <f t="shared" si="71"/>
        <v>126415.32800000001</v>
      </c>
      <c r="Z117" s="118">
        <f t="shared" si="72"/>
        <v>0</v>
      </c>
      <c r="AA117" s="119">
        <f t="shared" si="73"/>
        <v>126415.32800000001</v>
      </c>
      <c r="AB117" s="118">
        <f t="shared" si="74"/>
        <v>36640</v>
      </c>
      <c r="AC117" s="118">
        <f t="shared" si="75"/>
        <v>0</v>
      </c>
      <c r="AD117" s="133">
        <f t="shared" si="76"/>
        <v>36640</v>
      </c>
      <c r="AF117" s="163">
        <f t="shared" si="78"/>
        <v>36.64</v>
      </c>
      <c r="AG117" s="163">
        <f t="shared" si="79"/>
        <v>0</v>
      </c>
      <c r="AH117" s="177">
        <v>36.64</v>
      </c>
    </row>
    <row r="118" spans="1:34" ht="44.25" customHeight="1" x14ac:dyDescent="0.25">
      <c r="A118" s="237" t="s">
        <v>372</v>
      </c>
      <c r="B118" s="226" t="s">
        <v>389</v>
      </c>
      <c r="C118" s="116"/>
      <c r="D118" s="106"/>
      <c r="E118" s="107"/>
      <c r="F118" s="117"/>
      <c r="G118" s="108"/>
      <c r="H118" s="108"/>
      <c r="I118" s="109"/>
      <c r="J118" s="108"/>
      <c r="K118" s="233">
        <v>1</v>
      </c>
      <c r="L118" s="110">
        <v>0</v>
      </c>
      <c r="M118" s="108"/>
      <c r="N118" s="108"/>
      <c r="O118" s="108"/>
      <c r="P118" s="108"/>
      <c r="Q118" s="111"/>
      <c r="R118" s="108"/>
      <c r="S118" s="155"/>
      <c r="T118" s="155"/>
      <c r="U118" s="118"/>
      <c r="V118" s="118"/>
      <c r="W118" s="111"/>
      <c r="X118" s="234">
        <f t="shared" si="77"/>
        <v>7935.4600000000009</v>
      </c>
      <c r="Y118" s="118">
        <f t="shared" si="71"/>
        <v>7935.4600000000009</v>
      </c>
      <c r="Z118" s="118">
        <f t="shared" si="72"/>
        <v>0</v>
      </c>
      <c r="AA118" s="119">
        <f t="shared" si="73"/>
        <v>7935.4600000000009</v>
      </c>
      <c r="AB118" s="118">
        <f t="shared" si="74"/>
        <v>2300</v>
      </c>
      <c r="AC118" s="118">
        <f t="shared" si="75"/>
        <v>0</v>
      </c>
      <c r="AD118" s="133">
        <f t="shared" si="76"/>
        <v>2300</v>
      </c>
      <c r="AF118" s="163">
        <f t="shared" si="78"/>
        <v>2.3000000000000003</v>
      </c>
      <c r="AG118" s="163">
        <f t="shared" si="79"/>
        <v>0</v>
      </c>
      <c r="AH118" s="177">
        <v>2.3000000000000003</v>
      </c>
    </row>
    <row r="119" spans="1:34" ht="44.25" customHeight="1" x14ac:dyDescent="0.25">
      <c r="A119" s="237" t="s">
        <v>373</v>
      </c>
      <c r="B119" s="226" t="s">
        <v>390</v>
      </c>
      <c r="C119" s="116"/>
      <c r="D119" s="106"/>
      <c r="E119" s="107"/>
      <c r="F119" s="117"/>
      <c r="G119" s="108"/>
      <c r="H119" s="108"/>
      <c r="I119" s="109"/>
      <c r="J119" s="108"/>
      <c r="K119" s="233">
        <v>1</v>
      </c>
      <c r="L119" s="110">
        <v>0</v>
      </c>
      <c r="M119" s="108"/>
      <c r="N119" s="108"/>
      <c r="O119" s="108"/>
      <c r="P119" s="108"/>
      <c r="Q119" s="111"/>
      <c r="R119" s="108"/>
      <c r="S119" s="155"/>
      <c r="T119" s="155"/>
      <c r="U119" s="118"/>
      <c r="V119" s="118"/>
      <c r="W119" s="111"/>
      <c r="X119" s="234">
        <f t="shared" si="77"/>
        <v>159054.22</v>
      </c>
      <c r="Y119" s="118">
        <f t="shared" si="71"/>
        <v>159054.22</v>
      </c>
      <c r="Z119" s="118">
        <f t="shared" si="72"/>
        <v>0</v>
      </c>
      <c r="AA119" s="119">
        <f t="shared" si="73"/>
        <v>159054.22</v>
      </c>
      <c r="AB119" s="118">
        <f t="shared" si="74"/>
        <v>46100</v>
      </c>
      <c r="AC119" s="118">
        <f t="shared" si="75"/>
        <v>0</v>
      </c>
      <c r="AD119" s="133">
        <f t="shared" si="76"/>
        <v>46100</v>
      </c>
      <c r="AF119" s="163">
        <f t="shared" si="78"/>
        <v>46.1</v>
      </c>
      <c r="AG119" s="163">
        <f t="shared" si="79"/>
        <v>0</v>
      </c>
      <c r="AH119" s="177">
        <v>46.1</v>
      </c>
    </row>
    <row r="120" spans="1:34" ht="44.25" customHeight="1" x14ac:dyDescent="0.25">
      <c r="A120" s="237" t="s">
        <v>374</v>
      </c>
      <c r="B120" s="226" t="s">
        <v>391</v>
      </c>
      <c r="C120" s="116"/>
      <c r="D120" s="106"/>
      <c r="E120" s="107"/>
      <c r="F120" s="117"/>
      <c r="G120" s="108"/>
      <c r="H120" s="108"/>
      <c r="I120" s="109"/>
      <c r="J120" s="108"/>
      <c r="K120" s="233">
        <v>1</v>
      </c>
      <c r="L120" s="110">
        <v>0</v>
      </c>
      <c r="M120" s="108"/>
      <c r="N120" s="108"/>
      <c r="O120" s="108"/>
      <c r="P120" s="108"/>
      <c r="Q120" s="111"/>
      <c r="R120" s="108"/>
      <c r="S120" s="155"/>
      <c r="T120" s="155"/>
      <c r="U120" s="118"/>
      <c r="V120" s="118"/>
      <c r="W120" s="111"/>
      <c r="X120" s="234">
        <f t="shared" si="77"/>
        <v>51442.482000000004</v>
      </c>
      <c r="Y120" s="118">
        <f t="shared" si="71"/>
        <v>51442.482000000004</v>
      </c>
      <c r="Z120" s="118">
        <f t="shared" si="72"/>
        <v>0</v>
      </c>
      <c r="AA120" s="119">
        <f t="shared" si="73"/>
        <v>51442.482000000004</v>
      </c>
      <c r="AB120" s="118">
        <f t="shared" si="74"/>
        <v>14910</v>
      </c>
      <c r="AC120" s="118">
        <f t="shared" si="75"/>
        <v>0</v>
      </c>
      <c r="AD120" s="133">
        <f t="shared" si="76"/>
        <v>14910</v>
      </c>
      <c r="AF120" s="163">
        <f t="shared" si="78"/>
        <v>14.91</v>
      </c>
      <c r="AG120" s="163">
        <f t="shared" si="79"/>
        <v>0</v>
      </c>
      <c r="AH120" s="177">
        <v>14.91</v>
      </c>
    </row>
    <row r="121" spans="1:34" ht="44.25" customHeight="1" x14ac:dyDescent="0.25">
      <c r="A121" s="237" t="s">
        <v>375</v>
      </c>
      <c r="B121" s="226" t="s">
        <v>392</v>
      </c>
      <c r="C121" s="116"/>
      <c r="D121" s="106"/>
      <c r="E121" s="107"/>
      <c r="F121" s="117"/>
      <c r="G121" s="108"/>
      <c r="H121" s="108"/>
      <c r="I121" s="109"/>
      <c r="J121" s="108"/>
      <c r="K121" s="233">
        <v>1</v>
      </c>
      <c r="L121" s="110">
        <v>0</v>
      </c>
      <c r="M121" s="108"/>
      <c r="N121" s="108"/>
      <c r="O121" s="108"/>
      <c r="P121" s="108"/>
      <c r="Q121" s="111"/>
      <c r="R121" s="108"/>
      <c r="S121" s="155"/>
      <c r="T121" s="155"/>
      <c r="U121" s="118"/>
      <c r="V121" s="118"/>
      <c r="W121" s="111"/>
      <c r="X121" s="234">
        <f t="shared" si="77"/>
        <v>358993.31</v>
      </c>
      <c r="Y121" s="118">
        <f t="shared" si="71"/>
        <v>358993.31</v>
      </c>
      <c r="Z121" s="118">
        <f t="shared" si="72"/>
        <v>0</v>
      </c>
      <c r="AA121" s="119">
        <f t="shared" si="73"/>
        <v>358993.31</v>
      </c>
      <c r="AB121" s="118">
        <f t="shared" si="74"/>
        <v>104050</v>
      </c>
      <c r="AC121" s="118">
        <f t="shared" si="75"/>
        <v>0</v>
      </c>
      <c r="AD121" s="133">
        <f t="shared" si="76"/>
        <v>104050</v>
      </c>
      <c r="AF121" s="163">
        <f t="shared" si="78"/>
        <v>104.05</v>
      </c>
      <c r="AG121" s="163">
        <f t="shared" si="79"/>
        <v>0</v>
      </c>
      <c r="AH121" s="177">
        <v>104.05</v>
      </c>
    </row>
    <row r="122" spans="1:34" ht="44.25" customHeight="1" x14ac:dyDescent="0.25">
      <c r="A122" s="237" t="s">
        <v>376</v>
      </c>
      <c r="B122" s="226" t="s">
        <v>393</v>
      </c>
      <c r="C122" s="116"/>
      <c r="D122" s="106"/>
      <c r="E122" s="107"/>
      <c r="F122" s="117"/>
      <c r="G122" s="108"/>
      <c r="H122" s="108"/>
      <c r="I122" s="109"/>
      <c r="J122" s="108"/>
      <c r="K122" s="233">
        <v>1</v>
      </c>
      <c r="L122" s="110">
        <v>0</v>
      </c>
      <c r="M122" s="108"/>
      <c r="N122" s="108"/>
      <c r="O122" s="108"/>
      <c r="P122" s="108"/>
      <c r="Q122" s="111"/>
      <c r="R122" s="108"/>
      <c r="S122" s="155"/>
      <c r="T122" s="155"/>
      <c r="U122" s="118"/>
      <c r="V122" s="118"/>
      <c r="W122" s="111"/>
      <c r="X122" s="234">
        <f t="shared" si="77"/>
        <v>345020.00000000006</v>
      </c>
      <c r="Y122" s="118">
        <f t="shared" si="71"/>
        <v>345020.00000000006</v>
      </c>
      <c r="Z122" s="118">
        <f t="shared" si="72"/>
        <v>0</v>
      </c>
      <c r="AA122" s="119">
        <f t="shared" si="73"/>
        <v>345020.00000000006</v>
      </c>
      <c r="AB122" s="118">
        <f t="shared" si="74"/>
        <v>100000</v>
      </c>
      <c r="AC122" s="118">
        <f t="shared" si="75"/>
        <v>0</v>
      </c>
      <c r="AD122" s="133">
        <f t="shared" si="76"/>
        <v>100000</v>
      </c>
      <c r="AF122" s="163">
        <f t="shared" si="78"/>
        <v>100</v>
      </c>
      <c r="AG122" s="163">
        <f t="shared" si="79"/>
        <v>0</v>
      </c>
      <c r="AH122" s="177">
        <v>100</v>
      </c>
    </row>
    <row r="123" spans="1:34" ht="44.25" customHeight="1" x14ac:dyDescent="0.25">
      <c r="A123" s="237" t="s">
        <v>377</v>
      </c>
      <c r="B123" s="226" t="s">
        <v>394</v>
      </c>
      <c r="C123" s="116"/>
      <c r="D123" s="106"/>
      <c r="E123" s="107"/>
      <c r="F123" s="117"/>
      <c r="G123" s="108"/>
      <c r="H123" s="108"/>
      <c r="I123" s="109"/>
      <c r="J123" s="108"/>
      <c r="K123" s="233">
        <v>1</v>
      </c>
      <c r="L123" s="110">
        <v>0</v>
      </c>
      <c r="M123" s="108"/>
      <c r="N123" s="108"/>
      <c r="O123" s="108"/>
      <c r="P123" s="108"/>
      <c r="Q123" s="111"/>
      <c r="R123" s="108"/>
      <c r="S123" s="155"/>
      <c r="T123" s="155"/>
      <c r="U123" s="118"/>
      <c r="V123" s="118"/>
      <c r="W123" s="111"/>
      <c r="X123" s="234">
        <f t="shared" si="77"/>
        <v>368308.85000000003</v>
      </c>
      <c r="Y123" s="118">
        <f t="shared" si="71"/>
        <v>368308.85000000003</v>
      </c>
      <c r="Z123" s="118">
        <f t="shared" si="72"/>
        <v>0</v>
      </c>
      <c r="AA123" s="119">
        <f t="shared" si="73"/>
        <v>368308.85000000003</v>
      </c>
      <c r="AB123" s="118">
        <f t="shared" si="74"/>
        <v>106750</v>
      </c>
      <c r="AC123" s="118">
        <f t="shared" si="75"/>
        <v>0</v>
      </c>
      <c r="AD123" s="133">
        <f t="shared" si="76"/>
        <v>106750</v>
      </c>
      <c r="AF123" s="163">
        <f t="shared" si="78"/>
        <v>106.75</v>
      </c>
      <c r="AG123" s="163">
        <f t="shared" si="79"/>
        <v>0</v>
      </c>
      <c r="AH123" s="177">
        <v>106.75</v>
      </c>
    </row>
    <row r="124" spans="1:34" ht="44.25" customHeight="1" x14ac:dyDescent="0.25">
      <c r="A124" s="237" t="s">
        <v>378</v>
      </c>
      <c r="B124" s="226" t="s">
        <v>395</v>
      </c>
      <c r="C124" s="116"/>
      <c r="D124" s="106"/>
      <c r="E124" s="107"/>
      <c r="F124" s="117"/>
      <c r="G124" s="108"/>
      <c r="H124" s="108"/>
      <c r="I124" s="109"/>
      <c r="J124" s="108"/>
      <c r="K124" s="233">
        <v>1</v>
      </c>
      <c r="L124" s="110">
        <v>0</v>
      </c>
      <c r="M124" s="108"/>
      <c r="N124" s="108"/>
      <c r="O124" s="108"/>
      <c r="P124" s="108"/>
      <c r="Q124" s="111"/>
      <c r="R124" s="108"/>
      <c r="S124" s="155"/>
      <c r="T124" s="155"/>
      <c r="U124" s="118"/>
      <c r="V124" s="118"/>
      <c r="W124" s="111"/>
      <c r="X124" s="234">
        <f t="shared" si="77"/>
        <v>669338.80000000005</v>
      </c>
      <c r="Y124" s="118">
        <f t="shared" si="71"/>
        <v>669338.80000000005</v>
      </c>
      <c r="Z124" s="118">
        <f t="shared" si="72"/>
        <v>0</v>
      </c>
      <c r="AA124" s="119">
        <f t="shared" si="73"/>
        <v>669338.80000000005</v>
      </c>
      <c r="AB124" s="118">
        <f t="shared" si="74"/>
        <v>194000</v>
      </c>
      <c r="AC124" s="118">
        <f t="shared" si="75"/>
        <v>0</v>
      </c>
      <c r="AD124" s="133">
        <f t="shared" si="76"/>
        <v>194000</v>
      </c>
      <c r="AF124" s="163">
        <f t="shared" si="78"/>
        <v>194</v>
      </c>
      <c r="AG124" s="163">
        <f t="shared" si="79"/>
        <v>0</v>
      </c>
      <c r="AH124" s="177">
        <v>194</v>
      </c>
    </row>
    <row r="125" spans="1:34" ht="44.25" customHeight="1" x14ac:dyDescent="0.25">
      <c r="A125" s="237" t="s">
        <v>348</v>
      </c>
      <c r="B125" s="226" t="s">
        <v>396</v>
      </c>
      <c r="C125" s="116"/>
      <c r="D125" s="106"/>
      <c r="E125" s="107"/>
      <c r="F125" s="117"/>
      <c r="G125" s="108"/>
      <c r="H125" s="108"/>
      <c r="I125" s="109"/>
      <c r="J125" s="108"/>
      <c r="K125" s="233">
        <v>1</v>
      </c>
      <c r="L125" s="110">
        <v>0</v>
      </c>
      <c r="M125" s="108"/>
      <c r="N125" s="108"/>
      <c r="O125" s="108"/>
      <c r="P125" s="108"/>
      <c r="Q125" s="111"/>
      <c r="R125" s="108"/>
      <c r="S125" s="155"/>
      <c r="T125" s="155"/>
      <c r="U125" s="118"/>
      <c r="V125" s="118"/>
      <c r="W125" s="111"/>
      <c r="X125" s="234">
        <f t="shared" si="77"/>
        <v>1380080.0000000002</v>
      </c>
      <c r="Y125" s="118">
        <f t="shared" si="71"/>
        <v>1380080.0000000002</v>
      </c>
      <c r="Z125" s="118">
        <f t="shared" si="72"/>
        <v>0</v>
      </c>
      <c r="AA125" s="119">
        <f t="shared" si="73"/>
        <v>1380080.0000000002</v>
      </c>
      <c r="AB125" s="118">
        <f t="shared" si="74"/>
        <v>400000</v>
      </c>
      <c r="AC125" s="118">
        <f t="shared" si="75"/>
        <v>0</v>
      </c>
      <c r="AD125" s="133">
        <f t="shared" si="76"/>
        <v>400000</v>
      </c>
      <c r="AF125" s="163">
        <f t="shared" si="78"/>
        <v>400</v>
      </c>
      <c r="AG125" s="163">
        <f t="shared" si="79"/>
        <v>0</v>
      </c>
      <c r="AH125" s="177">
        <v>400</v>
      </c>
    </row>
    <row r="126" spans="1:34" ht="44.25" customHeight="1" thickBot="1" x14ac:dyDescent="0.3">
      <c r="A126" s="238" t="s">
        <v>379</v>
      </c>
      <c r="B126" s="239" t="s">
        <v>397</v>
      </c>
      <c r="C126" s="157"/>
      <c r="D126" s="135"/>
      <c r="E126" s="136"/>
      <c r="F126" s="158"/>
      <c r="G126" s="137"/>
      <c r="H126" s="137"/>
      <c r="I126" s="138"/>
      <c r="J126" s="137"/>
      <c r="K126" s="233">
        <v>1</v>
      </c>
      <c r="L126" s="139">
        <v>0</v>
      </c>
      <c r="M126" s="137"/>
      <c r="N126" s="137"/>
      <c r="O126" s="137"/>
      <c r="P126" s="137"/>
      <c r="Q126" s="140"/>
      <c r="R126" s="137"/>
      <c r="S126" s="159"/>
      <c r="T126" s="159"/>
      <c r="U126" s="160"/>
      <c r="V126" s="160"/>
      <c r="W126" s="140"/>
      <c r="X126" s="234">
        <f t="shared" si="77"/>
        <v>69004</v>
      </c>
      <c r="Y126" s="160">
        <f t="shared" si="71"/>
        <v>69004</v>
      </c>
      <c r="Z126" s="160">
        <f t="shared" si="72"/>
        <v>0</v>
      </c>
      <c r="AA126" s="161">
        <f t="shared" si="73"/>
        <v>69004</v>
      </c>
      <c r="AB126" s="160">
        <f t="shared" si="74"/>
        <v>20000</v>
      </c>
      <c r="AC126" s="160">
        <f t="shared" si="75"/>
        <v>0</v>
      </c>
      <c r="AD126" s="162">
        <f t="shared" si="76"/>
        <v>20000</v>
      </c>
      <c r="AF126" s="163">
        <f t="shared" si="78"/>
        <v>20</v>
      </c>
      <c r="AG126" s="163">
        <f t="shared" si="79"/>
        <v>0</v>
      </c>
      <c r="AH126" s="177">
        <v>20</v>
      </c>
    </row>
    <row r="127" spans="1:34" ht="41.25" customHeight="1" thickBot="1" x14ac:dyDescent="0.3">
      <c r="B127" s="91" t="s">
        <v>220</v>
      </c>
      <c r="C127" s="97"/>
      <c r="D127" s="98"/>
      <c r="E127" s="99"/>
      <c r="F127" s="103"/>
      <c r="G127" s="103"/>
      <c r="H127" s="103"/>
      <c r="I127" s="101"/>
      <c r="J127" s="103"/>
      <c r="K127" s="102"/>
      <c r="L127" s="102"/>
      <c r="M127" s="103">
        <f>M128</f>
        <v>0</v>
      </c>
      <c r="N127" s="103">
        <f>N128</f>
        <v>0</v>
      </c>
      <c r="O127" s="103">
        <f>O128</f>
        <v>0</v>
      </c>
      <c r="P127" s="103">
        <f>P128</f>
        <v>0</v>
      </c>
      <c r="Q127" s="103">
        <f>Q128</f>
        <v>0</v>
      </c>
      <c r="R127" s="100"/>
      <c r="S127" s="103">
        <f>S128</f>
        <v>0</v>
      </c>
      <c r="T127" s="103">
        <f>T128</f>
        <v>0</v>
      </c>
      <c r="U127" s="103">
        <f>U128</f>
        <v>0</v>
      </c>
      <c r="V127" s="103">
        <f>V128</f>
        <v>0</v>
      </c>
      <c r="W127" s="103">
        <f t="shared" ref="W127:AH127" si="80">W128</f>
        <v>0</v>
      </c>
      <c r="X127" s="103">
        <f t="shared" si="80"/>
        <v>8195176.5671543367</v>
      </c>
      <c r="Y127" s="103">
        <f t="shared" si="80"/>
        <v>8195176.5671543367</v>
      </c>
      <c r="Z127" s="103">
        <f t="shared" si="80"/>
        <v>0</v>
      </c>
      <c r="AA127" s="103">
        <f t="shared" si="80"/>
        <v>8195176.5671543367</v>
      </c>
      <c r="AB127" s="103">
        <f t="shared" si="80"/>
        <v>2375275.7999999998</v>
      </c>
      <c r="AC127" s="103">
        <f t="shared" si="80"/>
        <v>0</v>
      </c>
      <c r="AD127" s="103">
        <f t="shared" si="80"/>
        <v>2375275.7999999998</v>
      </c>
      <c r="AF127" s="103">
        <f t="shared" si="80"/>
        <v>2375.2758005780352</v>
      </c>
      <c r="AG127" s="103">
        <f t="shared" si="80"/>
        <v>0</v>
      </c>
      <c r="AH127" s="103">
        <f t="shared" si="80"/>
        <v>2375.2758005780352</v>
      </c>
    </row>
    <row r="128" spans="1:34" ht="43.5" customHeight="1" thickBot="1" x14ac:dyDescent="0.3">
      <c r="B128" s="91" t="s">
        <v>221</v>
      </c>
      <c r="C128" s="104"/>
      <c r="D128" s="98"/>
      <c r="E128" s="99"/>
      <c r="F128" s="89"/>
      <c r="G128" s="89"/>
      <c r="H128" s="89"/>
      <c r="I128" s="101"/>
      <c r="J128" s="89"/>
      <c r="K128" s="102"/>
      <c r="L128" s="102"/>
      <c r="M128" s="89"/>
      <c r="N128" s="89"/>
      <c r="O128" s="89"/>
      <c r="P128" s="89"/>
      <c r="Q128" s="89"/>
      <c r="R128" s="100"/>
      <c r="S128" s="89"/>
      <c r="T128" s="89"/>
      <c r="U128" s="89"/>
      <c r="V128" s="89"/>
      <c r="W128" s="89">
        <f>S128+U128</f>
        <v>0</v>
      </c>
      <c r="X128" s="89">
        <f>SUM(X129:X132)</f>
        <v>8195176.5671543367</v>
      </c>
      <c r="Y128" s="89">
        <f t="shared" ref="Y128:AD128" si="81">SUM(Y129:Y132)</f>
        <v>8195176.5671543367</v>
      </c>
      <c r="Z128" s="89">
        <f t="shared" si="81"/>
        <v>0</v>
      </c>
      <c r="AA128" s="89">
        <f t="shared" si="81"/>
        <v>8195176.5671543367</v>
      </c>
      <c r="AB128" s="89">
        <f t="shared" si="81"/>
        <v>2375275.7999999998</v>
      </c>
      <c r="AC128" s="89">
        <f t="shared" si="81"/>
        <v>0</v>
      </c>
      <c r="AD128" s="89">
        <f t="shared" si="81"/>
        <v>2375275.7999999998</v>
      </c>
      <c r="AF128" s="89">
        <f>SUM(AF129:AF132)</f>
        <v>2375.2758005780352</v>
      </c>
      <c r="AG128" s="89">
        <f>SUM(AG129:AG132)</f>
        <v>0</v>
      </c>
      <c r="AH128" s="89">
        <f>SUM(AH129:AH132)</f>
        <v>2375.2758005780352</v>
      </c>
    </row>
    <row r="129" spans="1:34" ht="43.5" customHeight="1" x14ac:dyDescent="0.25">
      <c r="A129" s="243" t="s">
        <v>398</v>
      </c>
      <c r="B129" s="244" t="s">
        <v>402</v>
      </c>
      <c r="C129" s="245"/>
      <c r="D129" s="122"/>
      <c r="E129" s="123"/>
      <c r="F129" s="246"/>
      <c r="G129" s="246"/>
      <c r="H129" s="246"/>
      <c r="I129" s="125"/>
      <c r="J129" s="246"/>
      <c r="K129" s="126">
        <v>1</v>
      </c>
      <c r="L129" s="126">
        <v>0</v>
      </c>
      <c r="M129" s="246"/>
      <c r="N129" s="246"/>
      <c r="O129" s="246"/>
      <c r="P129" s="246"/>
      <c r="Q129" s="246"/>
      <c r="R129" s="124"/>
      <c r="S129" s="246"/>
      <c r="T129" s="246"/>
      <c r="U129" s="246"/>
      <c r="V129" s="246"/>
      <c r="W129" s="246"/>
      <c r="X129" s="127">
        <f>AH129*$AE$2*1000</f>
        <v>2092671.8932630066</v>
      </c>
      <c r="Y129" s="240">
        <f>X129*K129</f>
        <v>2092671.8932630066</v>
      </c>
      <c r="Z129" s="240">
        <f>X129*L129</f>
        <v>0</v>
      </c>
      <c r="AA129" s="241">
        <f t="shared" ref="AA129:AA135" si="82">Y129+Z129</f>
        <v>2092671.8932630066</v>
      </c>
      <c r="AB129" s="240">
        <f t="shared" ref="AB129:AC132" si="83">ROUND(Y129/$AE$2,2)</f>
        <v>606536.4</v>
      </c>
      <c r="AC129" s="240">
        <f t="shared" si="83"/>
        <v>0</v>
      </c>
      <c r="AD129" s="242">
        <f t="shared" ref="AD129:AD135" si="84">AB129+AC129</f>
        <v>606536.4</v>
      </c>
      <c r="AF129" s="163">
        <f>AH129*K129</f>
        <v>606.53640173410417</v>
      </c>
      <c r="AG129" s="163">
        <f>AH129*L129</f>
        <v>0</v>
      </c>
      <c r="AH129" s="177">
        <v>606.53640173410417</v>
      </c>
    </row>
    <row r="130" spans="1:34" ht="43.5" customHeight="1" x14ac:dyDescent="0.25">
      <c r="A130" s="243" t="s">
        <v>399</v>
      </c>
      <c r="B130" s="247" t="s">
        <v>403</v>
      </c>
      <c r="C130" s="248"/>
      <c r="D130" s="106"/>
      <c r="E130" s="107"/>
      <c r="F130" s="249"/>
      <c r="G130" s="249"/>
      <c r="H130" s="249"/>
      <c r="I130" s="109"/>
      <c r="J130" s="249"/>
      <c r="K130" s="110">
        <v>1</v>
      </c>
      <c r="L130" s="110">
        <v>0</v>
      </c>
      <c r="M130" s="249"/>
      <c r="N130" s="249"/>
      <c r="O130" s="249"/>
      <c r="P130" s="249"/>
      <c r="Q130" s="249"/>
      <c r="R130" s="108"/>
      <c r="S130" s="249"/>
      <c r="T130" s="249"/>
      <c r="U130" s="249"/>
      <c r="V130" s="249"/>
      <c r="W130" s="249"/>
      <c r="X130" s="111">
        <f>AH130*$AE$2*1000</f>
        <v>517530</v>
      </c>
      <c r="Y130" s="118">
        <f>X130*K130</f>
        <v>517530</v>
      </c>
      <c r="Z130" s="118">
        <f>X130*L130</f>
        <v>0</v>
      </c>
      <c r="AA130" s="119">
        <f t="shared" si="82"/>
        <v>517530</v>
      </c>
      <c r="AB130" s="118">
        <f t="shared" si="83"/>
        <v>150000</v>
      </c>
      <c r="AC130" s="118">
        <f t="shared" si="83"/>
        <v>0</v>
      </c>
      <c r="AD130" s="133">
        <f t="shared" si="84"/>
        <v>150000</v>
      </c>
      <c r="AF130" s="163">
        <f>AH130*K130</f>
        <v>150</v>
      </c>
      <c r="AG130" s="163">
        <f>AH130*L130</f>
        <v>0</v>
      </c>
      <c r="AH130" s="177">
        <v>150</v>
      </c>
    </row>
    <row r="131" spans="1:34" ht="43.5" customHeight="1" x14ac:dyDescent="0.25">
      <c r="A131" s="243" t="s">
        <v>400</v>
      </c>
      <c r="B131" s="250" t="s">
        <v>404</v>
      </c>
      <c r="C131" s="248"/>
      <c r="D131" s="106"/>
      <c r="E131" s="107"/>
      <c r="F131" s="249"/>
      <c r="G131" s="249"/>
      <c r="H131" s="249"/>
      <c r="I131" s="109"/>
      <c r="J131" s="249"/>
      <c r="K131" s="110">
        <v>1</v>
      </c>
      <c r="L131" s="110">
        <v>0</v>
      </c>
      <c r="M131" s="249"/>
      <c r="N131" s="249"/>
      <c r="O131" s="249"/>
      <c r="P131" s="249"/>
      <c r="Q131" s="249"/>
      <c r="R131" s="108"/>
      <c r="S131" s="249"/>
      <c r="T131" s="249"/>
      <c r="U131" s="249"/>
      <c r="V131" s="249"/>
      <c r="W131" s="249"/>
      <c r="X131" s="111">
        <f>AH131*$AE$2*1000</f>
        <v>872900.60000000009</v>
      </c>
      <c r="Y131" s="118">
        <f>X131*K131</f>
        <v>872900.60000000009</v>
      </c>
      <c r="Z131" s="118">
        <f>X131*L131</f>
        <v>0</v>
      </c>
      <c r="AA131" s="119">
        <f t="shared" si="82"/>
        <v>872900.60000000009</v>
      </c>
      <c r="AB131" s="118">
        <f t="shared" si="83"/>
        <v>253000</v>
      </c>
      <c r="AC131" s="118">
        <f t="shared" si="83"/>
        <v>0</v>
      </c>
      <c r="AD131" s="133">
        <f t="shared" si="84"/>
        <v>253000</v>
      </c>
      <c r="AF131" s="163">
        <f>AH131*K131</f>
        <v>253</v>
      </c>
      <c r="AG131" s="163">
        <f>AH131*L131</f>
        <v>0</v>
      </c>
      <c r="AH131" s="177">
        <v>253</v>
      </c>
    </row>
    <row r="132" spans="1:34" ht="43.5" customHeight="1" thickBot="1" x14ac:dyDescent="0.3">
      <c r="A132" s="243" t="s">
        <v>401</v>
      </c>
      <c r="B132" s="251" t="s">
        <v>405</v>
      </c>
      <c r="C132" s="252"/>
      <c r="D132" s="135"/>
      <c r="E132" s="136"/>
      <c r="F132" s="253"/>
      <c r="G132" s="253"/>
      <c r="H132" s="253"/>
      <c r="I132" s="138"/>
      <c r="J132" s="253"/>
      <c r="K132" s="139">
        <v>1</v>
      </c>
      <c r="L132" s="139">
        <v>0</v>
      </c>
      <c r="M132" s="253"/>
      <c r="N132" s="253"/>
      <c r="O132" s="253"/>
      <c r="P132" s="253"/>
      <c r="Q132" s="253"/>
      <c r="R132" s="137"/>
      <c r="S132" s="253"/>
      <c r="T132" s="253"/>
      <c r="U132" s="253"/>
      <c r="V132" s="253"/>
      <c r="W132" s="253"/>
      <c r="X132" s="140">
        <f>AH132*$AE$2*1000</f>
        <v>4712074.0738913305</v>
      </c>
      <c r="Y132" s="160">
        <f>X132*K132</f>
        <v>4712074.0738913305</v>
      </c>
      <c r="Z132" s="160">
        <f>X132*L132</f>
        <v>0</v>
      </c>
      <c r="AA132" s="161">
        <f t="shared" si="82"/>
        <v>4712074.0738913305</v>
      </c>
      <c r="AB132" s="160">
        <f t="shared" si="83"/>
        <v>1365739.4</v>
      </c>
      <c r="AC132" s="160">
        <f t="shared" si="83"/>
        <v>0</v>
      </c>
      <c r="AD132" s="162">
        <f t="shared" si="84"/>
        <v>1365739.4</v>
      </c>
      <c r="AF132" s="163">
        <f>AH132*K132</f>
        <v>1365.7393988439308</v>
      </c>
      <c r="AG132" s="163">
        <f>AH132*L132</f>
        <v>0</v>
      </c>
      <c r="AH132" s="177">
        <v>1365.7393988439308</v>
      </c>
    </row>
    <row r="133" spans="1:34" ht="41.25" customHeight="1" thickBot="1" x14ac:dyDescent="0.3">
      <c r="B133" s="91" t="s">
        <v>222</v>
      </c>
      <c r="C133" s="97"/>
      <c r="D133" s="98"/>
      <c r="E133" s="99"/>
      <c r="F133" s="103">
        <f t="shared" ref="F133:H136" si="85">F134</f>
        <v>25000000</v>
      </c>
      <c r="G133" s="103">
        <f t="shared" si="85"/>
        <v>0</v>
      </c>
      <c r="H133" s="103">
        <f t="shared" si="85"/>
        <v>25000000</v>
      </c>
      <c r="I133" s="101"/>
      <c r="J133" s="103">
        <f>J134</f>
        <v>25000000</v>
      </c>
      <c r="K133" s="102"/>
      <c r="L133" s="102"/>
      <c r="M133" s="103">
        <f>M134</f>
        <v>0</v>
      </c>
      <c r="N133" s="103">
        <f t="shared" ref="N133:Q136" si="86">N134</f>
        <v>0</v>
      </c>
      <c r="O133" s="103">
        <f t="shared" si="86"/>
        <v>17914050.309999999</v>
      </c>
      <c r="P133" s="103">
        <f t="shared" si="86"/>
        <v>0</v>
      </c>
      <c r="Q133" s="103">
        <f t="shared" si="86"/>
        <v>17914050.309999999</v>
      </c>
      <c r="R133" s="100"/>
      <c r="S133" s="103">
        <f t="shared" ref="S133:V134" si="87">S134</f>
        <v>0</v>
      </c>
      <c r="T133" s="103">
        <f t="shared" si="87"/>
        <v>0</v>
      </c>
      <c r="U133" s="103">
        <f t="shared" si="87"/>
        <v>6237355.4800000004</v>
      </c>
      <c r="V133" s="103">
        <f t="shared" si="87"/>
        <v>0</v>
      </c>
      <c r="W133" s="103">
        <f t="shared" ref="W133:X136" si="88">W134</f>
        <v>6237355.4800000004</v>
      </c>
      <c r="X133" s="103">
        <f t="shared" si="88"/>
        <v>12474710.960000001</v>
      </c>
      <c r="Y133" s="103"/>
      <c r="Z133" s="103">
        <f>Z134</f>
        <v>12474710.960000001</v>
      </c>
      <c r="AA133" s="103">
        <f t="shared" si="82"/>
        <v>12474710.960000001</v>
      </c>
      <c r="AB133" s="103"/>
      <c r="AC133" s="103">
        <f>AC134</f>
        <v>3615648.65</v>
      </c>
      <c r="AD133" s="103">
        <f t="shared" si="84"/>
        <v>3615648.65</v>
      </c>
      <c r="AF133" s="80"/>
      <c r="AG133" s="80">
        <f>AG134</f>
        <v>1365.7393988439308</v>
      </c>
      <c r="AH133" s="80">
        <f>AF133+AG133</f>
        <v>1365.7393988439308</v>
      </c>
    </row>
    <row r="134" spans="1:34" ht="43.5" customHeight="1" thickBot="1" x14ac:dyDescent="0.3">
      <c r="B134" s="91" t="s">
        <v>223</v>
      </c>
      <c r="C134" s="104"/>
      <c r="D134" s="98"/>
      <c r="E134" s="99"/>
      <c r="F134" s="89">
        <f t="shared" si="85"/>
        <v>25000000</v>
      </c>
      <c r="G134" s="89">
        <f t="shared" si="85"/>
        <v>0</v>
      </c>
      <c r="H134" s="89">
        <f t="shared" si="85"/>
        <v>25000000</v>
      </c>
      <c r="I134" s="101"/>
      <c r="J134" s="89">
        <f>J135</f>
        <v>25000000</v>
      </c>
      <c r="K134" s="102"/>
      <c r="L134" s="102"/>
      <c r="M134" s="89">
        <f>M135</f>
        <v>0</v>
      </c>
      <c r="N134" s="89">
        <f t="shared" si="86"/>
        <v>0</v>
      </c>
      <c r="O134" s="89">
        <f t="shared" si="86"/>
        <v>17914050.309999999</v>
      </c>
      <c r="P134" s="89">
        <f t="shared" si="86"/>
        <v>0</v>
      </c>
      <c r="Q134" s="89">
        <f t="shared" si="86"/>
        <v>17914050.309999999</v>
      </c>
      <c r="R134" s="100"/>
      <c r="S134" s="89">
        <f t="shared" si="87"/>
        <v>0</v>
      </c>
      <c r="T134" s="89">
        <f t="shared" si="87"/>
        <v>0</v>
      </c>
      <c r="U134" s="89">
        <f t="shared" si="87"/>
        <v>6237355.4800000004</v>
      </c>
      <c r="V134" s="89">
        <f t="shared" si="87"/>
        <v>0</v>
      </c>
      <c r="W134" s="89">
        <f t="shared" si="88"/>
        <v>6237355.4800000004</v>
      </c>
      <c r="X134" s="89">
        <f t="shared" si="88"/>
        <v>12474710.960000001</v>
      </c>
      <c r="Y134" s="89"/>
      <c r="Z134" s="89">
        <f>Z135</f>
        <v>12474710.960000001</v>
      </c>
      <c r="AA134" s="89">
        <f t="shared" si="82"/>
        <v>12474710.960000001</v>
      </c>
      <c r="AB134" s="89"/>
      <c r="AC134" s="89">
        <f>AC135</f>
        <v>3615648.65</v>
      </c>
      <c r="AD134" s="89">
        <f t="shared" si="84"/>
        <v>3615648.65</v>
      </c>
      <c r="AF134" s="79"/>
      <c r="AG134" s="79">
        <f>AG135</f>
        <v>1365.7393988439308</v>
      </c>
      <c r="AH134" s="79">
        <f>AF134+AG134</f>
        <v>1365.7393988439308</v>
      </c>
    </row>
    <row r="135" spans="1:34" ht="26.25" thickBot="1" x14ac:dyDescent="0.3">
      <c r="A135" s="30" t="s">
        <v>406</v>
      </c>
      <c r="B135" s="165" t="s">
        <v>224</v>
      </c>
      <c r="C135" s="166" t="s">
        <v>17</v>
      </c>
      <c r="D135" s="167"/>
      <c r="E135" s="168" t="s">
        <v>70</v>
      </c>
      <c r="F135" s="169">
        <v>25000000</v>
      </c>
      <c r="G135" s="169"/>
      <c r="H135" s="169">
        <f>F135+G135</f>
        <v>25000000</v>
      </c>
      <c r="I135" s="170"/>
      <c r="J135" s="169">
        <f>H135+I135</f>
        <v>25000000</v>
      </c>
      <c r="K135" s="171"/>
      <c r="L135" s="171">
        <v>1</v>
      </c>
      <c r="M135" s="169"/>
      <c r="N135" s="169"/>
      <c r="O135" s="169">
        <v>17914050.309999999</v>
      </c>
      <c r="P135" s="169"/>
      <c r="Q135" s="172">
        <f>M135+N135+O135+P135</f>
        <v>17914050.309999999</v>
      </c>
      <c r="R135" s="169"/>
      <c r="S135" s="173"/>
      <c r="T135" s="173"/>
      <c r="U135" s="174">
        <v>6237355.4800000004</v>
      </c>
      <c r="V135" s="174"/>
      <c r="W135" s="172">
        <f>S135+T135+U135+V135</f>
        <v>6237355.4800000004</v>
      </c>
      <c r="X135" s="172">
        <f>T135+U135+V135+W135</f>
        <v>12474710.960000001</v>
      </c>
      <c r="Y135" s="173">
        <f>X135*K135</f>
        <v>0</v>
      </c>
      <c r="Z135" s="173">
        <f>X135*L135</f>
        <v>12474710.960000001</v>
      </c>
      <c r="AA135" s="172">
        <f t="shared" si="82"/>
        <v>12474710.960000001</v>
      </c>
      <c r="AB135" s="173">
        <f>ROUND(Y135/$AE$2,2)</f>
        <v>0</v>
      </c>
      <c r="AC135" s="173">
        <f>ROUND(Z135/$AE$2,2)</f>
        <v>3615648.65</v>
      </c>
      <c r="AD135" s="175">
        <f t="shared" si="84"/>
        <v>3615648.65</v>
      </c>
      <c r="AF135" s="163">
        <f>AH135*K135</f>
        <v>0</v>
      </c>
      <c r="AG135" s="163">
        <f>AH135*L135</f>
        <v>1365.7393988439308</v>
      </c>
      <c r="AH135" s="177">
        <v>1365.7393988439308</v>
      </c>
    </row>
    <row r="136" spans="1:34" ht="33" customHeight="1" thickBot="1" x14ac:dyDescent="0.3">
      <c r="B136" s="91" t="s">
        <v>407</v>
      </c>
      <c r="C136" s="97"/>
      <c r="D136" s="98"/>
      <c r="E136" s="99"/>
      <c r="F136" s="103">
        <f t="shared" si="85"/>
        <v>0</v>
      </c>
      <c r="G136" s="103">
        <f t="shared" si="85"/>
        <v>0</v>
      </c>
      <c r="H136" s="103">
        <f t="shared" si="85"/>
        <v>0</v>
      </c>
      <c r="I136" s="101"/>
      <c r="J136" s="103">
        <f>J137</f>
        <v>0</v>
      </c>
      <c r="K136" s="102"/>
      <c r="L136" s="102"/>
      <c r="M136" s="103">
        <f>M137</f>
        <v>0</v>
      </c>
      <c r="N136" s="103">
        <f t="shared" si="86"/>
        <v>0</v>
      </c>
      <c r="O136" s="103">
        <f t="shared" si="86"/>
        <v>0</v>
      </c>
      <c r="P136" s="103">
        <f t="shared" si="86"/>
        <v>0</v>
      </c>
      <c r="Q136" s="103">
        <f t="shared" si="86"/>
        <v>0</v>
      </c>
      <c r="R136" s="100"/>
      <c r="S136" s="103">
        <f>S137</f>
        <v>0</v>
      </c>
      <c r="T136" s="103">
        <f>T137</f>
        <v>0</v>
      </c>
      <c r="U136" s="103">
        <f>U137</f>
        <v>0</v>
      </c>
      <c r="V136" s="103">
        <f>V137</f>
        <v>0</v>
      </c>
      <c r="W136" s="103">
        <f t="shared" si="88"/>
        <v>0</v>
      </c>
      <c r="X136" s="103">
        <f>SUM(X137:X138)</f>
        <v>169738666.10202855</v>
      </c>
      <c r="Y136" s="103">
        <f t="shared" ref="Y136:AD136" si="89">SUM(Y137:Y138)</f>
        <v>86747778.947720736</v>
      </c>
      <c r="Z136" s="103">
        <f t="shared" si="89"/>
        <v>82990887.154308125</v>
      </c>
      <c r="AA136" s="103">
        <f t="shared" si="89"/>
        <v>169738666.10202885</v>
      </c>
      <c r="AB136" s="103">
        <f t="shared" si="89"/>
        <v>25142826.199999999</v>
      </c>
      <c r="AC136" s="103">
        <f t="shared" si="89"/>
        <v>24053935.18</v>
      </c>
      <c r="AD136" s="103">
        <f t="shared" si="89"/>
        <v>49196761.379999995</v>
      </c>
      <c r="AF136" s="103">
        <f>SUM(AF137:AF138)</f>
        <v>25142.826197820628</v>
      </c>
      <c r="AG136" s="103">
        <f>SUM(AG137:AG138)</f>
        <v>24053.935178919521</v>
      </c>
      <c r="AH136" s="103">
        <f>SUM(AH137:AH138)</f>
        <v>49196.761376740054</v>
      </c>
    </row>
    <row r="137" spans="1:34" ht="33" customHeight="1" thickBot="1" x14ac:dyDescent="0.3">
      <c r="A137" s="243" t="s">
        <v>410</v>
      </c>
      <c r="B137" s="251" t="s">
        <v>408</v>
      </c>
      <c r="C137" s="64"/>
      <c r="D137" s="65"/>
      <c r="E137" s="213"/>
      <c r="F137" s="214"/>
      <c r="G137" s="214"/>
      <c r="H137" s="214"/>
      <c r="I137" s="215"/>
      <c r="J137" s="214"/>
      <c r="K137" s="216">
        <v>0.37559730313543199</v>
      </c>
      <c r="L137" s="216">
        <v>0.62440269686456795</v>
      </c>
      <c r="M137" s="214"/>
      <c r="N137" s="214"/>
      <c r="O137" s="214"/>
      <c r="P137" s="214"/>
      <c r="Q137" s="177"/>
      <c r="R137" s="214"/>
      <c r="S137" s="217"/>
      <c r="T137" s="217"/>
      <c r="U137" s="254"/>
      <c r="V137" s="254"/>
      <c r="W137" s="177"/>
      <c r="X137" s="140">
        <f>AH137*$AE$2*1000</f>
        <v>105417410.8</v>
      </c>
      <c r="Y137" s="160">
        <f>X137*K137</f>
        <v>39594495.199999958</v>
      </c>
      <c r="Z137" s="160">
        <f>X137*L137</f>
        <v>65822915.600000031</v>
      </c>
      <c r="AA137" s="161">
        <f>Y137+Z137</f>
        <v>105417410.79999998</v>
      </c>
      <c r="AB137" s="160">
        <f>ROUND(Y137/$AE$2,2)</f>
        <v>11476000</v>
      </c>
      <c r="AC137" s="160">
        <f>ROUND(Z137/$AE$2,2)</f>
        <v>19078000</v>
      </c>
      <c r="AD137" s="162">
        <f>AB137+AC137</f>
        <v>30554000</v>
      </c>
      <c r="AF137" s="163">
        <f>AH137*K137</f>
        <v>11475.999999999989</v>
      </c>
      <c r="AG137" s="163">
        <f>AH137*L137</f>
        <v>19078.000000000011</v>
      </c>
      <c r="AH137" s="177">
        <v>30554</v>
      </c>
    </row>
    <row r="138" spans="1:34" ht="15.75" thickBot="1" x14ac:dyDescent="0.3">
      <c r="A138" s="243" t="s">
        <v>411</v>
      </c>
      <c r="B138" s="251" t="s">
        <v>409</v>
      </c>
      <c r="C138" s="64"/>
      <c r="D138" s="65"/>
      <c r="E138" s="66"/>
      <c r="F138" s="67"/>
      <c r="G138" s="67"/>
      <c r="H138" s="67"/>
      <c r="I138" s="67"/>
      <c r="J138" s="67"/>
      <c r="K138" s="68">
        <v>0.73309022851476702</v>
      </c>
      <c r="L138" s="68">
        <v>0.26690977148523798</v>
      </c>
      <c r="M138" s="67"/>
      <c r="N138" s="67"/>
      <c r="O138" s="67"/>
      <c r="P138" s="81"/>
      <c r="Q138" s="81"/>
      <c r="R138" s="81"/>
      <c r="S138" s="163"/>
      <c r="T138" s="163"/>
      <c r="U138" s="69"/>
      <c r="V138" s="164"/>
      <c r="W138" s="70"/>
      <c r="X138" s="140">
        <f>AH138*$AE$2*1000</f>
        <v>64321255.302028544</v>
      </c>
      <c r="Y138" s="160">
        <f>X138*K138</f>
        <v>47153283.747720778</v>
      </c>
      <c r="Z138" s="160">
        <f>X138*L138</f>
        <v>17167971.55430809</v>
      </c>
      <c r="AA138" s="161">
        <f>Y138+Z138</f>
        <v>64321255.302028865</v>
      </c>
      <c r="AB138" s="160">
        <f>ROUND(Y138/$AE$2,2)</f>
        <v>13666826.199999999</v>
      </c>
      <c r="AC138" s="160">
        <f>ROUND(Z138/$AE$2,2)</f>
        <v>4975935.18</v>
      </c>
      <c r="AD138" s="162">
        <f>AB138+AC138</f>
        <v>18642761.379999999</v>
      </c>
      <c r="AF138" s="163">
        <f>AH138*K138</f>
        <v>13666.826197820639</v>
      </c>
      <c r="AG138" s="163">
        <f>AH138*L138</f>
        <v>4975.9351789195089</v>
      </c>
      <c r="AH138" s="71">
        <v>18642.761376740054</v>
      </c>
    </row>
    <row r="139" spans="1:34" s="2" customFormat="1" ht="23.25" customHeight="1" thickBot="1" x14ac:dyDescent="0.3">
      <c r="A139" s="29"/>
      <c r="B139" s="1612" t="s">
        <v>0</v>
      </c>
      <c r="C139" s="1613"/>
      <c r="D139" s="1613"/>
      <c r="E139" s="1614"/>
      <c r="F139" s="23">
        <f>F5+F66+F127+F133</f>
        <v>551439205.62000012</v>
      </c>
      <c r="G139" s="23">
        <f>G5+G66+G127+G133</f>
        <v>102012451.45</v>
      </c>
      <c r="H139" s="23">
        <f>H5+H66+H127+H133</f>
        <v>653451657.07000017</v>
      </c>
      <c r="I139" s="23">
        <f>I5+I66+I127+I133</f>
        <v>0</v>
      </c>
      <c r="J139" s="23" t="e">
        <f>J5+J66+J127+J133</f>
        <v>#REF!</v>
      </c>
      <c r="K139" s="24"/>
      <c r="L139" s="24"/>
      <c r="M139" s="23">
        <f>M5+M66+M127+M133</f>
        <v>387225735.25</v>
      </c>
      <c r="N139" s="23">
        <f>N5+N66+N127+N133</f>
        <v>45720411.390000008</v>
      </c>
      <c r="O139" s="23">
        <f>O5+O66+O127+O133</f>
        <v>74711974.829999998</v>
      </c>
      <c r="P139" s="23">
        <f>P5+P66+P127+P133</f>
        <v>7347353.5399999972</v>
      </c>
      <c r="Q139" s="23">
        <f>Q5+Q66+Q127+Q133</f>
        <v>515005475.01000005</v>
      </c>
      <c r="R139" s="23"/>
      <c r="S139" s="23">
        <f>S5+S66+S127+S133</f>
        <v>154584265.67000002</v>
      </c>
      <c r="T139" s="23">
        <f>T5+T66+T127+T133</f>
        <v>15276749.769999996</v>
      </c>
      <c r="U139" s="23">
        <f>U5+U66+U127+U133</f>
        <v>26866237.260000002</v>
      </c>
      <c r="V139" s="23">
        <f>V5+V66+V127+V133</f>
        <v>2447784.2700000005</v>
      </c>
      <c r="W139" s="23">
        <f>W5+W66+W127+W133</f>
        <v>199175036.97</v>
      </c>
      <c r="X139" s="23">
        <f>X5+X66+X127+X133+X136</f>
        <v>495616761.85232621</v>
      </c>
      <c r="Y139" s="23">
        <f t="shared" ref="Y139:AD139" si="90">Y5+Y66+Y127+Y133+Y136</f>
        <v>283457058.80209208</v>
      </c>
      <c r="Z139" s="23">
        <f t="shared" si="90"/>
        <v>217252274.50578272</v>
      </c>
      <c r="AA139" s="23">
        <f t="shared" si="90"/>
        <v>500709333.30787474</v>
      </c>
      <c r="AB139" s="23">
        <f t="shared" si="90"/>
        <v>82156703.629999995</v>
      </c>
      <c r="AC139" s="23">
        <f t="shared" si="90"/>
        <v>62968023.439999998</v>
      </c>
      <c r="AD139" s="23">
        <f t="shared" si="90"/>
        <v>145124727.06999999</v>
      </c>
      <c r="AF139" s="23">
        <f>AF5+AF66+AF127+AF133</f>
        <v>64307.975560097359</v>
      </c>
      <c r="AG139" s="23">
        <f>AG5+AG66+AG127+AG133</f>
        <v>588005.24762359681</v>
      </c>
      <c r="AH139" s="23">
        <f>AH5+AH66+AH127+AH133</f>
        <v>82249.76089573637</v>
      </c>
    </row>
    <row r="140" spans="1:34" ht="15.75" thickBot="1" x14ac:dyDescent="0.3">
      <c r="B140" s="20"/>
      <c r="C140" s="48"/>
      <c r="D140" s="48"/>
      <c r="E140" s="48"/>
      <c r="F140" s="21"/>
      <c r="G140" s="21"/>
      <c r="H140" s="22"/>
      <c r="I140" s="25"/>
      <c r="J140" s="25"/>
      <c r="K140" s="10"/>
      <c r="L140" s="10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7"/>
    </row>
    <row r="141" spans="1:34" x14ac:dyDescent="0.25">
      <c r="B141" s="12"/>
      <c r="C141" s="49"/>
      <c r="D141" s="49"/>
      <c r="E141" s="49"/>
      <c r="F141" s="13"/>
      <c r="G141" s="13"/>
      <c r="H141" s="9"/>
      <c r="I141" s="8"/>
      <c r="J141" s="8"/>
      <c r="K141" s="14"/>
      <c r="L141" s="14"/>
      <c r="M141" s="2"/>
      <c r="N141" s="27">
        <f>+M139+N139</f>
        <v>432946146.63999999</v>
      </c>
      <c r="O141" s="28"/>
      <c r="P141" s="27">
        <f>+O139+P139</f>
        <v>82059328.36999999</v>
      </c>
      <c r="Q141" s="28">
        <v>514365500.00999945</v>
      </c>
      <c r="R141" s="28"/>
      <c r="S141" s="28"/>
      <c r="T141" s="28">
        <f>+S139+T139</f>
        <v>169861015.44</v>
      </c>
      <c r="U141" s="28"/>
      <c r="V141" s="27">
        <f>+U139+V139</f>
        <v>29314021.530000001</v>
      </c>
      <c r="W141" s="36">
        <v>198990074.09999874</v>
      </c>
      <c r="AA141" s="27"/>
      <c r="AD141" s="27"/>
      <c r="AH141" s="27"/>
    </row>
    <row r="142" spans="1:34" x14ac:dyDescent="0.25">
      <c r="B142" s="15"/>
      <c r="F142" s="16"/>
      <c r="G142" s="16"/>
      <c r="H142" s="8"/>
      <c r="I142" s="8"/>
      <c r="J142" s="8"/>
      <c r="K142" s="14"/>
      <c r="L142" s="14"/>
      <c r="M142" s="2"/>
      <c r="N142" s="36">
        <v>432306171.64000016</v>
      </c>
      <c r="O142" s="36"/>
      <c r="P142" s="36">
        <v>82059328.370000005</v>
      </c>
      <c r="Q142" s="36"/>
      <c r="R142" s="36"/>
      <c r="S142" s="36"/>
      <c r="T142" s="36">
        <v>169676052.57000026</v>
      </c>
      <c r="U142" s="36"/>
      <c r="V142" s="36">
        <v>29314021.530000012</v>
      </c>
      <c r="Z142" s="1">
        <f>X139-AA139</f>
        <v>-5092571.4555485249</v>
      </c>
    </row>
    <row r="143" spans="1:34" x14ac:dyDescent="0.25">
      <c r="B143" s="15"/>
      <c r="F143" s="16"/>
      <c r="G143" s="16"/>
      <c r="H143" s="8"/>
      <c r="I143" s="8"/>
      <c r="J143" s="8"/>
      <c r="K143" s="14"/>
      <c r="L143" s="14"/>
      <c r="M143" s="2"/>
      <c r="N143" s="28">
        <f>+N141-N142</f>
        <v>639974.99999982119</v>
      </c>
      <c r="O143" s="28"/>
      <c r="P143" s="28">
        <f>+P141-P142</f>
        <v>0</v>
      </c>
      <c r="Q143" s="28">
        <f>Q139-Q141</f>
        <v>639975.00000059605</v>
      </c>
      <c r="R143" s="28"/>
      <c r="S143" s="28"/>
      <c r="T143" s="28">
        <f>T141-T142</f>
        <v>184962.86999973655</v>
      </c>
      <c r="U143" s="28"/>
      <c r="V143" s="28">
        <f>+V141-V142</f>
        <v>0</v>
      </c>
      <c r="W143" s="28">
        <f>+W139-W141</f>
        <v>184962.87000125647</v>
      </c>
    </row>
    <row r="144" spans="1:34" ht="15.75" thickBot="1" x14ac:dyDescent="0.3">
      <c r="B144" s="15"/>
      <c r="F144" s="16"/>
      <c r="G144" s="16"/>
      <c r="H144" s="8"/>
      <c r="I144" s="8"/>
      <c r="J144" s="8"/>
      <c r="K144" s="14"/>
      <c r="L144" s="1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8"/>
    </row>
    <row r="145" spans="2:34" ht="15.75" thickBot="1" x14ac:dyDescent="0.3">
      <c r="B145" s="17"/>
      <c r="C145" s="50"/>
      <c r="D145" s="50"/>
      <c r="E145" s="50"/>
      <c r="F145" s="18"/>
      <c r="G145" s="19"/>
      <c r="H145" s="7"/>
      <c r="I145" s="8"/>
      <c r="J145" s="8"/>
      <c r="K145" s="14"/>
      <c r="L145" s="1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4" ht="15.75" thickBot="1" x14ac:dyDescent="0.3">
      <c r="B146" s="6"/>
      <c r="C146" s="51"/>
      <c r="D146" s="51"/>
      <c r="E146" s="51"/>
      <c r="F146" s="5"/>
      <c r="G146" s="5"/>
      <c r="H146" s="4"/>
      <c r="I146" s="26"/>
      <c r="J146" s="26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8" spans="2:34" x14ac:dyDescent="0.25">
      <c r="AA148" s="27"/>
      <c r="AD148" s="27"/>
      <c r="AH148" s="27"/>
    </row>
    <row r="150" spans="2:34" x14ac:dyDescent="0.25">
      <c r="W150" s="27"/>
      <c r="AA150" s="1"/>
      <c r="AD150" s="1"/>
      <c r="AH150" s="1"/>
    </row>
    <row r="152" spans="2:34" x14ac:dyDescent="0.25">
      <c r="X152" s="32"/>
    </row>
    <row r="153" spans="2:34" x14ac:dyDescent="0.25">
      <c r="L153" s="1"/>
    </row>
    <row r="154" spans="2:34" x14ac:dyDescent="0.25">
      <c r="W154" s="1"/>
      <c r="X154" s="32"/>
    </row>
    <row r="155" spans="2:34" x14ac:dyDescent="0.25">
      <c r="L155" s="27"/>
      <c r="W155" s="1"/>
      <c r="AD155" s="27"/>
      <c r="AH155" s="27"/>
    </row>
    <row r="156" spans="2:34" x14ac:dyDescent="0.25">
      <c r="M156" s="1"/>
      <c r="N156" s="1"/>
      <c r="W156" s="27"/>
      <c r="AD156" s="27"/>
      <c r="AH156" s="27"/>
    </row>
  </sheetData>
  <sortState ref="A51:Y67">
    <sortCondition ref="A51:A67"/>
  </sortState>
  <customSheetViews>
    <customSheetView guid="{4F748D0E-E050-4B9E-BA26-0A3F6D7B169B}" scale="71" showPageBreaks="1" showGridLines="0" printArea="1" hiddenColumns="1" state="hidden" topLeftCell="A3">
      <pane xSplit="2" ySplit="2" topLeftCell="C68" activePane="bottomRight" state="frozen"/>
      <selection pane="bottomRight" activeCell="B50" sqref="B50"/>
      <pageMargins left="0.19685039370078741" right="0.19685039370078741" top="0.27559055118110237" bottom="0.23622047244094491" header="0.15748031496062992" footer="0.15748031496062992"/>
      <pageSetup paperSize="8" orientation="landscape" horizontalDpi="4294967295" verticalDpi="4294967295" r:id="rId1"/>
    </customSheetView>
    <customSheetView guid="{8679FB5B-1AA7-40E9-8152-505014626217}" scale="71" showPageBreaks="1" showGridLines="0" printArea="1" hiddenColumns="1" state="hidden" topLeftCell="A3">
      <pane xSplit="2" ySplit="2" topLeftCell="C68" activePane="bottomRight" state="frozen"/>
      <selection pane="bottomRight" activeCell="B50" sqref="B50"/>
      <pageMargins left="0.19685039370078741" right="0.19685039370078741" top="0.27559055118110237" bottom="0.23622047244094491" header="0.15748031496062992" footer="0.15748031496062992"/>
      <pageSetup paperSize="8" orientation="landscape" horizontalDpi="4294967295" verticalDpi="4294967295" r:id="rId2"/>
    </customSheetView>
  </customSheetViews>
  <mergeCells count="7">
    <mergeCell ref="AF3:AH3"/>
    <mergeCell ref="S3:V3"/>
    <mergeCell ref="B1:AD1"/>
    <mergeCell ref="B139:E139"/>
    <mergeCell ref="M3:Q3"/>
    <mergeCell ref="Y3:AA3"/>
    <mergeCell ref="AB3:AD3"/>
  </mergeCells>
  <pageMargins left="0.19685039370078741" right="0.19685039370078741" top="0.27559055118110237" bottom="0.23622047244094491" header="0.15748031496062992" footer="0.15748031496062992"/>
  <pageSetup paperSize="8" orientation="landscape" horizontalDpi="4294967295" verticalDpi="4294967295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sqref="A1:O1"/>
    </sheetView>
  </sheetViews>
  <sheetFormatPr defaultRowHeight="15" x14ac:dyDescent="0.25"/>
  <cols>
    <col min="1" max="1" width="11.28515625" customWidth="1"/>
    <col min="2" max="2" width="9.28515625" customWidth="1"/>
    <col min="3" max="3" width="22" customWidth="1"/>
    <col min="4" max="4" width="25.140625" customWidth="1"/>
    <col min="5" max="5" width="5.5703125" customWidth="1"/>
    <col min="6" max="6" width="11.140625" customWidth="1"/>
    <col min="7" max="7" width="9.28515625" customWidth="1"/>
    <col min="8" max="9" width="13.7109375" bestFit="1" customWidth="1"/>
    <col min="10" max="11" width="14" bestFit="1" customWidth="1"/>
    <col min="12" max="12" width="12" style="30" customWidth="1"/>
    <col min="13" max="13" width="17.5703125" customWidth="1"/>
    <col min="14" max="14" width="9" customWidth="1"/>
    <col min="15" max="15" width="19.140625" customWidth="1"/>
    <col min="16" max="16" width="6.5703125" customWidth="1"/>
    <col min="17" max="17" width="16.140625" hidden="1" customWidth="1"/>
    <col min="18" max="18" width="8.28515625" customWidth="1"/>
  </cols>
  <sheetData>
    <row r="1" spans="1:18" ht="29.25" customHeight="1" x14ac:dyDescent="0.25">
      <c r="A1" s="1722" t="s">
        <v>463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  <c r="N1" s="1722"/>
      <c r="O1" s="1722"/>
    </row>
    <row r="2" spans="1:18" ht="15.75" customHeight="1" x14ac:dyDescent="0.25">
      <c r="A2" s="1723" t="s">
        <v>464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480"/>
      <c r="Q2" s="481"/>
      <c r="R2" s="258">
        <v>3.7</v>
      </c>
    </row>
    <row r="3" spans="1:18" ht="15.75" customHeight="1" x14ac:dyDescent="0.25">
      <c r="A3" s="1723"/>
      <c r="B3" s="1723"/>
      <c r="C3" s="1723"/>
      <c r="D3" s="1723"/>
      <c r="E3" s="1723"/>
      <c r="F3" s="1723"/>
      <c r="G3" s="1723"/>
      <c r="H3" s="1723"/>
      <c r="I3" s="1723"/>
      <c r="J3" s="1723"/>
      <c r="K3" s="1723"/>
      <c r="L3" s="1723"/>
      <c r="M3" s="1723"/>
      <c r="N3" s="1723"/>
      <c r="O3" s="1723"/>
      <c r="P3" s="480"/>
      <c r="Q3" s="481"/>
      <c r="R3" s="258"/>
    </row>
    <row r="4" spans="1:18" ht="26.25" customHeight="1" thickBot="1" x14ac:dyDescent="0.3">
      <c r="A4" s="1719" t="s">
        <v>465</v>
      </c>
      <c r="B4" s="1719"/>
      <c r="C4" s="482" t="s">
        <v>466</v>
      </c>
      <c r="D4" s="482" t="s">
        <v>467</v>
      </c>
      <c r="E4" s="482" t="s">
        <v>468</v>
      </c>
      <c r="F4" s="482" t="s">
        <v>469</v>
      </c>
      <c r="G4" s="482" t="s">
        <v>470</v>
      </c>
      <c r="H4" s="482" t="s">
        <v>471</v>
      </c>
      <c r="I4" s="482" t="s">
        <v>472</v>
      </c>
      <c r="J4" s="482" t="s">
        <v>473</v>
      </c>
      <c r="K4" s="482" t="s">
        <v>474</v>
      </c>
      <c r="L4" s="482" t="s">
        <v>475</v>
      </c>
      <c r="M4" s="258"/>
      <c r="N4" s="258"/>
      <c r="O4" s="258"/>
      <c r="P4" s="258"/>
      <c r="Q4" s="258"/>
      <c r="R4" s="258"/>
    </row>
    <row r="5" spans="1:18" ht="94.5" customHeight="1" x14ac:dyDescent="0.25">
      <c r="A5" s="1711" t="s">
        <v>476</v>
      </c>
      <c r="B5" s="1711" t="s">
        <v>477</v>
      </c>
      <c r="C5" s="1717" t="s">
        <v>478</v>
      </c>
      <c r="D5" s="1717" t="s">
        <v>479</v>
      </c>
      <c r="E5" s="1711" t="s">
        <v>480</v>
      </c>
      <c r="F5" s="1711" t="s">
        <v>481</v>
      </c>
      <c r="G5" s="1711" t="s">
        <v>482</v>
      </c>
      <c r="H5" s="1711" t="s">
        <v>483</v>
      </c>
      <c r="I5" s="1711" t="s">
        <v>484</v>
      </c>
      <c r="J5" s="1711" t="s">
        <v>485</v>
      </c>
      <c r="K5" s="1711" t="s">
        <v>486</v>
      </c>
      <c r="L5" s="1714" t="s">
        <v>487</v>
      </c>
      <c r="M5" s="1698" t="s">
        <v>488</v>
      </c>
      <c r="N5" s="1699"/>
      <c r="O5" s="1700"/>
      <c r="P5" s="258"/>
    </row>
    <row r="6" spans="1:18" ht="15.75" thickBot="1" x14ac:dyDescent="0.3">
      <c r="A6" s="1716"/>
      <c r="B6" s="1716"/>
      <c r="C6" s="1718"/>
      <c r="D6" s="1718"/>
      <c r="E6" s="1713"/>
      <c r="F6" s="1712"/>
      <c r="G6" s="1712"/>
      <c r="H6" s="1712"/>
      <c r="I6" s="1712"/>
      <c r="J6" s="1713"/>
      <c r="K6" s="1713"/>
      <c r="L6" s="1715"/>
      <c r="M6" s="1701"/>
      <c r="N6" s="1702"/>
      <c r="O6" s="1703"/>
      <c r="P6" s="258"/>
    </row>
    <row r="7" spans="1:18" ht="67.5" customHeight="1" x14ac:dyDescent="0.25">
      <c r="A7" s="483" t="s">
        <v>489</v>
      </c>
      <c r="B7" s="484" t="s">
        <v>490</v>
      </c>
      <c r="C7" s="485" t="s">
        <v>491</v>
      </c>
      <c r="D7" s="486" t="s">
        <v>492</v>
      </c>
      <c r="E7" s="487" t="s">
        <v>493</v>
      </c>
      <c r="F7" s="488">
        <v>426</v>
      </c>
      <c r="G7" s="488">
        <v>430.99</v>
      </c>
      <c r="H7" s="489">
        <v>11274236.8493568</v>
      </c>
      <c r="I7" s="489">
        <v>11171539.93</v>
      </c>
      <c r="J7" s="489">
        <f>H7/F7</f>
        <v>26465.344716800002</v>
      </c>
      <c r="K7" s="489">
        <f>I7/G7</f>
        <v>25920.647648437316</v>
      </c>
      <c r="L7" s="490">
        <f>(K7-J7)/J7</f>
        <v>-2.0581521767102331E-2</v>
      </c>
      <c r="M7" s="1704"/>
      <c r="N7" s="1705"/>
      <c r="O7" s="1706"/>
    </row>
    <row r="8" spans="1:18" ht="45.75" customHeight="1" x14ac:dyDescent="0.25">
      <c r="A8" s="491" t="s">
        <v>494</v>
      </c>
      <c r="B8" s="492" t="s">
        <v>495</v>
      </c>
      <c r="C8" s="493" t="s">
        <v>496</v>
      </c>
      <c r="D8" s="494" t="s">
        <v>497</v>
      </c>
      <c r="E8" s="495" t="s">
        <v>493</v>
      </c>
      <c r="F8" s="496">
        <v>426</v>
      </c>
      <c r="G8" s="488">
        <v>0</v>
      </c>
      <c r="H8" s="489">
        <v>1012018.3560960001</v>
      </c>
      <c r="I8" s="489">
        <v>0</v>
      </c>
      <c r="J8" s="489">
        <f>H8/F8</f>
        <v>2375.6299438873239</v>
      </c>
      <c r="K8" s="489"/>
      <c r="L8" s="497"/>
      <c r="M8" s="1707" t="s">
        <v>498</v>
      </c>
      <c r="N8" s="1708"/>
      <c r="O8" s="1709"/>
    </row>
    <row r="9" spans="1:18" ht="33" customHeight="1" x14ac:dyDescent="0.25">
      <c r="A9" s="498" t="s">
        <v>499</v>
      </c>
      <c r="B9" s="492" t="s">
        <v>500</v>
      </c>
      <c r="C9" s="499" t="s">
        <v>501</v>
      </c>
      <c r="D9" s="494" t="s">
        <v>502</v>
      </c>
      <c r="E9" s="500" t="s">
        <v>503</v>
      </c>
      <c r="F9" s="496"/>
      <c r="G9" s="488">
        <v>1.67</v>
      </c>
      <c r="H9" s="489"/>
      <c r="I9" s="489">
        <v>3837551.96</v>
      </c>
      <c r="J9" s="489"/>
      <c r="K9" s="489">
        <f>I9/G9</f>
        <v>2297935.3053892218</v>
      </c>
      <c r="L9" s="490"/>
      <c r="M9" s="1704"/>
      <c r="N9" s="1705"/>
      <c r="O9" s="1706"/>
    </row>
    <row r="10" spans="1:18" ht="68.25" customHeight="1" thickBot="1" x14ac:dyDescent="0.3">
      <c r="A10" s="501" t="s">
        <v>504</v>
      </c>
      <c r="B10" s="502" t="s">
        <v>505</v>
      </c>
      <c r="C10" s="503" t="s">
        <v>506</v>
      </c>
      <c r="D10" s="504" t="s">
        <v>507</v>
      </c>
      <c r="E10" s="505" t="s">
        <v>493</v>
      </c>
      <c r="F10" s="496">
        <v>3000</v>
      </c>
      <c r="G10" s="488">
        <v>969.83</v>
      </c>
      <c r="H10" s="489">
        <v>2584386.8749247999</v>
      </c>
      <c r="I10" s="489">
        <v>728778.52</v>
      </c>
      <c r="J10" s="489">
        <f>H10/F10</f>
        <v>861.46229164160002</v>
      </c>
      <c r="K10" s="489">
        <f>I10/G10</f>
        <v>751.44975923615482</v>
      </c>
      <c r="L10" s="490">
        <f>(K10-J10)/J10</f>
        <v>-0.12770440850731335</v>
      </c>
      <c r="M10" s="1678" t="s">
        <v>508</v>
      </c>
      <c r="N10" s="1679"/>
      <c r="O10" s="1680"/>
    </row>
    <row r="11" spans="1:18" ht="15.75" thickBot="1" x14ac:dyDescent="0.3">
      <c r="A11" s="506"/>
      <c r="B11" s="507"/>
      <c r="C11" s="507"/>
      <c r="D11" s="507"/>
      <c r="E11" s="507"/>
      <c r="F11" s="507"/>
      <c r="G11" s="507"/>
      <c r="H11" s="508">
        <f>SUM(H7:H10)</f>
        <v>14870642.080377599</v>
      </c>
      <c r="I11" s="508">
        <f>SUM(I7:I10)</f>
        <v>15737870.41</v>
      </c>
      <c r="J11" s="1682"/>
      <c r="K11" s="1710"/>
      <c r="L11" s="509"/>
      <c r="M11" s="1684"/>
      <c r="N11" s="1685"/>
      <c r="O11" s="1686"/>
    </row>
    <row r="12" spans="1:18" ht="48" customHeight="1" thickBot="1" x14ac:dyDescent="0.3">
      <c r="A12" s="510" t="s">
        <v>499</v>
      </c>
      <c r="B12" s="510" t="s">
        <v>500</v>
      </c>
      <c r="C12" s="511" t="s">
        <v>501</v>
      </c>
      <c r="D12" s="494" t="s">
        <v>502</v>
      </c>
      <c r="E12" s="512" t="s">
        <v>509</v>
      </c>
      <c r="F12" s="510">
        <v>1.38</v>
      </c>
      <c r="G12" s="513">
        <v>0.97</v>
      </c>
      <c r="H12" s="514">
        <v>2420869.5302880001</v>
      </c>
      <c r="I12" s="515">
        <v>2354221.35</v>
      </c>
      <c r="J12" s="515">
        <f>H12/F12</f>
        <v>1754253.2828173914</v>
      </c>
      <c r="K12" s="516">
        <f>I12/G12</f>
        <v>2427032.3195876288</v>
      </c>
      <c r="L12" s="517">
        <f>(K12-J12)/J12</f>
        <v>0.38351305558894605</v>
      </c>
      <c r="M12" s="1678" t="s">
        <v>510</v>
      </c>
      <c r="N12" s="1679"/>
      <c r="O12" s="1680"/>
    </row>
    <row r="13" spans="1:18" ht="15.75" thickBot="1" x14ac:dyDescent="0.3">
      <c r="A13" s="507"/>
      <c r="B13" s="507"/>
      <c r="C13" s="507"/>
      <c r="D13" s="507"/>
      <c r="E13" s="507"/>
      <c r="F13" s="507"/>
      <c r="G13" s="507"/>
      <c r="H13" s="518">
        <f>H12</f>
        <v>2420869.5302880001</v>
      </c>
      <c r="I13" s="518">
        <f>I12</f>
        <v>2354221.35</v>
      </c>
      <c r="J13" s="1681"/>
      <c r="K13" s="1682"/>
      <c r="L13" s="1683"/>
      <c r="M13" s="1684"/>
      <c r="N13" s="1685"/>
      <c r="O13" s="1686"/>
    </row>
    <row r="14" spans="1:18" ht="15.75" thickBot="1" x14ac:dyDescent="0.3">
      <c r="A14" s="519"/>
      <c r="B14" s="519"/>
      <c r="C14" s="519"/>
      <c r="D14" s="519"/>
      <c r="E14" s="519"/>
      <c r="F14" s="519"/>
      <c r="G14" s="519"/>
      <c r="H14" s="520">
        <f>H11+H13</f>
        <v>17291511.610665601</v>
      </c>
      <c r="I14" s="607">
        <f>I11+I13</f>
        <v>18092091.760000002</v>
      </c>
      <c r="J14" s="521"/>
      <c r="K14" s="521"/>
      <c r="L14" s="522">
        <f>(I14-H14)/H14</f>
        <v>4.6299026213566775E-2</v>
      </c>
      <c r="M14" s="1689"/>
      <c r="N14" s="1690"/>
      <c r="O14" s="1691"/>
    </row>
    <row r="15" spans="1:18" x14ac:dyDescent="0.25">
      <c r="A15" s="523" t="s">
        <v>511</v>
      </c>
      <c r="B15" s="524"/>
      <c r="C15" s="525"/>
      <c r="D15" s="526"/>
      <c r="E15" s="524"/>
      <c r="F15" s="527" t="s">
        <v>512</v>
      </c>
      <c r="G15" s="528"/>
      <c r="H15" s="528"/>
      <c r="I15" s="528"/>
      <c r="J15" s="528"/>
      <c r="K15" s="528"/>
      <c r="L15" s="528"/>
      <c r="M15" s="528"/>
      <c r="N15" s="529"/>
      <c r="O15" s="530"/>
      <c r="P15" s="531"/>
      <c r="R15" s="258"/>
    </row>
    <row r="16" spans="1:18" ht="22.5" customHeight="1" x14ac:dyDescent="0.25">
      <c r="A16" s="1720" t="s">
        <v>513</v>
      </c>
      <c r="B16" s="1720"/>
      <c r="C16" s="1720"/>
      <c r="D16" s="1720"/>
      <c r="E16" s="1720"/>
      <c r="F16" s="1720"/>
      <c r="G16" s="1720"/>
      <c r="H16" s="1720"/>
      <c r="I16" s="1720"/>
      <c r="J16" s="1720"/>
      <c r="K16" s="1720"/>
      <c r="L16" s="1720"/>
      <c r="M16" s="1720"/>
      <c r="N16" s="1720"/>
      <c r="O16" s="1720"/>
    </row>
    <row r="17" spans="1:18" ht="6" customHeight="1" x14ac:dyDescent="0.25">
      <c r="A17" s="1721" t="s">
        <v>514</v>
      </c>
      <c r="B17" s="1721"/>
      <c r="C17" s="1721"/>
      <c r="D17" s="1721"/>
      <c r="E17" s="1721"/>
      <c r="F17" s="1721"/>
      <c r="G17" s="1721"/>
      <c r="H17" s="1721"/>
      <c r="I17" s="1721"/>
      <c r="J17" s="1721"/>
      <c r="K17" s="1721"/>
      <c r="L17" s="1721"/>
      <c r="M17" s="1721"/>
      <c r="N17" s="1721"/>
      <c r="O17" s="1721"/>
      <c r="P17" s="480"/>
      <c r="Q17" s="481"/>
      <c r="R17" s="258">
        <v>3.7</v>
      </c>
    </row>
    <row r="18" spans="1:18" ht="15.75" customHeight="1" x14ac:dyDescent="0.25">
      <c r="A18" s="1721"/>
      <c r="B18" s="1721"/>
      <c r="C18" s="1721"/>
      <c r="D18" s="1721"/>
      <c r="E18" s="1721"/>
      <c r="F18" s="1721"/>
      <c r="G18" s="1721"/>
      <c r="H18" s="1721"/>
      <c r="I18" s="1721"/>
      <c r="J18" s="1721"/>
      <c r="K18" s="1721"/>
      <c r="L18" s="1721"/>
      <c r="M18" s="1721"/>
      <c r="N18" s="1721"/>
      <c r="O18" s="1721"/>
      <c r="P18" s="480"/>
      <c r="Q18" s="481"/>
      <c r="R18" s="258"/>
    </row>
    <row r="19" spans="1:18" ht="16.5" customHeight="1" thickBot="1" x14ac:dyDescent="0.3">
      <c r="A19" s="1719" t="s">
        <v>465</v>
      </c>
      <c r="B19" s="1719"/>
      <c r="C19" s="482" t="s">
        <v>466</v>
      </c>
      <c r="D19" s="482" t="s">
        <v>467</v>
      </c>
      <c r="E19" s="482" t="s">
        <v>468</v>
      </c>
      <c r="F19" s="482" t="s">
        <v>469</v>
      </c>
      <c r="G19" s="482" t="s">
        <v>470</v>
      </c>
      <c r="H19" s="482" t="s">
        <v>471</v>
      </c>
      <c r="I19" s="482" t="s">
        <v>472</v>
      </c>
      <c r="J19" s="482" t="s">
        <v>473</v>
      </c>
      <c r="K19" s="482" t="s">
        <v>474</v>
      </c>
      <c r="L19" s="482" t="s">
        <v>475</v>
      </c>
      <c r="M19" s="532" t="s">
        <v>515</v>
      </c>
      <c r="N19" s="533">
        <v>3.7</v>
      </c>
      <c r="O19" s="258"/>
      <c r="P19" s="258"/>
      <c r="Q19" s="258"/>
      <c r="R19" s="258"/>
    </row>
    <row r="20" spans="1:18" ht="45.75" customHeight="1" x14ac:dyDescent="0.25">
      <c r="A20" s="1711" t="s">
        <v>476</v>
      </c>
      <c r="B20" s="1711" t="s">
        <v>516</v>
      </c>
      <c r="C20" s="1717" t="s">
        <v>478</v>
      </c>
      <c r="D20" s="1717" t="s">
        <v>479</v>
      </c>
      <c r="E20" s="1711" t="s">
        <v>480</v>
      </c>
      <c r="F20" s="1711" t="s">
        <v>481</v>
      </c>
      <c r="G20" s="1711" t="s">
        <v>517</v>
      </c>
      <c r="H20" s="1711" t="s">
        <v>518</v>
      </c>
      <c r="I20" s="1711" t="s">
        <v>519</v>
      </c>
      <c r="J20" s="1711" t="s">
        <v>485</v>
      </c>
      <c r="K20" s="1711" t="s">
        <v>486</v>
      </c>
      <c r="L20" s="1714" t="s">
        <v>487</v>
      </c>
      <c r="M20" s="1698" t="s">
        <v>488</v>
      </c>
      <c r="N20" s="1699"/>
      <c r="O20" s="1700"/>
      <c r="P20" s="258"/>
    </row>
    <row r="21" spans="1:18" ht="15.75" customHeight="1" thickBot="1" x14ac:dyDescent="0.3">
      <c r="A21" s="1716"/>
      <c r="B21" s="1716"/>
      <c r="C21" s="1718"/>
      <c r="D21" s="1718"/>
      <c r="E21" s="1713"/>
      <c r="F21" s="1712"/>
      <c r="G21" s="1712"/>
      <c r="H21" s="1712"/>
      <c r="I21" s="1712"/>
      <c r="J21" s="1713"/>
      <c r="K21" s="1713"/>
      <c r="L21" s="1715"/>
      <c r="M21" s="1701"/>
      <c r="N21" s="1702"/>
      <c r="O21" s="1703"/>
      <c r="P21" s="258"/>
    </row>
    <row r="22" spans="1:18" ht="43.5" customHeight="1" x14ac:dyDescent="0.25">
      <c r="A22" s="534" t="s">
        <v>489</v>
      </c>
      <c r="B22" s="484" t="s">
        <v>490</v>
      </c>
      <c r="C22" s="535" t="s">
        <v>491</v>
      </c>
      <c r="D22" s="486" t="s">
        <v>492</v>
      </c>
      <c r="E22" s="487" t="s">
        <v>493</v>
      </c>
      <c r="F22" s="488">
        <v>426</v>
      </c>
      <c r="G22" s="488">
        <v>430.99</v>
      </c>
      <c r="H22" s="489">
        <f t="shared" ref="H22:I25" si="0">H7/$R$2</f>
        <v>3047091.0403667027</v>
      </c>
      <c r="I22" s="489">
        <f t="shared" si="0"/>
        <v>3019335.1162162158</v>
      </c>
      <c r="J22" s="489">
        <f>H22/F22</f>
        <v>7152.795869405405</v>
      </c>
      <c r="K22" s="489">
        <f>I22/G22</f>
        <v>7005.5804455235984</v>
      </c>
      <c r="L22" s="536">
        <f>(K22-J22)/J22</f>
        <v>-2.0581521767102276E-2</v>
      </c>
      <c r="M22" s="1704"/>
      <c r="N22" s="1705"/>
      <c r="O22" s="1706"/>
    </row>
    <row r="23" spans="1:18" ht="28.5" customHeight="1" x14ac:dyDescent="0.25">
      <c r="A23" s="537" t="s">
        <v>494</v>
      </c>
      <c r="B23" s="492" t="s">
        <v>495</v>
      </c>
      <c r="C23" s="538" t="s">
        <v>496</v>
      </c>
      <c r="D23" s="494" t="s">
        <v>497</v>
      </c>
      <c r="E23" s="495" t="s">
        <v>493</v>
      </c>
      <c r="F23" s="496">
        <v>426</v>
      </c>
      <c r="G23" s="488">
        <v>0</v>
      </c>
      <c r="H23" s="489">
        <f t="shared" si="0"/>
        <v>273518.47462054057</v>
      </c>
      <c r="I23" s="489">
        <f t="shared" si="0"/>
        <v>0</v>
      </c>
      <c r="J23" s="489">
        <f>H23/F23</f>
        <v>642.06214699657414</v>
      </c>
      <c r="K23" s="489"/>
      <c r="L23" s="539"/>
      <c r="M23" s="1707" t="s">
        <v>498</v>
      </c>
      <c r="N23" s="1708"/>
      <c r="O23" s="1709"/>
    </row>
    <row r="24" spans="1:18" ht="22.5" customHeight="1" x14ac:dyDescent="0.25">
      <c r="A24" s="540" t="s">
        <v>499</v>
      </c>
      <c r="B24" s="492" t="s">
        <v>500</v>
      </c>
      <c r="C24" s="511" t="s">
        <v>501</v>
      </c>
      <c r="D24" s="494" t="s">
        <v>502</v>
      </c>
      <c r="E24" s="500" t="s">
        <v>503</v>
      </c>
      <c r="F24" s="496"/>
      <c r="G24" s="488">
        <v>1.67</v>
      </c>
      <c r="H24" s="489">
        <f t="shared" si="0"/>
        <v>0</v>
      </c>
      <c r="I24" s="489">
        <f t="shared" si="0"/>
        <v>1037176.2054054054</v>
      </c>
      <c r="J24" s="489"/>
      <c r="K24" s="489">
        <f>I24/G24</f>
        <v>621063.59605114092</v>
      </c>
      <c r="L24" s="536"/>
      <c r="M24" s="1704"/>
      <c r="N24" s="1705"/>
      <c r="O24" s="1706"/>
    </row>
    <row r="25" spans="1:18" ht="29.25" customHeight="1" thickBot="1" x14ac:dyDescent="0.3">
      <c r="A25" s="541" t="s">
        <v>504</v>
      </c>
      <c r="B25" s="502" t="s">
        <v>505</v>
      </c>
      <c r="C25" s="542" t="s">
        <v>520</v>
      </c>
      <c r="D25" s="504" t="s">
        <v>507</v>
      </c>
      <c r="E25" s="543" t="s">
        <v>493</v>
      </c>
      <c r="F25" s="544">
        <v>3000</v>
      </c>
      <c r="G25" s="545">
        <v>969.83</v>
      </c>
      <c r="H25" s="546">
        <f t="shared" si="0"/>
        <v>698482.93916886474</v>
      </c>
      <c r="I25" s="546">
        <f t="shared" si="0"/>
        <v>196967.16756756755</v>
      </c>
      <c r="J25" s="546">
        <f>H25/F25</f>
        <v>232.82764638962158</v>
      </c>
      <c r="K25" s="546">
        <f>I25/G25</f>
        <v>203.09452952328505</v>
      </c>
      <c r="L25" s="547">
        <f>(K25-J25)/J25</f>
        <v>-0.12770440850731332</v>
      </c>
      <c r="M25" s="1678" t="s">
        <v>508</v>
      </c>
      <c r="N25" s="1679"/>
      <c r="O25" s="1680"/>
    </row>
    <row r="26" spans="1:18" ht="15.75" thickBot="1" x14ac:dyDescent="0.3">
      <c r="A26" s="506"/>
      <c r="B26" s="507"/>
      <c r="C26" s="507"/>
      <c r="D26" s="507"/>
      <c r="E26" s="507"/>
      <c r="F26" s="507"/>
      <c r="G26" s="507"/>
      <c r="H26" s="508">
        <f>SUM(H22:H25)</f>
        <v>4019092.4541561082</v>
      </c>
      <c r="I26" s="508">
        <f>SUM(I22:I25)</f>
        <v>4253478.4891891889</v>
      </c>
      <c r="J26" s="1682"/>
      <c r="K26" s="1710"/>
      <c r="L26" s="509">
        <f>(I26-H26)/H26</f>
        <v>5.8318149608801405E-2</v>
      </c>
      <c r="M26" s="1684"/>
      <c r="N26" s="1685"/>
      <c r="O26" s="1686"/>
    </row>
    <row r="27" spans="1:18" ht="48" customHeight="1" thickBot="1" x14ac:dyDescent="0.3">
      <c r="A27" s="510" t="s">
        <v>499</v>
      </c>
      <c r="B27" s="510" t="s">
        <v>500</v>
      </c>
      <c r="C27" s="511" t="s">
        <v>501</v>
      </c>
      <c r="D27" s="494" t="s">
        <v>502</v>
      </c>
      <c r="E27" s="512" t="s">
        <v>509</v>
      </c>
      <c r="F27" s="510">
        <v>1.38</v>
      </c>
      <c r="G27" s="513">
        <v>0.97</v>
      </c>
      <c r="H27" s="489">
        <f>H12/$R$2</f>
        <v>654289.06224</v>
      </c>
      <c r="I27" s="489">
        <f>I12/$R$2</f>
        <v>636276.04054054059</v>
      </c>
      <c r="J27" s="515">
        <f>H27/F27</f>
        <v>474122.50886956527</v>
      </c>
      <c r="K27" s="516">
        <f>I27/G27</f>
        <v>655954.68096962944</v>
      </c>
      <c r="L27" s="517">
        <f>(K27-J27)/J27</f>
        <v>0.38351305558894611</v>
      </c>
      <c r="M27" s="1678" t="s">
        <v>510</v>
      </c>
      <c r="N27" s="1679"/>
      <c r="O27" s="1680"/>
    </row>
    <row r="28" spans="1:18" ht="15.75" thickBot="1" x14ac:dyDescent="0.3">
      <c r="A28" s="507"/>
      <c r="B28" s="507"/>
      <c r="C28" s="507"/>
      <c r="D28" s="507"/>
      <c r="E28" s="507"/>
      <c r="F28" s="507"/>
      <c r="G28" s="507"/>
      <c r="H28" s="518">
        <f>H27</f>
        <v>654289.06224</v>
      </c>
      <c r="I28" s="518">
        <f>I27</f>
        <v>636276.04054054059</v>
      </c>
      <c r="J28" s="1681"/>
      <c r="K28" s="1682"/>
      <c r="L28" s="1683"/>
      <c r="M28" s="1684"/>
      <c r="N28" s="1685"/>
      <c r="O28" s="1686"/>
    </row>
    <row r="29" spans="1:18" ht="15.75" thickBot="1" x14ac:dyDescent="0.3">
      <c r="A29" s="548"/>
      <c r="B29" s="548"/>
      <c r="C29" s="548"/>
      <c r="D29" s="548"/>
      <c r="E29" s="548"/>
      <c r="F29" s="548"/>
      <c r="G29" s="548"/>
      <c r="H29" s="520">
        <f>H26+H28</f>
        <v>4673381.5163961081</v>
      </c>
      <c r="I29" s="520">
        <f>I26+I28</f>
        <v>4889754.5297297295</v>
      </c>
      <c r="J29" s="1687"/>
      <c r="K29" s="1688"/>
      <c r="L29" s="522">
        <f>(I29-H29)/H29</f>
        <v>4.6299026213566685E-2</v>
      </c>
      <c r="M29" s="1689"/>
      <c r="N29" s="1690"/>
      <c r="O29" s="1691"/>
    </row>
    <row r="30" spans="1:18" ht="15.75" hidden="1" customHeight="1" thickBot="1" x14ac:dyDescent="0.3">
      <c r="A30" s="1692"/>
      <c r="B30" s="549"/>
      <c r="C30" s="491" t="s">
        <v>494</v>
      </c>
      <c r="D30" s="538" t="s">
        <v>496</v>
      </c>
      <c r="E30" s="495" t="s">
        <v>493</v>
      </c>
      <c r="F30" s="550">
        <v>426</v>
      </c>
      <c r="G30" s="551">
        <v>643188.4</v>
      </c>
      <c r="H30" s="551">
        <f t="shared" ref="H30:H35" si="1">I30-G30</f>
        <v>276828.28735999996</v>
      </c>
      <c r="I30" s="552">
        <f>G30*1.4304</f>
        <v>920016.68735999998</v>
      </c>
      <c r="J30" s="553">
        <v>760149.64293509582</v>
      </c>
      <c r="K30" s="554">
        <f t="shared" ref="K30:K35" si="2">L30-J30</f>
        <v>182587.94423300994</v>
      </c>
      <c r="L30" s="555">
        <f>J30*1.2402</f>
        <v>942737.58716810576</v>
      </c>
      <c r="M30" s="556">
        <f>508488.49*1.3</f>
        <v>661035.03700000001</v>
      </c>
      <c r="N30" s="1694"/>
      <c r="O30" s="1696"/>
      <c r="P30" s="557">
        <f>I30*1.1</f>
        <v>1012018.3560960001</v>
      </c>
      <c r="Q30" s="558">
        <f>P30/$R$2</f>
        <v>273518.47462054057</v>
      </c>
    </row>
    <row r="31" spans="1:18" ht="37.5" hidden="1" customHeight="1" thickBot="1" x14ac:dyDescent="0.3">
      <c r="A31" s="1693"/>
      <c r="B31" s="559"/>
      <c r="C31" s="501" t="s">
        <v>504</v>
      </c>
      <c r="D31" s="560" t="s">
        <v>520</v>
      </c>
      <c r="E31" s="505" t="s">
        <v>493</v>
      </c>
      <c r="F31" s="561">
        <v>3000</v>
      </c>
      <c r="G31" s="562">
        <v>1642507.42</v>
      </c>
      <c r="H31" s="563">
        <f t="shared" si="1"/>
        <v>706935.19356799964</v>
      </c>
      <c r="I31" s="564">
        <f>G31*1.4304</f>
        <v>2349442.6135679996</v>
      </c>
      <c r="J31" s="565">
        <v>1941190.8374455217</v>
      </c>
      <c r="K31" s="565">
        <f t="shared" si="2"/>
        <v>466274.03915441409</v>
      </c>
      <c r="L31" s="566">
        <f>J31*1.2402</f>
        <v>2407464.8765999358</v>
      </c>
      <c r="M31" s="567">
        <f>1664709.01*1.3</f>
        <v>2164121.713</v>
      </c>
      <c r="N31" s="1695"/>
      <c r="O31" s="1697"/>
      <c r="P31" s="568">
        <f>I31*1.1</f>
        <v>2584386.8749247999</v>
      </c>
      <c r="Q31" s="569">
        <f>P31/$R$2</f>
        <v>698482.93916886474</v>
      </c>
    </row>
    <row r="32" spans="1:18" ht="15.75" hidden="1" thickBot="1" x14ac:dyDescent="0.3">
      <c r="A32" s="1620" t="s">
        <v>521</v>
      </c>
      <c r="B32" s="1621"/>
      <c r="C32" s="1621"/>
      <c r="D32" s="1621"/>
      <c r="E32" s="1621"/>
      <c r="F32" s="1621"/>
      <c r="G32" s="570">
        <f>SUM(G30:G31)</f>
        <v>2285695.8199999998</v>
      </c>
      <c r="H32" s="571">
        <f t="shared" si="1"/>
        <v>983763.4809279996</v>
      </c>
      <c r="I32" s="572">
        <f>G32*1.4304</f>
        <v>3269459.3009279994</v>
      </c>
      <c r="J32" s="571">
        <f>SUM(J30:J31)</f>
        <v>2701340.4803806175</v>
      </c>
      <c r="K32" s="571">
        <f t="shared" si="2"/>
        <v>648861.98338742414</v>
      </c>
      <c r="L32" s="573">
        <f>SUM(L30:L31)</f>
        <v>3350202.4637680417</v>
      </c>
      <c r="M32" s="574">
        <f>SUM(M30:M31)</f>
        <v>2825156.75</v>
      </c>
      <c r="N32" s="575"/>
      <c r="O32" s="576"/>
      <c r="P32" s="518">
        <f>SUM(P30:P31)</f>
        <v>3596405.2310207998</v>
      </c>
      <c r="Q32" s="518">
        <f>SUM(Q30:Q31)</f>
        <v>972001.41378940525</v>
      </c>
    </row>
    <row r="33" spans="1:18" ht="41.25" hidden="1" customHeight="1" thickBot="1" x14ac:dyDescent="0.3">
      <c r="A33" s="577" t="s">
        <v>522</v>
      </c>
      <c r="B33" s="578"/>
      <c r="C33" s="510" t="s">
        <v>499</v>
      </c>
      <c r="D33" s="511" t="s">
        <v>501</v>
      </c>
      <c r="E33" s="512" t="s">
        <v>509</v>
      </c>
      <c r="F33" s="579">
        <v>1.38</v>
      </c>
      <c r="G33" s="580">
        <v>1538583.9500000002</v>
      </c>
      <c r="H33" s="580">
        <f t="shared" si="1"/>
        <v>662206.5320799998</v>
      </c>
      <c r="I33" s="581">
        <f>G33*1.4304</f>
        <v>2200790.48208</v>
      </c>
      <c r="J33" s="582">
        <v>1815161.08</v>
      </c>
      <c r="K33" s="583">
        <f t="shared" si="2"/>
        <v>436001.69141600002</v>
      </c>
      <c r="L33" s="584">
        <f>J33*1.2402</f>
        <v>2251162.7714160001</v>
      </c>
      <c r="M33" s="585">
        <f>1744593.45*1.3</f>
        <v>2267971.4849999999</v>
      </c>
      <c r="N33" s="586">
        <v>55</v>
      </c>
      <c r="O33" s="587">
        <v>42705</v>
      </c>
      <c r="P33" s="588">
        <f>I33*1.1</f>
        <v>2420869.5302880001</v>
      </c>
      <c r="Q33" s="558">
        <f>P33/$R$2</f>
        <v>654289.06224</v>
      </c>
    </row>
    <row r="34" spans="1:18" ht="15.75" hidden="1" thickBot="1" x14ac:dyDescent="0.3">
      <c r="A34" s="1620" t="s">
        <v>521</v>
      </c>
      <c r="B34" s="1621"/>
      <c r="C34" s="1621"/>
      <c r="D34" s="1621"/>
      <c r="E34" s="1621"/>
      <c r="F34" s="1621"/>
      <c r="G34" s="570">
        <f>G33</f>
        <v>1538583.9500000002</v>
      </c>
      <c r="H34" s="570">
        <f t="shared" si="1"/>
        <v>662206.5320799998</v>
      </c>
      <c r="I34" s="572">
        <f>I33</f>
        <v>2200790.48208</v>
      </c>
      <c r="J34" s="589">
        <v>1815161.08</v>
      </c>
      <c r="K34" s="590">
        <f t="shared" si="2"/>
        <v>436001.69141600002</v>
      </c>
      <c r="L34" s="573">
        <f>L33</f>
        <v>2251162.7714160001</v>
      </c>
      <c r="M34" s="591">
        <f>1744593.45*1.3</f>
        <v>2267971.4849999999</v>
      </c>
      <c r="N34" s="592"/>
      <c r="O34" s="576"/>
      <c r="P34" s="518">
        <f>P33</f>
        <v>2420869.5302880001</v>
      </c>
      <c r="Q34" s="518">
        <f>Q33</f>
        <v>654289.06224</v>
      </c>
    </row>
    <row r="35" spans="1:18" ht="15.75" hidden="1" thickBot="1" x14ac:dyDescent="0.3">
      <c r="A35" s="1661" t="s">
        <v>92</v>
      </c>
      <c r="B35" s="1662"/>
      <c r="C35" s="1662"/>
      <c r="D35" s="1662"/>
      <c r="E35" s="1662"/>
      <c r="F35" s="1662"/>
      <c r="G35" s="521">
        <f>G32+G34</f>
        <v>3824279.77</v>
      </c>
      <c r="H35" s="521">
        <f t="shared" si="1"/>
        <v>1645970.0130079999</v>
      </c>
      <c r="I35" s="593">
        <f>I32+I34</f>
        <v>5470249.7830079999</v>
      </c>
      <c r="J35" s="594">
        <f>J32+J34</f>
        <v>4516501.5603806172</v>
      </c>
      <c r="K35" s="521">
        <f t="shared" si="2"/>
        <v>1084863.6748034246</v>
      </c>
      <c r="L35" s="595">
        <f>L32+L34</f>
        <v>5601365.2351840418</v>
      </c>
      <c r="M35" s="596">
        <f>M32+M34</f>
        <v>5093128.2349999994</v>
      </c>
      <c r="N35" s="597"/>
      <c r="O35" s="598"/>
      <c r="P35" s="520">
        <f>P32+P34</f>
        <v>6017274.7613088004</v>
      </c>
      <c r="Q35" s="520">
        <f>Q32+Q34</f>
        <v>1626290.4760294054</v>
      </c>
      <c r="R35" s="1"/>
    </row>
    <row r="36" spans="1:18" ht="66" hidden="1" customHeight="1" thickBot="1" x14ac:dyDescent="0.3">
      <c r="A36" s="59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600"/>
    </row>
    <row r="37" spans="1:18" ht="15.75" hidden="1" thickBot="1" x14ac:dyDescent="0.3">
      <c r="A37" s="1663" t="s">
        <v>523</v>
      </c>
      <c r="B37" s="1664"/>
      <c r="C37" s="1664"/>
      <c r="D37" s="1664"/>
      <c r="E37" s="1664"/>
      <c r="F37" s="1664"/>
      <c r="G37" s="1664"/>
      <c r="H37" s="1664"/>
      <c r="I37" s="1664"/>
      <c r="J37" s="1664"/>
      <c r="K37" s="1664"/>
      <c r="L37" s="1664"/>
      <c r="M37" s="1664"/>
      <c r="N37" s="1664"/>
      <c r="O37" s="1665"/>
    </row>
    <row r="38" spans="1:18" ht="38.25" hidden="1" customHeight="1" x14ac:dyDescent="0.25">
      <c r="A38" s="1666" t="s">
        <v>524</v>
      </c>
      <c r="B38" s="1667"/>
      <c r="C38" s="1667"/>
      <c r="D38" s="1667"/>
      <c r="E38" s="1667"/>
      <c r="F38" s="1667"/>
      <c r="G38" s="1670" t="s">
        <v>525</v>
      </c>
      <c r="H38" s="1670" t="s">
        <v>526</v>
      </c>
      <c r="I38" s="1672" t="s">
        <v>527</v>
      </c>
      <c r="J38" s="1673"/>
      <c r="K38" s="1673"/>
      <c r="L38" s="1673"/>
      <c r="M38" s="1673"/>
      <c r="N38" s="1673"/>
      <c r="O38" s="1674"/>
    </row>
    <row r="39" spans="1:18" ht="15.75" hidden="1" customHeight="1" thickBot="1" x14ac:dyDescent="0.3">
      <c r="A39" s="1668"/>
      <c r="B39" s="1669"/>
      <c r="C39" s="1669"/>
      <c r="D39" s="1669"/>
      <c r="E39" s="1669"/>
      <c r="F39" s="1669"/>
      <c r="G39" s="1671"/>
      <c r="H39" s="1671"/>
      <c r="I39" s="1675"/>
      <c r="J39" s="1676"/>
      <c r="K39" s="1676"/>
      <c r="L39" s="1676"/>
      <c r="M39" s="1676"/>
      <c r="N39" s="1676"/>
      <c r="O39" s="1677"/>
    </row>
    <row r="40" spans="1:18" ht="15.75" hidden="1" customHeight="1" x14ac:dyDescent="0.25">
      <c r="A40" s="1635" t="s">
        <v>528</v>
      </c>
      <c r="B40" s="1636"/>
      <c r="C40" s="1636"/>
      <c r="D40" s="1636"/>
      <c r="E40" s="1636"/>
      <c r="F40" s="1636"/>
      <c r="G40" s="1641" t="s">
        <v>529</v>
      </c>
      <c r="H40" s="1644">
        <v>24</v>
      </c>
      <c r="I40" s="1647">
        <v>720000</v>
      </c>
      <c r="J40" s="1648"/>
      <c r="K40" s="1648"/>
      <c r="L40" s="1648"/>
      <c r="M40" s="1648"/>
      <c r="N40" s="1648"/>
      <c r="O40" s="1649"/>
    </row>
    <row r="41" spans="1:18" ht="15" hidden="1" customHeight="1" x14ac:dyDescent="0.25">
      <c r="A41" s="1637"/>
      <c r="B41" s="1638"/>
      <c r="C41" s="1638"/>
      <c r="D41" s="1638"/>
      <c r="E41" s="1638"/>
      <c r="F41" s="1638"/>
      <c r="G41" s="1642"/>
      <c r="H41" s="1645"/>
      <c r="I41" s="1650"/>
      <c r="J41" s="1651"/>
      <c r="K41" s="1651"/>
      <c r="L41" s="1651"/>
      <c r="M41" s="1651"/>
      <c r="N41" s="1651"/>
      <c r="O41" s="1652"/>
    </row>
    <row r="42" spans="1:18" ht="15.75" hidden="1" customHeight="1" thickBot="1" x14ac:dyDescent="0.3">
      <c r="A42" s="1639"/>
      <c r="B42" s="1640"/>
      <c r="C42" s="1640"/>
      <c r="D42" s="1640"/>
      <c r="E42" s="1640"/>
      <c r="F42" s="1640"/>
      <c r="G42" s="1643"/>
      <c r="H42" s="1646"/>
      <c r="I42" s="1653"/>
      <c r="J42" s="1654"/>
      <c r="K42" s="1654"/>
      <c r="L42" s="1654"/>
      <c r="M42" s="1654"/>
      <c r="N42" s="1654"/>
      <c r="O42" s="1655"/>
    </row>
    <row r="43" spans="1:18" ht="39" hidden="1" customHeight="1" thickBot="1" x14ac:dyDescent="0.3">
      <c r="A43" s="1656" t="s">
        <v>522</v>
      </c>
      <c r="B43" s="1657"/>
      <c r="C43" s="1657"/>
      <c r="D43" s="1657"/>
      <c r="E43" s="1657"/>
      <c r="F43" s="1657"/>
      <c r="G43" s="601" t="s">
        <v>529</v>
      </c>
      <c r="H43" s="602">
        <v>24</v>
      </c>
      <c r="I43" s="1658">
        <v>1570000</v>
      </c>
      <c r="J43" s="1659"/>
      <c r="K43" s="1659"/>
      <c r="L43" s="1659"/>
      <c r="M43" s="1659"/>
      <c r="N43" s="1659"/>
      <c r="O43" s="1660"/>
    </row>
    <row r="44" spans="1:18" ht="15.75" hidden="1" thickBot="1" x14ac:dyDescent="0.3">
      <c r="A44" s="1620" t="s">
        <v>92</v>
      </c>
      <c r="B44" s="1621"/>
      <c r="C44" s="1621"/>
      <c r="D44" s="1621"/>
      <c r="E44" s="1621"/>
      <c r="F44" s="1621"/>
      <c r="G44" s="603"/>
      <c r="H44" s="603">
        <v>79</v>
      </c>
      <c r="I44" s="1622">
        <f>SUM(I40:O43)</f>
        <v>2290000</v>
      </c>
      <c r="J44" s="1623"/>
      <c r="K44" s="1623"/>
      <c r="L44" s="1623"/>
      <c r="M44" s="1623"/>
      <c r="N44" s="1623"/>
      <c r="O44" s="1624"/>
    </row>
    <row r="45" spans="1:18" hidden="1" x14ac:dyDescent="0.25">
      <c r="A45" s="604"/>
      <c r="B45" s="604"/>
      <c r="C45" s="604"/>
      <c r="D45" s="604"/>
      <c r="E45" s="604"/>
      <c r="F45" s="604"/>
      <c r="G45" s="605"/>
      <c r="H45" s="605"/>
      <c r="I45" s="606"/>
      <c r="J45" s="606"/>
      <c r="K45" s="606"/>
      <c r="L45" s="606"/>
      <c r="M45" s="606"/>
      <c r="N45" s="606"/>
      <c r="O45" s="606"/>
    </row>
    <row r="46" spans="1:18" ht="15.75" hidden="1" thickBot="1" x14ac:dyDescent="0.3">
      <c r="A46" s="604"/>
      <c r="B46" s="604"/>
      <c r="C46" s="604"/>
      <c r="D46" s="604"/>
      <c r="E46" s="604"/>
      <c r="F46" s="604"/>
      <c r="G46" s="605"/>
      <c r="H46" s="605"/>
      <c r="I46" s="606"/>
      <c r="J46" s="606"/>
      <c r="K46" s="606"/>
      <c r="L46" s="606"/>
      <c r="M46" s="606"/>
      <c r="N46" s="606"/>
      <c r="O46" s="606"/>
    </row>
    <row r="47" spans="1:18" ht="15.75" hidden="1" customHeight="1" x14ac:dyDescent="0.25">
      <c r="A47" s="1625" t="s">
        <v>530</v>
      </c>
      <c r="B47" s="1626"/>
      <c r="C47" s="1626"/>
      <c r="D47" s="1626"/>
      <c r="E47" s="1626"/>
      <c r="F47" s="1626"/>
      <c r="G47" s="1626"/>
      <c r="H47" s="1627"/>
      <c r="I47" s="1631" t="e">
        <f>SUM(#REF!+I44)</f>
        <v>#REF!</v>
      </c>
      <c r="J47" s="1631"/>
      <c r="K47" s="1631"/>
      <c r="L47" s="1631"/>
      <c r="M47" s="1631"/>
      <c r="N47" s="1631"/>
      <c r="O47" s="1632"/>
    </row>
    <row r="48" spans="1:18" ht="15.75" hidden="1" thickBot="1" x14ac:dyDescent="0.3">
      <c r="A48" s="1628"/>
      <c r="B48" s="1629"/>
      <c r="C48" s="1629"/>
      <c r="D48" s="1629"/>
      <c r="E48" s="1629"/>
      <c r="F48" s="1629"/>
      <c r="G48" s="1629"/>
      <c r="H48" s="1630"/>
      <c r="I48" s="1633"/>
      <c r="J48" s="1633"/>
      <c r="K48" s="1633"/>
      <c r="L48" s="1633"/>
      <c r="M48" s="1633"/>
      <c r="N48" s="1633"/>
      <c r="O48" s="1634"/>
    </row>
    <row r="49" spans="1:6" hidden="1" x14ac:dyDescent="0.25"/>
    <row r="50" spans="1:6" ht="15" customHeight="1" x14ac:dyDescent="0.25">
      <c r="A50" s="523" t="s">
        <v>511</v>
      </c>
      <c r="B50" s="524"/>
      <c r="C50" s="525"/>
      <c r="D50" s="526"/>
      <c r="E50" s="524"/>
      <c r="F50" s="527" t="s">
        <v>512</v>
      </c>
    </row>
  </sheetData>
  <customSheetViews>
    <customSheetView guid="{4F748D0E-E050-4B9E-BA26-0A3F6D7B169B}" hiddenRows="1" hiddenColumns="1" state="hidden">
      <selection activeCell="I14" sqref="I14"/>
      <pageMargins left="0.511811024" right="0.511811024" top="0.78740157499999996" bottom="0.78740157499999996" header="0.31496062000000002" footer="0.31496062000000002"/>
    </customSheetView>
    <customSheetView guid="{8679FB5B-1AA7-40E9-8152-505014626217}" hiddenRows="1" hiddenColumns="1" state="hidden">
      <selection activeCell="I14" sqref="I14"/>
      <pageMargins left="0.511811024" right="0.511811024" top="0.78740157499999996" bottom="0.78740157499999996" header="0.31496062000000002" footer="0.31496062000000002"/>
    </customSheetView>
  </customSheetViews>
  <mergeCells count="72">
    <mergeCell ref="M5:O6"/>
    <mergeCell ref="A1:O1"/>
    <mergeCell ref="A2:O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9:B19"/>
    <mergeCell ref="M7:O7"/>
    <mergeCell ref="M8:O9"/>
    <mergeCell ref="M10:O10"/>
    <mergeCell ref="J11:K11"/>
    <mergeCell ref="M11:O11"/>
    <mergeCell ref="M12:O12"/>
    <mergeCell ref="J13:L13"/>
    <mergeCell ref="M13:O13"/>
    <mergeCell ref="M14:O14"/>
    <mergeCell ref="A16:O16"/>
    <mergeCell ref="A17:O18"/>
    <mergeCell ref="B20:B21"/>
    <mergeCell ref="C20:C21"/>
    <mergeCell ref="D20:D21"/>
    <mergeCell ref="E20:E21"/>
    <mergeCell ref="F20:F21"/>
    <mergeCell ref="A30:A31"/>
    <mergeCell ref="N30:N31"/>
    <mergeCell ref="O30:O31"/>
    <mergeCell ref="M20:O21"/>
    <mergeCell ref="M22:O22"/>
    <mergeCell ref="M23:O24"/>
    <mergeCell ref="M25:O25"/>
    <mergeCell ref="J26:K26"/>
    <mergeCell ref="M26:O26"/>
    <mergeCell ref="G20:G21"/>
    <mergeCell ref="H20:H21"/>
    <mergeCell ref="I20:I21"/>
    <mergeCell ref="J20:J21"/>
    <mergeCell ref="K20:K21"/>
    <mergeCell ref="L20:L21"/>
    <mergeCell ref="A20:A21"/>
    <mergeCell ref="M27:O27"/>
    <mergeCell ref="J28:L28"/>
    <mergeCell ref="M28:O28"/>
    <mergeCell ref="J29:K29"/>
    <mergeCell ref="M29:O29"/>
    <mergeCell ref="A32:F32"/>
    <mergeCell ref="A34:F34"/>
    <mergeCell ref="A35:F35"/>
    <mergeCell ref="A37:O37"/>
    <mergeCell ref="A38:F39"/>
    <mergeCell ref="G38:G39"/>
    <mergeCell ref="H38:H39"/>
    <mergeCell ref="I38:O39"/>
    <mergeCell ref="A44:F44"/>
    <mergeCell ref="I44:O44"/>
    <mergeCell ref="A47:H48"/>
    <mergeCell ref="I47:O48"/>
    <mergeCell ref="A40:F42"/>
    <mergeCell ref="G40:G42"/>
    <mergeCell ref="H40:H42"/>
    <mergeCell ref="I40:O42"/>
    <mergeCell ref="A43:F43"/>
    <mergeCell ref="I43:O4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Tabela de Comprometimento 29.09</vt:lpstr>
      <vt:lpstr>Matriz </vt:lpstr>
      <vt:lpstr>blabla</vt:lpstr>
      <vt:lpstr>Memo 11 Mil</vt:lpstr>
      <vt:lpstr>Plan1</vt:lpstr>
      <vt:lpstr>P-A x V18</vt:lpstr>
      <vt:lpstr>Folha de Comentários (18)</vt:lpstr>
      <vt:lpstr>Tabela de Comprometimento</vt:lpstr>
      <vt:lpstr>compara PI </vt:lpstr>
      <vt:lpstr>compara PII</vt:lpstr>
      <vt:lpstr>supervisão + gerenciam</vt:lpstr>
      <vt:lpstr>Memória</vt:lpstr>
      <vt:lpstr>blabla!Area_de_impressao</vt:lpstr>
      <vt:lpstr>'Folha de Comentários (18)'!Area_de_impressao</vt:lpstr>
      <vt:lpstr>'Matriz '!Area_de_impressao</vt:lpstr>
      <vt:lpstr>'P-A x V18'!Area_de_impressao</vt:lpstr>
      <vt:lpstr>'Tabela de Comprometimento'!Area_de_impressao</vt:lpstr>
      <vt:lpstr>'Tabela de Comprometimento 29.09'!Area_de_impressao</vt:lpstr>
      <vt:lpstr>'P-A x V18'!capacitacao</vt:lpstr>
      <vt:lpstr>blabla!Titulos_de_impressao</vt:lpstr>
      <vt:lpstr>'Folha de Comentários (18)'!Titulos_de_impressao</vt:lpstr>
      <vt:lpstr>'Tabela de Comprometimento 29.09'!Titulos_de_impressao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SRMM</dc:creator>
  <cp:lastModifiedBy>Roseana Cavalcante</cp:lastModifiedBy>
  <cp:lastPrinted>2019-05-03T22:04:53Z</cp:lastPrinted>
  <dcterms:created xsi:type="dcterms:W3CDTF">2016-06-06T18:29:01Z</dcterms:created>
  <dcterms:modified xsi:type="dcterms:W3CDTF">2019-05-03T22:48:29Z</dcterms:modified>
</cp:coreProperties>
</file>