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D:\My Documents Nov 2017\Honduras\Para QRR\enviado a QRR\"/>
    </mc:Choice>
  </mc:AlternateContent>
  <bookViews>
    <workbookView xWindow="0" yWindow="0" windowWidth="28800" windowHeight="12210" tabRatio="500" xr2:uid="{00000000-000D-0000-FFFF-FFFF00000000}"/>
  </bookViews>
  <sheets>
    <sheet name="CBA" sheetId="2" r:id="rId1"/>
    <sheet name="Componente 1" sheetId="1" r:id="rId2"/>
    <sheet name="Componente 2" sheetId="3" r:id="rId3"/>
    <sheet name="Componente 3" sheetId="4" r:id="rId4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4" l="1"/>
  <c r="E10" i="4"/>
  <c r="G7" i="4"/>
  <c r="G8" i="4" s="1"/>
  <c r="G4" i="4"/>
  <c r="F4" i="4"/>
  <c r="E4" i="4" l="1"/>
  <c r="C20" i="1" l="1"/>
  <c r="C7" i="2" l="1"/>
  <c r="C18" i="1" l="1"/>
  <c r="C3" i="1" s="1"/>
  <c r="B7" i="2"/>
  <c r="D7" i="2"/>
  <c r="C14" i="4"/>
  <c r="C2" i="4" s="1"/>
  <c r="C3" i="4" s="1"/>
  <c r="D25" i="1"/>
  <c r="F25" i="1" s="1"/>
  <c r="C21" i="3"/>
  <c r="C3" i="3" s="1"/>
  <c r="D21" i="4"/>
  <c r="G21" i="4" s="1"/>
  <c r="D22" i="4"/>
  <c r="G22" i="4" s="1"/>
  <c r="D23" i="4"/>
  <c r="D24" i="4"/>
  <c r="D20" i="4"/>
  <c r="F20" i="4" s="1"/>
  <c r="B21" i="4"/>
  <c r="B22" i="4" s="1"/>
  <c r="E6" i="2"/>
  <c r="E7" i="2"/>
  <c r="B5" i="2"/>
  <c r="D5" i="2"/>
  <c r="B6" i="2"/>
  <c r="D6" i="2" s="1"/>
  <c r="D25" i="2" s="1"/>
  <c r="B8" i="2"/>
  <c r="D8" i="2"/>
  <c r="B9" i="2"/>
  <c r="D9" i="2" s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E20" i="4"/>
  <c r="D31" i="3"/>
  <c r="G31" i="3" s="1"/>
  <c r="B31" i="3"/>
  <c r="E31" i="3" s="1"/>
  <c r="B32" i="3"/>
  <c r="B33" i="3" s="1"/>
  <c r="B34" i="3" s="1"/>
  <c r="B35" i="3" s="1"/>
  <c r="D32" i="3"/>
  <c r="D33" i="3"/>
  <c r="D34" i="3"/>
  <c r="D30" i="3"/>
  <c r="F30" i="3" s="1"/>
  <c r="E30" i="3"/>
  <c r="B26" i="1"/>
  <c r="B27" i="1" s="1"/>
  <c r="E25" i="1"/>
  <c r="G25" i="1"/>
  <c r="D26" i="1"/>
  <c r="D27" i="1"/>
  <c r="G27" i="1" s="1"/>
  <c r="D28" i="1"/>
  <c r="D29" i="1"/>
  <c r="F5" i="2"/>
  <c r="E5" i="2"/>
  <c r="F7" i="2"/>
  <c r="G20" i="4"/>
  <c r="C15" i="4" l="1"/>
  <c r="C23" i="4" s="1"/>
  <c r="G23" i="4" s="1"/>
  <c r="C16" i="4"/>
  <c r="C17" i="4"/>
  <c r="C2" i="1"/>
  <c r="C23" i="3"/>
  <c r="D23" i="3"/>
  <c r="F6" i="2"/>
  <c r="B23" i="4"/>
  <c r="B24" i="4" s="1"/>
  <c r="F22" i="4"/>
  <c r="E22" i="4"/>
  <c r="E21" i="4"/>
  <c r="F21" i="4"/>
  <c r="D40" i="4"/>
  <c r="C2" i="3"/>
  <c r="G30" i="3"/>
  <c r="B36" i="3"/>
  <c r="F35" i="3"/>
  <c r="F33" i="3"/>
  <c r="E32" i="3"/>
  <c r="F32" i="3"/>
  <c r="G32" i="3"/>
  <c r="D50" i="3"/>
  <c r="F31" i="3"/>
  <c r="F34" i="3"/>
  <c r="B28" i="1"/>
  <c r="B29" i="1" s="1"/>
  <c r="B30" i="1" s="1"/>
  <c r="E27" i="1"/>
  <c r="E26" i="1"/>
  <c r="F26" i="1"/>
  <c r="C4" i="1"/>
  <c r="F28" i="1"/>
  <c r="F27" i="1"/>
  <c r="G26" i="1"/>
  <c r="F29" i="1"/>
  <c r="D45" i="1"/>
  <c r="C19" i="1" l="1"/>
  <c r="C24" i="3"/>
  <c r="D24" i="3"/>
  <c r="D26" i="3" s="1"/>
  <c r="D25" i="3"/>
  <c r="C25" i="3"/>
  <c r="C26" i="3"/>
  <c r="C27" i="3"/>
  <c r="C27" i="4"/>
  <c r="G27" i="4" s="1"/>
  <c r="C31" i="4"/>
  <c r="G31" i="4" s="1"/>
  <c r="C35" i="4"/>
  <c r="G35" i="4" s="1"/>
  <c r="C39" i="4"/>
  <c r="G39" i="4" s="1"/>
  <c r="C28" i="4"/>
  <c r="G28" i="4" s="1"/>
  <c r="C32" i="4"/>
  <c r="G32" i="4" s="1"/>
  <c r="C36" i="4"/>
  <c r="G36" i="4" s="1"/>
  <c r="C25" i="4"/>
  <c r="G25" i="4" s="1"/>
  <c r="C29" i="4"/>
  <c r="G29" i="4" s="1"/>
  <c r="C33" i="4"/>
  <c r="G33" i="4" s="1"/>
  <c r="C37" i="4"/>
  <c r="G37" i="4" s="1"/>
  <c r="C26" i="4"/>
  <c r="G26" i="4" s="1"/>
  <c r="C30" i="4"/>
  <c r="G30" i="4" s="1"/>
  <c r="C34" i="4"/>
  <c r="G34" i="4" s="1"/>
  <c r="C38" i="4"/>
  <c r="G38" i="4" s="1"/>
  <c r="C24" i="4"/>
  <c r="E24" i="4" s="1"/>
  <c r="F23" i="4"/>
  <c r="E23" i="4"/>
  <c r="B25" i="4"/>
  <c r="F24" i="4"/>
  <c r="F36" i="3"/>
  <c r="B37" i="3"/>
  <c r="B31" i="1"/>
  <c r="F30" i="1"/>
  <c r="C22" i="1" l="1"/>
  <c r="C29" i="1" s="1"/>
  <c r="E29" i="1" s="1"/>
  <c r="C21" i="1"/>
  <c r="C28" i="1" s="1"/>
  <c r="D27" i="3"/>
  <c r="E25" i="4"/>
  <c r="G24" i="4"/>
  <c r="G42" i="4" s="1"/>
  <c r="C42" i="1"/>
  <c r="G42" i="1" s="1"/>
  <c r="B26" i="4"/>
  <c r="F25" i="4"/>
  <c r="F37" i="3"/>
  <c r="B38" i="3"/>
  <c r="C41" i="1"/>
  <c r="C34" i="1"/>
  <c r="C39" i="1"/>
  <c r="G39" i="1" s="1"/>
  <c r="B32" i="1"/>
  <c r="F31" i="1"/>
  <c r="C44" i="1"/>
  <c r="G44" i="1" s="1"/>
  <c r="C31" i="1"/>
  <c r="E31" i="1" s="1"/>
  <c r="C40" i="1"/>
  <c r="C43" i="1"/>
  <c r="G43" i="1" s="1"/>
  <c r="C32" i="1"/>
  <c r="G31" i="1"/>
  <c r="G29" i="1"/>
  <c r="C36" i="1" l="1"/>
  <c r="G36" i="1" s="1"/>
  <c r="C38" i="1"/>
  <c r="G38" i="1" s="1"/>
  <c r="C37" i="1"/>
  <c r="G37" i="1" s="1"/>
  <c r="C33" i="1"/>
  <c r="C30" i="1"/>
  <c r="C35" i="1"/>
  <c r="G35" i="1" s="1"/>
  <c r="E28" i="1"/>
  <c r="G28" i="1"/>
  <c r="B27" i="4"/>
  <c r="F26" i="4"/>
  <c r="E26" i="4"/>
  <c r="C34" i="3"/>
  <c r="C9" i="2" s="1"/>
  <c r="C48" i="3"/>
  <c r="C49" i="3"/>
  <c r="C35" i="3"/>
  <c r="C36" i="3"/>
  <c r="C11" i="2" s="1"/>
  <c r="F11" i="2" s="1"/>
  <c r="C37" i="3"/>
  <c r="C38" i="3"/>
  <c r="C13" i="2" s="1"/>
  <c r="C39" i="3"/>
  <c r="C40" i="3"/>
  <c r="C41" i="3"/>
  <c r="C42" i="3"/>
  <c r="C43" i="3"/>
  <c r="C44" i="3"/>
  <c r="C45" i="3"/>
  <c r="C20" i="2" s="1"/>
  <c r="C46" i="3"/>
  <c r="C21" i="2" s="1"/>
  <c r="C47" i="3"/>
  <c r="F38" i="3"/>
  <c r="B39" i="3"/>
  <c r="C14" i="2"/>
  <c r="F14" i="2" s="1"/>
  <c r="F32" i="1"/>
  <c r="B33" i="1"/>
  <c r="G32" i="1"/>
  <c r="G34" i="1"/>
  <c r="G41" i="1"/>
  <c r="E33" i="1"/>
  <c r="G33" i="1"/>
  <c r="E32" i="1"/>
  <c r="G40" i="1"/>
  <c r="G30" i="1" l="1"/>
  <c r="G47" i="1" s="1"/>
  <c r="E30" i="1"/>
  <c r="C45" i="1"/>
  <c r="E9" i="2"/>
  <c r="F9" i="2"/>
  <c r="B28" i="4"/>
  <c r="F27" i="4"/>
  <c r="E27" i="4"/>
  <c r="E14" i="2"/>
  <c r="E39" i="3"/>
  <c r="G39" i="3"/>
  <c r="G35" i="3"/>
  <c r="E35" i="3"/>
  <c r="C10" i="2"/>
  <c r="E37" i="3"/>
  <c r="G37" i="3"/>
  <c r="G48" i="3"/>
  <c r="C23" i="2"/>
  <c r="C12" i="2"/>
  <c r="G44" i="3"/>
  <c r="G49" i="3"/>
  <c r="C19" i="2"/>
  <c r="F19" i="2" s="1"/>
  <c r="C24" i="2"/>
  <c r="G41" i="3"/>
  <c r="C16" i="2"/>
  <c r="G45" i="3"/>
  <c r="G42" i="3"/>
  <c r="C17" i="2"/>
  <c r="F39" i="3"/>
  <c r="B40" i="3"/>
  <c r="E40" i="3" s="1"/>
  <c r="E34" i="3"/>
  <c r="G34" i="3"/>
  <c r="G40" i="3"/>
  <c r="C15" i="2"/>
  <c r="E38" i="3"/>
  <c r="G38" i="3"/>
  <c r="G47" i="3"/>
  <c r="C22" i="2"/>
  <c r="E36" i="3"/>
  <c r="G36" i="3"/>
  <c r="G46" i="3"/>
  <c r="G43" i="3"/>
  <c r="C18" i="2"/>
  <c r="E11" i="2"/>
  <c r="F21" i="2"/>
  <c r="E21" i="2"/>
  <c r="B34" i="1"/>
  <c r="F33" i="1"/>
  <c r="E13" i="2"/>
  <c r="F13" i="2"/>
  <c r="F20" i="2"/>
  <c r="E20" i="2"/>
  <c r="F28" i="4" l="1"/>
  <c r="B29" i="4"/>
  <c r="E28" i="4"/>
  <c r="E19" i="2"/>
  <c r="F22" i="2"/>
  <c r="E22" i="2"/>
  <c r="E12" i="2"/>
  <c r="F12" i="2"/>
  <c r="F18" i="2"/>
  <c r="E18" i="2"/>
  <c r="E15" i="2"/>
  <c r="F15" i="2"/>
  <c r="F17" i="2"/>
  <c r="E17" i="2"/>
  <c r="E23" i="2"/>
  <c r="F23" i="2"/>
  <c r="E16" i="2"/>
  <c r="F16" i="2"/>
  <c r="F24" i="2"/>
  <c r="E24" i="2"/>
  <c r="E10" i="2"/>
  <c r="F10" i="2"/>
  <c r="F40" i="3"/>
  <c r="B41" i="3"/>
  <c r="F34" i="1"/>
  <c r="B35" i="1"/>
  <c r="E34" i="1"/>
  <c r="B30" i="4" l="1"/>
  <c r="F29" i="4"/>
  <c r="E29" i="4"/>
  <c r="F41" i="3"/>
  <c r="B42" i="3"/>
  <c r="E41" i="3"/>
  <c r="F35" i="1"/>
  <c r="B36" i="1"/>
  <c r="E35" i="1"/>
  <c r="B31" i="4" l="1"/>
  <c r="F30" i="4"/>
  <c r="E30" i="4"/>
  <c r="F42" i="3"/>
  <c r="B43" i="3"/>
  <c r="E42" i="3"/>
  <c r="F36" i="1"/>
  <c r="B37" i="1"/>
  <c r="E36" i="1"/>
  <c r="F31" i="4" l="1"/>
  <c r="B32" i="4"/>
  <c r="E31" i="4"/>
  <c r="F43" i="3"/>
  <c r="B44" i="3"/>
  <c r="E43" i="3"/>
  <c r="F37" i="1"/>
  <c r="B38" i="1"/>
  <c r="E37" i="1"/>
  <c r="F32" i="4" l="1"/>
  <c r="B33" i="4"/>
  <c r="E32" i="4"/>
  <c r="F44" i="3"/>
  <c r="B45" i="3"/>
  <c r="E44" i="3"/>
  <c r="B39" i="1"/>
  <c r="F38" i="1"/>
  <c r="E38" i="1"/>
  <c r="B34" i="4" l="1"/>
  <c r="F33" i="4"/>
  <c r="E33" i="4"/>
  <c r="F45" i="3"/>
  <c r="B46" i="3"/>
  <c r="E45" i="3"/>
  <c r="B40" i="1"/>
  <c r="F39" i="1"/>
  <c r="E39" i="1"/>
  <c r="B35" i="4" l="1"/>
  <c r="F34" i="4"/>
  <c r="E34" i="4"/>
  <c r="F46" i="3"/>
  <c r="B47" i="3"/>
  <c r="E46" i="3"/>
  <c r="B41" i="1"/>
  <c r="F40" i="1"/>
  <c r="E40" i="1"/>
  <c r="B36" i="4" l="1"/>
  <c r="F35" i="4"/>
  <c r="E35" i="4"/>
  <c r="F47" i="3"/>
  <c r="B48" i="3"/>
  <c r="E47" i="3"/>
  <c r="F41" i="1"/>
  <c r="B42" i="1"/>
  <c r="E41" i="1"/>
  <c r="B37" i="4" l="1"/>
  <c r="F36" i="4"/>
  <c r="E36" i="4"/>
  <c r="F48" i="3"/>
  <c r="B49" i="3"/>
  <c r="E48" i="3"/>
  <c r="B43" i="1"/>
  <c r="F42" i="1"/>
  <c r="E42" i="1"/>
  <c r="B38" i="4" l="1"/>
  <c r="F37" i="4"/>
  <c r="E37" i="4"/>
  <c r="F49" i="3"/>
  <c r="F50" i="3" s="1"/>
  <c r="E49" i="3"/>
  <c r="B44" i="1"/>
  <c r="F43" i="1"/>
  <c r="E43" i="1"/>
  <c r="B39" i="4" l="1"/>
  <c r="F38" i="4"/>
  <c r="E38" i="4"/>
  <c r="F44" i="1"/>
  <c r="F45" i="1" s="1"/>
  <c r="E44" i="1"/>
  <c r="E45" i="1" s="1"/>
  <c r="F39" i="4" l="1"/>
  <c r="F40" i="4" s="1"/>
  <c r="E39" i="4"/>
  <c r="E40" i="4" s="1"/>
  <c r="G49" i="1"/>
  <c r="G48" i="1"/>
  <c r="G43" i="4" l="1"/>
  <c r="G44" i="4"/>
  <c r="C33" i="3"/>
  <c r="E33" i="3" s="1"/>
  <c r="E50" i="3" s="1"/>
  <c r="C8" i="2"/>
  <c r="E8" i="2" s="1"/>
  <c r="E25" i="2" s="1"/>
  <c r="F28" i="2" l="1"/>
  <c r="F29" i="2"/>
  <c r="G54" i="3"/>
  <c r="G53" i="3"/>
  <c r="F8" i="2"/>
  <c r="F27" i="2" s="1"/>
  <c r="G33" i="3"/>
  <c r="G52" i="3" s="1"/>
</calcChain>
</file>

<file path=xl/sharedStrings.xml><?xml version="1.0" encoding="utf-8"?>
<sst xmlns="http://schemas.openxmlformats.org/spreadsheetml/2006/main" count="215" uniqueCount="139">
  <si>
    <t>Favorable</t>
  </si>
  <si>
    <t>Conservador</t>
  </si>
  <si>
    <t>Base</t>
  </si>
  <si>
    <t>Sensibilidad</t>
  </si>
  <si>
    <t>Razón Costo Beneficio</t>
  </si>
  <si>
    <t>Valor Actual Neto</t>
  </si>
  <si>
    <t>TIR</t>
  </si>
  <si>
    <t>Total</t>
  </si>
  <si>
    <t>Flujo de Fondos</t>
  </si>
  <si>
    <t>Valor Actual Beneficios</t>
  </si>
  <si>
    <t>Valor Actual Costos</t>
  </si>
  <si>
    <t>Beneficios</t>
  </si>
  <si>
    <t>Costos</t>
  </si>
  <si>
    <t>Año</t>
  </si>
  <si>
    <t>Costo Total del Proyecto</t>
  </si>
  <si>
    <t>Fuente</t>
  </si>
  <si>
    <t>Costo del Componente</t>
  </si>
  <si>
    <t>TIR Social</t>
  </si>
  <si>
    <t>Razon Costo Beneficio</t>
  </si>
  <si>
    <t>Valor Presente Neto</t>
  </si>
  <si>
    <t>Jaitman, 2017</t>
  </si>
  <si>
    <t>Variable</t>
  </si>
  <si>
    <t xml:space="preserve">Valor vivienda promedio </t>
  </si>
  <si>
    <t>PBI dolares 2016</t>
  </si>
  <si>
    <t>Crecimiento estimado 2017</t>
  </si>
  <si>
    <t>PBI estimado 2017 dólares</t>
  </si>
  <si>
    <t>Banco Mundial</t>
  </si>
  <si>
    <t>Dato</t>
  </si>
  <si>
    <t>Valor</t>
  </si>
  <si>
    <t>Inegi, 2016</t>
  </si>
  <si>
    <t>Costo annual gubernamental</t>
  </si>
  <si>
    <t xml:space="preserve">Costo annual de medidas de protección </t>
  </si>
  <si>
    <t>Costo social anual del delito</t>
  </si>
  <si>
    <t>Programa</t>
  </si>
  <si>
    <t>Parámetros</t>
  </si>
  <si>
    <t>Estimaciones</t>
  </si>
  <si>
    <t>Costo por homicidios</t>
  </si>
  <si>
    <t>Beneficios año 4</t>
  </si>
  <si>
    <t>Beneficios año 5</t>
  </si>
  <si>
    <t>Beneficios años posteriores</t>
  </si>
  <si>
    <t>Supuestos sobre efectos</t>
  </si>
  <si>
    <t>Supuestos sobre parámetros</t>
  </si>
  <si>
    <t>Supuestos sobre Parámetros</t>
  </si>
  <si>
    <t>Disminucion del homicidio año 4 San Pedro Sula</t>
  </si>
  <si>
    <t>Beneficios año 5 y posteriores</t>
  </si>
  <si>
    <t>el efecto de este componente en la reduccion de homicidios está incluido en los cálculos del componente 2</t>
  </si>
  <si>
    <t>Distrito Central</t>
  </si>
  <si>
    <t>San Pedro Sula</t>
  </si>
  <si>
    <t>Número de viviendas intervenidas en los barrios</t>
  </si>
  <si>
    <t>Costos social, en medidas de protección y gubernamental derivado del delito en los barrios, el 1%</t>
  </si>
  <si>
    <t>Valor de las viviendas intervenidas en los barrios</t>
  </si>
  <si>
    <t>Valor total de las 2800 viviendas</t>
  </si>
  <si>
    <t>Ahorro por reducción de delitos y aumento en el valor de las viviendas en el año 4</t>
  </si>
  <si>
    <t>0.41% del PIB según Inegi (2016)</t>
  </si>
  <si>
    <t>0.3% del PIB según Jaitman (2017)</t>
  </si>
  <si>
    <t>1.2% del PIB según Jaitman (2017)</t>
  </si>
  <si>
    <t>MIR indicador #1.8</t>
  </si>
  <si>
    <t xml:space="preserve">MIR indicador #1.8 y Welsh y Farrington (2008) </t>
  </si>
  <si>
    <t>MIR indicador #1.7 y Ajzenman et al. (2015)</t>
  </si>
  <si>
    <t>1.6% del PIB según Jaitman (2017)</t>
  </si>
  <si>
    <t>Disminucion del homicidio año 4 Distrito Central DC</t>
  </si>
  <si>
    <t>Disminución del homicidio año 5 DC</t>
  </si>
  <si>
    <t>MIR indicador #2.6</t>
  </si>
  <si>
    <t>MIR indicador #2.7</t>
  </si>
  <si>
    <t xml:space="preserve">MIR indicador#2.6 y Mejia et al. (2013) </t>
  </si>
  <si>
    <t xml:space="preserve">MIR indicador#2.7 y Mejia et al. (2013) </t>
  </si>
  <si>
    <t>MIR indicador#2.1</t>
  </si>
  <si>
    <t>MIR indicador#2.1 y Koppa (2015)</t>
  </si>
  <si>
    <t>Costos por homicidios en DC y SPS</t>
  </si>
  <si>
    <t>Costos por VIF en DC y SPS</t>
  </si>
  <si>
    <t>Porcentaje de homicidios en DC en 2016 del total de país</t>
  </si>
  <si>
    <t>Porcentaje de vif en DC en 2016 del total del país</t>
  </si>
  <si>
    <t>Porcentaje de homicidios en SPS en 2016 del total del país</t>
  </si>
  <si>
    <t>Porcentaje de vif en SPS en 2016 del total del país</t>
  </si>
  <si>
    <t xml:space="preserve">Costo social del delito como porcentaje del PIB </t>
  </si>
  <si>
    <t>Costo por homicidios como porcentaje del PIB</t>
  </si>
  <si>
    <t>Gastos en medidas de protección  como porcentaje del PIB</t>
  </si>
  <si>
    <t>Gastos incurridos por el gobierno como porcentaje del PIB</t>
  </si>
  <si>
    <t xml:space="preserve">Costos a nivel país </t>
  </si>
  <si>
    <t>Costos a nivel país</t>
  </si>
  <si>
    <t>https://www.economist.com/news/united-states/21656725-police-fail-make-arrest-more-third-nations-killings-getting-away</t>
  </si>
  <si>
    <t>Tasa de resolución de homicidios (autor identificado y aceptado por el MP) en USA en 2012</t>
  </si>
  <si>
    <t>Tasa de resolución de homicidios (autor identificado y aceptado por el MP) en Honduras en 2017</t>
  </si>
  <si>
    <t>Costos a nivel municipio</t>
  </si>
  <si>
    <t xml:space="preserve">Estimaciones </t>
  </si>
  <si>
    <t>Costos y valores en los barrios</t>
  </si>
  <si>
    <t xml:space="preserve">Disminución del homicidio año 5 SPS </t>
  </si>
  <si>
    <t>Disminución del homicidio en el año 6 en DC y posteriores</t>
  </si>
  <si>
    <t>Disminución del homicidio en el año 6 en SPS y posteriores</t>
  </si>
  <si>
    <t xml:space="preserve">Beneficios año 5 </t>
  </si>
  <si>
    <t>Costo anual policial en casos de delitos violentos (homicidio).</t>
  </si>
  <si>
    <t>0.15% del PIB según Jaitman (2017)</t>
  </si>
  <si>
    <t xml:space="preserve">Porcentaje de homicidios entre los delitos violentos </t>
  </si>
  <si>
    <t>64% del gasto se dedica a homicidios (Observatorio de la Violencia 2015)</t>
  </si>
  <si>
    <t>Según datos del 2015 del Observatorio de la Violencia 64.1% de las muertes por causa externa son debidas a homicidios. Suponemos que la policía dedica ese porcentaje de recursos también a ese crimen.</t>
  </si>
  <si>
    <t xml:space="preserve">Componente </t>
  </si>
  <si>
    <t>Disminución en prevalencia de VIF en DC y SPS en el año 4</t>
  </si>
  <si>
    <t>Disminución en prevalencia de VIF en DC y SPS en el año 5 y posteriores</t>
  </si>
  <si>
    <t>Ahorro por reducción de delitos y aumento en el valor de las viviendas en el año 5 y posteriores</t>
  </si>
  <si>
    <t>D3*D15</t>
  </si>
  <si>
    <t>D2*D16</t>
  </si>
  <si>
    <t>D3*D17</t>
  </si>
  <si>
    <t>D2*D18</t>
  </si>
  <si>
    <t>D23*D5+D24*D11</t>
  </si>
  <si>
    <t>E23*D8+E24*D11</t>
  </si>
  <si>
    <t>D23*D6+D24*D12</t>
  </si>
  <si>
    <t>E23*D9+E24*D12</t>
  </si>
  <si>
    <t>D23*D7+D24*D12</t>
  </si>
  <si>
    <t>E23*D10+E24*D12</t>
  </si>
  <si>
    <t>(D2+D3+D4)*D15</t>
  </si>
  <si>
    <t>D13*D14</t>
  </si>
  <si>
    <t>D19*D6+D20*D8</t>
  </si>
  <si>
    <t>D19*D7+D20*D9</t>
  </si>
  <si>
    <t>Ahorro por disminución del delito (robos) año 4</t>
  </si>
  <si>
    <t>Ahorro por disminución del delito (robos) año 5 y posteriores</t>
  </si>
  <si>
    <t>Costo social del delito no letal como porcentaje del PIB</t>
  </si>
  <si>
    <t>Aumento valor vivienda año 4 por reducción del delito (sexual)</t>
  </si>
  <si>
    <t>Aumento valor vivienda año 5 y posteriores por reducción del delito (sexual)</t>
  </si>
  <si>
    <t>Tamaño de Barrios intervenidos como % de población. Se supone una igual proporción de delitos con respecto al total del país</t>
  </si>
  <si>
    <t>Costo social anual del delito no letal, incluyendo VIF</t>
  </si>
  <si>
    <t>Costos por delincuencia correspondiente a los barrios intervenidos, suma de los tres costos por la proporción de delitos que ocurren en los barrios, 1%</t>
  </si>
  <si>
    <t>D3*D5</t>
  </si>
  <si>
    <t>D3*D6</t>
  </si>
  <si>
    <t>D3*D7</t>
  </si>
  <si>
    <t>MIR: indicador #3.2 multiplicado por indicador #3.3, valores de línea de base 0.34*0.16</t>
  </si>
  <si>
    <t>Disminución de la prevalencia de VIF en DC y SPS en el año 5 y posteriores</t>
  </si>
  <si>
    <t>Disminución del delito (robos) año 5 y posteriores</t>
  </si>
  <si>
    <t>Gasto policial administrativo por mora investigariva y almacenamiento de expedientes de delitos violentos</t>
  </si>
  <si>
    <t>Gasto policial administrativo por mora investigariva y almacenamiento de expedientes de homicidios</t>
  </si>
  <si>
    <t>Reducción de gastos administrativos por el aumento en la tasa de resolución de homicidios en Honduras al año 4</t>
  </si>
  <si>
    <t>casos no resueltos pasan de 94.56% a 90%</t>
  </si>
  <si>
    <t>MIR año 4: indicador #3.2 multiplicado por indicador #3.3. La tasa de resolución de casos de homicidio pasa de 0.0544 a 0.1. Esto es, la proporción de casos no resueltos pasa de 0.9456 a 0.90, lo que equivale a una disminución de 4.82%</t>
  </si>
  <si>
    <t>Para ser consistentes con los cálculos de los otros componentes, se acota la disminución de casos no resueltos a 9.36%, de acuerdo con los resultados de Garicano y Heaton.</t>
  </si>
  <si>
    <t xml:space="preserve">MIR año 5: indicador #3.2 multiplicado por indicador #3.3. La tasa de resolución de casos de homicidio pasa de 0.0544 a 0.2. Esto es, la proporción de casos no resueltos pasa de 0.9456 a 0.80, lo que equivale a una disminución de 14.56%. </t>
  </si>
  <si>
    <t>Reducción de gastos administrativos por el aumento en la tasa de resolución de homicidios en Honduras al año 5</t>
  </si>
  <si>
    <t>Reducción de gastos administrativos por el aumento en la tasa de resolución de homicidios en Honduras al año 6 y posteriores</t>
  </si>
  <si>
    <t>El gasto asociado a crímenes violentos es la mitad del gasto total en el país como porcentaje del PIB (Jaitman, 2017)</t>
  </si>
  <si>
    <t>Reducción en gastos administrativos año 5</t>
  </si>
  <si>
    <t>Reducción en gastos administrativos año 6 y posteriores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</si>
</sst>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 &quot;$&quot;\ * #,##0.00_ ;_ &quot;$&quot;\ * \-#,##0.00_ ;_ &quot;$&quot;\ * &quot;-&quot;??_ ;_ @_ "/>
    <numFmt numFmtId="166" formatCode="0.0%"/>
    <numFmt numFmtId="167" formatCode="0.000"/>
    <numFmt numFmtId="168" formatCode="0.0000"/>
    <numFmt numFmtId="169" formatCode="_(* #,##0.0000_);_(* \(#,##0.0000\);_(* &quot;-&quot;??_);_(@_)"/>
    <numFmt numFmtId="170" formatCode="_(* #,##0.000000_);_(* \(#,##0.000000\);_(* &quot;-&quot;??_);_(@_)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6" fillId="3" borderId="1" applyNumberFormat="0" applyAlignment="0" applyProtection="0"/>
    <xf numFmtId="0" fontId="7" fillId="4" borderId="2" applyNumberFormat="0" applyAlignment="0" applyProtection="0"/>
    <xf numFmtId="0" fontId="8" fillId="0" borderId="3" applyNumberFormat="0" applyFill="0" applyAlignment="0" applyProtection="0"/>
    <xf numFmtId="164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5" borderId="4" applyNumberFormat="0" applyFon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21" fillId="0" borderId="0" applyFont="0" applyFill="0" applyBorder="0" applyAlignment="0" applyProtection="0"/>
  </cellStyleXfs>
  <cellXfs count="135">
    <xf numFmtId="0" fontId="0" fillId="0" borderId="0" xfId="0"/>
    <xf numFmtId="3" fontId="0" fillId="0" borderId="0" xfId="0" applyNumberFormat="1"/>
    <xf numFmtId="0" fontId="0" fillId="0" borderId="0" xfId="0" applyBorder="1"/>
    <xf numFmtId="0" fontId="4" fillId="6" borderId="7" xfId="0" applyFont="1" applyFill="1" applyBorder="1" applyAlignment="1">
      <alignment horizontal="center" vertical="center"/>
    </xf>
    <xf numFmtId="0" fontId="17" fillId="0" borderId="0" xfId="0" applyFont="1"/>
    <xf numFmtId="9" fontId="4" fillId="0" borderId="7" xfId="0" applyNumberFormat="1" applyFont="1" applyFill="1" applyBorder="1"/>
    <xf numFmtId="0" fontId="4" fillId="6" borderId="8" xfId="0" applyFont="1" applyFill="1" applyBorder="1"/>
    <xf numFmtId="2" fontId="4" fillId="0" borderId="8" xfId="0" applyNumberFormat="1" applyFont="1" applyBorder="1"/>
    <xf numFmtId="3" fontId="4" fillId="0" borderId="8" xfId="0" applyNumberFormat="1" applyFont="1" applyBorder="1"/>
    <xf numFmtId="0" fontId="4" fillId="6" borderId="7" xfId="0" applyFont="1" applyFill="1" applyBorder="1"/>
    <xf numFmtId="166" fontId="4" fillId="0" borderId="7" xfId="0" applyNumberFormat="1" applyFont="1" applyBorder="1"/>
    <xf numFmtId="10" fontId="4" fillId="0" borderId="7" xfId="0" applyNumberFormat="1" applyFont="1" applyBorder="1"/>
    <xf numFmtId="0" fontId="0" fillId="0" borderId="0" xfId="0" applyFill="1"/>
    <xf numFmtId="3" fontId="2" fillId="0" borderId="0" xfId="0" applyNumberFormat="1" applyFont="1"/>
    <xf numFmtId="4" fontId="2" fillId="0" borderId="0" xfId="0" applyNumberFormat="1" applyFont="1"/>
    <xf numFmtId="4" fontId="0" fillId="0" borderId="0" xfId="0" applyNumberFormat="1"/>
    <xf numFmtId="0" fontId="0" fillId="0" borderId="9" xfId="0" applyBorder="1" applyAlignment="1">
      <alignment horizontal="center" vertical="center" wrapText="1"/>
    </xf>
    <xf numFmtId="0" fontId="0" fillId="6" borderId="13" xfId="0" applyFill="1" applyBorder="1"/>
    <xf numFmtId="3" fontId="0" fillId="0" borderId="13" xfId="0" applyNumberFormat="1" applyBorder="1"/>
    <xf numFmtId="0" fontId="0" fillId="0" borderId="13" xfId="0" applyBorder="1"/>
    <xf numFmtId="0" fontId="0" fillId="0" borderId="13" xfId="0" applyFill="1" applyBorder="1"/>
    <xf numFmtId="9" fontId="0" fillId="0" borderId="13" xfId="0" applyNumberFormat="1" applyBorder="1"/>
    <xf numFmtId="166" fontId="0" fillId="0" borderId="13" xfId="0" applyNumberFormat="1" applyBorder="1"/>
    <xf numFmtId="10" fontId="0" fillId="0" borderId="13" xfId="0" applyNumberFormat="1" applyBorder="1"/>
    <xf numFmtId="3" fontId="14" fillId="0" borderId="13" xfId="0" applyNumberFormat="1" applyFont="1" applyBorder="1"/>
    <xf numFmtId="0" fontId="0" fillId="0" borderId="16" xfId="0" applyFont="1" applyBorder="1"/>
    <xf numFmtId="0" fontId="0" fillId="0" borderId="16" xfId="0" applyBorder="1"/>
    <xf numFmtId="0" fontId="0" fillId="0" borderId="17" xfId="0" applyFill="1" applyBorder="1"/>
    <xf numFmtId="3" fontId="0" fillId="0" borderId="17" xfId="0" applyNumberFormat="1" applyBorder="1"/>
    <xf numFmtId="0" fontId="0" fillId="0" borderId="18" xfId="0" applyBorder="1"/>
    <xf numFmtId="3" fontId="0" fillId="0" borderId="14" xfId="0" applyNumberFormat="1" applyBorder="1"/>
    <xf numFmtId="0" fontId="0" fillId="0" borderId="15" xfId="0" applyBorder="1"/>
    <xf numFmtId="0" fontId="0" fillId="6" borderId="17" xfId="0" applyFill="1" applyBorder="1"/>
    <xf numFmtId="0" fontId="0" fillId="0" borderId="18" xfId="0" applyFill="1" applyBorder="1"/>
    <xf numFmtId="0" fontId="17" fillId="6" borderId="2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0" fillId="0" borderId="23" xfId="0" applyFill="1" applyBorder="1"/>
    <xf numFmtId="0" fontId="0" fillId="0" borderId="14" xfId="0" applyFill="1" applyBorder="1"/>
    <xf numFmtId="0" fontId="0" fillId="0" borderId="15" xfId="0" applyFont="1" applyBorder="1"/>
    <xf numFmtId="0" fontId="0" fillId="0" borderId="18" xfId="0" applyFont="1" applyBorder="1"/>
    <xf numFmtId="0" fontId="0" fillId="0" borderId="25" xfId="0" applyFill="1" applyBorder="1"/>
    <xf numFmtId="3" fontId="0" fillId="0" borderId="25" xfId="0" applyNumberFormat="1" applyBorder="1"/>
    <xf numFmtId="0" fontId="0" fillId="0" borderId="26" xfId="0" applyBorder="1"/>
    <xf numFmtId="10" fontId="0" fillId="0" borderId="23" xfId="0" applyNumberFormat="1" applyBorder="1"/>
    <xf numFmtId="0" fontId="0" fillId="0" borderId="24" xfId="0" applyFont="1" applyBorder="1"/>
    <xf numFmtId="0" fontId="0" fillId="0" borderId="13" xfId="0" applyBorder="1" applyAlignment="1">
      <alignment wrapText="1"/>
    </xf>
    <xf numFmtId="0" fontId="0" fillId="0" borderId="14" xfId="0" applyBorder="1"/>
    <xf numFmtId="3" fontId="0" fillId="0" borderId="16" xfId="0" applyNumberFormat="1" applyBorder="1"/>
    <xf numFmtId="3" fontId="0" fillId="0" borderId="18" xfId="0" applyNumberFormat="1" applyBorder="1"/>
    <xf numFmtId="0" fontId="0" fillId="0" borderId="23" xfId="0" applyBorder="1"/>
    <xf numFmtId="0" fontId="0" fillId="0" borderId="17" xfId="0" applyBorder="1" applyAlignment="1">
      <alignment wrapText="1"/>
    </xf>
    <xf numFmtId="0" fontId="0" fillId="0" borderId="17" xfId="0" applyBorder="1"/>
    <xf numFmtId="166" fontId="0" fillId="0" borderId="14" xfId="0" applyNumberFormat="1" applyBorder="1"/>
    <xf numFmtId="0" fontId="0" fillId="0" borderId="32" xfId="0" applyBorder="1"/>
    <xf numFmtId="10" fontId="0" fillId="0" borderId="32" xfId="0" applyNumberFormat="1" applyBorder="1"/>
    <xf numFmtId="0" fontId="0" fillId="0" borderId="33" xfId="0" applyBorder="1"/>
    <xf numFmtId="166" fontId="17" fillId="0" borderId="23" xfId="0" applyNumberFormat="1" applyFont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0" fillId="0" borderId="13" xfId="0" applyFill="1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7" borderId="0" xfId="0" applyFill="1" applyBorder="1"/>
    <xf numFmtId="0" fontId="19" fillId="6" borderId="0" xfId="1" applyFont="1" applyFill="1"/>
    <xf numFmtId="3" fontId="20" fillId="0" borderId="0" xfId="0" applyNumberFormat="1" applyFont="1"/>
    <xf numFmtId="0" fontId="20" fillId="0" borderId="0" xfId="1" applyFont="1"/>
    <xf numFmtId="0" fontId="19" fillId="6" borderId="7" xfId="1" applyFont="1" applyFill="1" applyBorder="1" applyAlignment="1">
      <alignment horizontal="center" vertical="center"/>
    </xf>
    <xf numFmtId="3" fontId="20" fillId="0" borderId="0" xfId="1" applyNumberFormat="1" applyFont="1"/>
    <xf numFmtId="3" fontId="19" fillId="0" borderId="0" xfId="1" applyNumberFormat="1" applyFont="1"/>
    <xf numFmtId="0" fontId="19" fillId="6" borderId="7" xfId="1" applyFont="1" applyFill="1" applyBorder="1"/>
    <xf numFmtId="9" fontId="19" fillId="0" borderId="7" xfId="1" applyNumberFormat="1" applyFont="1" applyBorder="1"/>
    <xf numFmtId="0" fontId="19" fillId="6" borderId="8" xfId="1" applyFont="1" applyFill="1" applyBorder="1"/>
    <xf numFmtId="3" fontId="19" fillId="0" borderId="8" xfId="1" applyNumberFormat="1" applyFont="1" applyBorder="1"/>
    <xf numFmtId="2" fontId="19" fillId="0" borderId="8" xfId="1" applyNumberFormat="1" applyFont="1" applyBorder="1"/>
    <xf numFmtId="166" fontId="0" fillId="0" borderId="23" xfId="0" applyNumberFormat="1" applyBorder="1"/>
    <xf numFmtId="0" fontId="0" fillId="0" borderId="0" xfId="0" applyAlignment="1">
      <alignment wrapText="1"/>
    </xf>
    <xf numFmtId="0" fontId="17" fillId="6" borderId="20" xfId="0" applyFont="1" applyFill="1" applyBorder="1" applyAlignment="1">
      <alignment horizontal="center" vertical="center"/>
    </xf>
    <xf numFmtId="167" fontId="0" fillId="0" borderId="0" xfId="0" applyNumberFormat="1"/>
    <xf numFmtId="0" fontId="0" fillId="0" borderId="14" xfId="0" applyFill="1" applyBorder="1" applyAlignment="1">
      <alignment wrapText="1"/>
    </xf>
    <xf numFmtId="0" fontId="0" fillId="0" borderId="15" xfId="0" applyBorder="1" applyAlignment="1">
      <alignment wrapText="1"/>
    </xf>
    <xf numFmtId="168" fontId="0" fillId="0" borderId="0" xfId="0" applyNumberFormat="1"/>
    <xf numFmtId="0" fontId="0" fillId="0" borderId="13" xfId="0" applyFill="1" applyBorder="1" applyAlignment="1">
      <alignment horizontal="left" vertical="center" wrapText="1"/>
    </xf>
    <xf numFmtId="0" fontId="0" fillId="0" borderId="29" xfId="0" applyFill="1" applyBorder="1" applyAlignment="1">
      <alignment wrapText="1"/>
    </xf>
    <xf numFmtId="0" fontId="0" fillId="0" borderId="13" xfId="0" applyFont="1" applyBorder="1"/>
    <xf numFmtId="0" fontId="0" fillId="0" borderId="13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9" fontId="17" fillId="0" borderId="13" xfId="0" applyNumberFormat="1" applyFont="1" applyBorder="1"/>
    <xf numFmtId="166" fontId="17" fillId="0" borderId="13" xfId="0" applyNumberFormat="1" applyFont="1" applyBorder="1"/>
    <xf numFmtId="166" fontId="17" fillId="0" borderId="17" xfId="0" applyNumberFormat="1" applyFont="1" applyBorder="1"/>
    <xf numFmtId="9" fontId="0" fillId="0" borderId="14" xfId="0" applyNumberFormat="1" applyFont="1" applyBorder="1"/>
    <xf numFmtId="166" fontId="0" fillId="0" borderId="13" xfId="0" applyNumberFormat="1" applyFont="1" applyBorder="1"/>
    <xf numFmtId="10" fontId="17" fillId="0" borderId="13" xfId="0" applyNumberFormat="1" applyFont="1" applyBorder="1"/>
    <xf numFmtId="0" fontId="1" fillId="0" borderId="0" xfId="1" applyFont="1"/>
    <xf numFmtId="0" fontId="4" fillId="6" borderId="7" xfId="1" applyFont="1" applyFill="1" applyBorder="1" applyAlignment="1">
      <alignment horizontal="center" vertical="center"/>
    </xf>
    <xf numFmtId="0" fontId="4" fillId="6" borderId="0" xfId="1" applyFont="1" applyFill="1" applyBorder="1"/>
    <xf numFmtId="0" fontId="4" fillId="6" borderId="13" xfId="1" applyFont="1" applyFill="1" applyBorder="1"/>
    <xf numFmtId="0" fontId="4" fillId="6" borderId="13" xfId="1" applyFont="1" applyFill="1" applyBorder="1" applyAlignment="1">
      <alignment horizontal="center" vertical="center"/>
    </xf>
    <xf numFmtId="0" fontId="1" fillId="0" borderId="13" xfId="1" applyFont="1" applyBorder="1" applyAlignment="1">
      <alignment horizontal="center"/>
    </xf>
    <xf numFmtId="9" fontId="1" fillId="0" borderId="13" xfId="1" applyNumberFormat="1" applyFont="1" applyBorder="1"/>
    <xf numFmtId="166" fontId="1" fillId="0" borderId="13" xfId="1" applyNumberFormat="1" applyFont="1" applyBorder="1"/>
    <xf numFmtId="10" fontId="1" fillId="0" borderId="13" xfId="1" applyNumberFormat="1" applyFont="1" applyBorder="1"/>
    <xf numFmtId="0" fontId="0" fillId="0" borderId="35" xfId="0" applyFill="1" applyBorder="1"/>
    <xf numFmtId="3" fontId="0" fillId="0" borderId="35" xfId="0" applyNumberFormat="1" applyBorder="1"/>
    <xf numFmtId="0" fontId="0" fillId="0" borderId="36" xfId="0" applyBorder="1"/>
    <xf numFmtId="0" fontId="0" fillId="6" borderId="14" xfId="0" applyFill="1" applyBorder="1"/>
    <xf numFmtId="0" fontId="0" fillId="0" borderId="17" xfId="0" applyFill="1" applyBorder="1" applyAlignment="1">
      <alignment wrapText="1"/>
    </xf>
    <xf numFmtId="169" fontId="0" fillId="0" borderId="0" xfId="38" applyNumberFormat="1" applyFont="1"/>
    <xf numFmtId="170" fontId="0" fillId="0" borderId="0" xfId="0" applyNumberFormat="1"/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wrapText="1"/>
    </xf>
    <xf numFmtId="0" fontId="0" fillId="0" borderId="3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0" fontId="0" fillId="0" borderId="13" xfId="0" applyNumberFormat="1" applyFont="1" applyBorder="1"/>
  </cellXfs>
  <cellStyles count="39">
    <cellStyle name="Buena" xfId="2" xr:uid="{00000000-0005-0000-0000-000000000000}"/>
    <cellStyle name="Cálculo 2" xfId="3" xr:uid="{00000000-0005-0000-0000-000001000000}"/>
    <cellStyle name="Celda de comprobación 2" xfId="4" xr:uid="{00000000-0005-0000-0000-000002000000}"/>
    <cellStyle name="Comma" xfId="38" builtinId="3"/>
    <cellStyle name="Encabezado 1 2" xfId="5" xr:uid="{00000000-0005-0000-0000-000003000000}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Moneda 2" xfId="6" xr:uid="{00000000-0005-0000-0000-00001C000000}"/>
    <cellStyle name="Moneda 3" xfId="7" xr:uid="{00000000-0005-0000-0000-00001D000000}"/>
    <cellStyle name="Normal" xfId="0" builtinId="0"/>
    <cellStyle name="Normal 2" xfId="1" xr:uid="{00000000-0005-0000-0000-00001F000000}"/>
    <cellStyle name="Normal 2 2" xfId="8" xr:uid="{00000000-0005-0000-0000-000020000000}"/>
    <cellStyle name="Notas 2" xfId="9" xr:uid="{00000000-0005-0000-0000-000021000000}"/>
    <cellStyle name="Texto de advertencia 2" xfId="10" xr:uid="{00000000-0005-0000-0000-000022000000}"/>
    <cellStyle name="Texto explicativo 2" xfId="11" xr:uid="{00000000-0005-0000-0000-000023000000}"/>
    <cellStyle name="Título 2 2" xfId="12" xr:uid="{00000000-0005-0000-0000-000024000000}"/>
    <cellStyle name="Título 3 2" xfId="13" xr:uid="{00000000-0005-0000-0000-000025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2"/>
  <sheetViews>
    <sheetView tabSelected="1" topLeftCell="A28" workbookViewId="0">
      <selection activeCell="A29" sqref="A29"/>
    </sheetView>
  </sheetViews>
  <sheetFormatPr defaultColWidth="10.83203125" defaultRowHeight="14.5" x14ac:dyDescent="0.35"/>
  <cols>
    <col min="1" max="1" width="49.1640625" style="63" customWidth="1"/>
    <col min="2" max="3" width="10.83203125" style="63"/>
    <col min="4" max="4" width="12.75" style="63" customWidth="1"/>
    <col min="5" max="5" width="12.4140625" style="63" customWidth="1"/>
    <col min="6" max="6" width="16.58203125" style="63" customWidth="1"/>
    <col min="7" max="16384" width="10.83203125" style="63"/>
  </cols>
  <sheetData>
    <row r="2" spans="1:6" x14ac:dyDescent="0.35">
      <c r="A2" s="61" t="s">
        <v>14</v>
      </c>
      <c r="B2" s="62">
        <v>56349000</v>
      </c>
    </row>
    <row r="4" spans="1:6" x14ac:dyDescent="0.35">
      <c r="A4" s="64" t="s">
        <v>13</v>
      </c>
      <c r="B4" s="64" t="s">
        <v>12</v>
      </c>
      <c r="C4" s="64" t="s">
        <v>11</v>
      </c>
      <c r="D4" s="64" t="s">
        <v>10</v>
      </c>
      <c r="E4" s="64" t="s">
        <v>9</v>
      </c>
      <c r="F4" s="64" t="s">
        <v>8</v>
      </c>
    </row>
    <row r="5" spans="1:6" x14ac:dyDescent="0.35">
      <c r="A5" s="63">
        <v>2018</v>
      </c>
      <c r="B5" s="65">
        <f>$B$2/5</f>
        <v>11269800</v>
      </c>
      <c r="C5" s="65"/>
      <c r="D5" s="65">
        <f>B5/1.12^(A5-2018)</f>
        <v>11269800</v>
      </c>
      <c r="E5" s="65">
        <f>C5/1.12^(A5-2018)</f>
        <v>0</v>
      </c>
      <c r="F5" s="65">
        <f>C5-B5</f>
        <v>-11269800</v>
      </c>
    </row>
    <row r="6" spans="1:6" x14ac:dyDescent="0.35">
      <c r="A6" s="63">
        <v>2019</v>
      </c>
      <c r="B6" s="65">
        <f>$B$2/5</f>
        <v>11269800</v>
      </c>
      <c r="C6" s="65"/>
      <c r="D6" s="65">
        <f>B6/1.12^(A6-2018)</f>
        <v>10062321.428571427</v>
      </c>
      <c r="E6" s="65">
        <f t="shared" ref="E6:E23" si="0">C6/1.12^(A6-2018)</f>
        <v>0</v>
      </c>
      <c r="F6" s="65">
        <f>C6-B6</f>
        <v>-11269800</v>
      </c>
    </row>
    <row r="7" spans="1:6" x14ac:dyDescent="0.35">
      <c r="A7" s="63">
        <v>2020</v>
      </c>
      <c r="B7" s="65">
        <f>$B$2/5</f>
        <v>11269800</v>
      </c>
      <c r="C7" s="65">
        <f>'Componente 1'!C27+'Componente 2'!C32+'Componente 3'!C22</f>
        <v>0</v>
      </c>
      <c r="D7" s="65">
        <f>B7/1.12^(A7-2018)</f>
        <v>8984215.5612244885</v>
      </c>
      <c r="E7" s="65">
        <f t="shared" si="0"/>
        <v>0</v>
      </c>
      <c r="F7" s="65">
        <f>C7-B7</f>
        <v>-11269800</v>
      </c>
    </row>
    <row r="8" spans="1:6" x14ac:dyDescent="0.35">
      <c r="A8" s="63">
        <v>2021</v>
      </c>
      <c r="B8" s="65">
        <f>$B$2/5</f>
        <v>11269800</v>
      </c>
      <c r="C8" s="65">
        <f>'Componente 1'!C28+'Componente 2'!C33+'Componente 3'!C23</f>
        <v>14964889.523458499</v>
      </c>
      <c r="D8" s="65">
        <f>B8/1.12^(A8-2018)</f>
        <v>8021621.0368075781</v>
      </c>
      <c r="E8" s="65">
        <f t="shared" si="0"/>
        <v>10651712.773507606</v>
      </c>
      <c r="F8" s="65">
        <f>C8-B8</f>
        <v>3695089.5234584995</v>
      </c>
    </row>
    <row r="9" spans="1:6" x14ac:dyDescent="0.35">
      <c r="A9" s="63">
        <v>2022</v>
      </c>
      <c r="B9" s="65">
        <f>$B$2/5</f>
        <v>11269800</v>
      </c>
      <c r="C9" s="65">
        <f>'Componente 1'!C29+'Componente 2'!C34+'Componente 3'!C24</f>
        <v>42282684.508067995</v>
      </c>
      <c r="D9" s="65">
        <f>B9/1.12^(A9-2018)</f>
        <v>7162161.6400067667</v>
      </c>
      <c r="E9" s="65">
        <f t="shared" si="0"/>
        <v>26871410.408365097</v>
      </c>
      <c r="F9" s="65">
        <f t="shared" ref="F9:F24" si="1">C9-B9</f>
        <v>31012884.508067995</v>
      </c>
    </row>
    <row r="10" spans="1:6" x14ac:dyDescent="0.35">
      <c r="A10" s="63">
        <v>2023</v>
      </c>
      <c r="B10" s="63">
        <v>0</v>
      </c>
      <c r="C10" s="65">
        <f>'Componente 1'!C30+'Componente 2'!C35+'Componente 3'!C25</f>
        <v>43449682.026257999</v>
      </c>
      <c r="D10" s="65">
        <f t="shared" ref="D10:D24" si="2">B10/1.12^(A10-2018)</f>
        <v>0</v>
      </c>
      <c r="E10" s="65">
        <f t="shared" si="0"/>
        <v>24654516.454132512</v>
      </c>
      <c r="F10" s="65">
        <f t="shared" si="1"/>
        <v>43449682.026257999</v>
      </c>
    </row>
    <row r="11" spans="1:6" x14ac:dyDescent="0.35">
      <c r="A11" s="63">
        <v>2024</v>
      </c>
      <c r="B11" s="63">
        <v>0</v>
      </c>
      <c r="C11" s="65">
        <f>'Componente 1'!C31+'Componente 2'!C36+'Componente 3'!C26</f>
        <v>43449682.026257999</v>
      </c>
      <c r="D11" s="65">
        <f t="shared" si="2"/>
        <v>0</v>
      </c>
      <c r="E11" s="65">
        <f t="shared" si="0"/>
        <v>22012961.119761169</v>
      </c>
      <c r="F11" s="65">
        <f t="shared" si="1"/>
        <v>43449682.026257999</v>
      </c>
    </row>
    <row r="12" spans="1:6" x14ac:dyDescent="0.35">
      <c r="A12" s="63">
        <v>2025</v>
      </c>
      <c r="B12" s="63">
        <v>0</v>
      </c>
      <c r="C12" s="65">
        <f>'Componente 1'!C32+'Componente 2'!C37+'Componente 3'!C27</f>
        <v>43449682.026257999</v>
      </c>
      <c r="D12" s="65">
        <f t="shared" si="2"/>
        <v>0</v>
      </c>
      <c r="E12" s="65">
        <f t="shared" si="0"/>
        <v>19654429.571215328</v>
      </c>
      <c r="F12" s="65">
        <f t="shared" si="1"/>
        <v>43449682.026257999</v>
      </c>
    </row>
    <row r="13" spans="1:6" x14ac:dyDescent="0.35">
      <c r="A13" s="63">
        <v>2026</v>
      </c>
      <c r="B13" s="63">
        <v>0</v>
      </c>
      <c r="C13" s="65">
        <f>'Componente 1'!C33+'Componente 2'!C38+'Componente 3'!C28</f>
        <v>43449682.026257999</v>
      </c>
      <c r="D13" s="65">
        <f t="shared" si="2"/>
        <v>0</v>
      </c>
      <c r="E13" s="65">
        <f t="shared" si="0"/>
        <v>17548597.831442256</v>
      </c>
      <c r="F13" s="65">
        <f t="shared" si="1"/>
        <v>43449682.026257999</v>
      </c>
    </row>
    <row r="14" spans="1:6" x14ac:dyDescent="0.35">
      <c r="A14" s="63">
        <v>2027</v>
      </c>
      <c r="B14" s="63">
        <v>0</v>
      </c>
      <c r="C14" s="65">
        <f>'Componente 1'!C34+'Componente 2'!C39+'Componente 3'!C29</f>
        <v>43449682.026257999</v>
      </c>
      <c r="D14" s="65">
        <f t="shared" si="2"/>
        <v>0</v>
      </c>
      <c r="E14" s="65">
        <f t="shared" si="0"/>
        <v>15668390.920930585</v>
      </c>
      <c r="F14" s="65">
        <f t="shared" si="1"/>
        <v>43449682.026257999</v>
      </c>
    </row>
    <row r="15" spans="1:6" x14ac:dyDescent="0.35">
      <c r="A15" s="63">
        <v>2028</v>
      </c>
      <c r="B15" s="63">
        <v>0</v>
      </c>
      <c r="C15" s="65">
        <f>'Componente 1'!C35+'Componente 2'!C40+'Componente 3'!C30</f>
        <v>43449682.026257999</v>
      </c>
      <c r="D15" s="65">
        <f t="shared" si="2"/>
        <v>0</v>
      </c>
      <c r="E15" s="65">
        <f t="shared" si="0"/>
        <v>13989634.750830879</v>
      </c>
      <c r="F15" s="65">
        <f t="shared" si="1"/>
        <v>43449682.026257999</v>
      </c>
    </row>
    <row r="16" spans="1:6" x14ac:dyDescent="0.35">
      <c r="A16" s="63">
        <v>2029</v>
      </c>
      <c r="B16" s="63">
        <v>0</v>
      </c>
      <c r="C16" s="65">
        <f>'Componente 1'!C36+'Componente 2'!C41+'Componente 3'!C31</f>
        <v>43449682.026257999</v>
      </c>
      <c r="D16" s="65">
        <f t="shared" si="2"/>
        <v>0</v>
      </c>
      <c r="E16" s="65">
        <f t="shared" si="0"/>
        <v>12490745.313241854</v>
      </c>
      <c r="F16" s="65">
        <f t="shared" si="1"/>
        <v>43449682.026257999</v>
      </c>
    </row>
    <row r="17" spans="1:6" x14ac:dyDescent="0.35">
      <c r="A17" s="63">
        <v>2030</v>
      </c>
      <c r="B17" s="63">
        <v>0</v>
      </c>
      <c r="C17" s="65">
        <f>'Componente 1'!C37+'Componente 2'!C42+'Componente 3'!C32</f>
        <v>43449682.026257999</v>
      </c>
      <c r="D17" s="65">
        <f t="shared" si="2"/>
        <v>0</v>
      </c>
      <c r="E17" s="65">
        <f t="shared" si="0"/>
        <v>11152451.17253737</v>
      </c>
      <c r="F17" s="65">
        <f t="shared" si="1"/>
        <v>43449682.026257999</v>
      </c>
    </row>
    <row r="18" spans="1:6" x14ac:dyDescent="0.35">
      <c r="A18" s="63">
        <v>2031</v>
      </c>
      <c r="B18" s="63">
        <v>0</v>
      </c>
      <c r="C18" s="65">
        <f>'Componente 1'!C38+'Componente 2'!C43+'Componente 3'!C33</f>
        <v>43449682.026257999</v>
      </c>
      <c r="D18" s="65">
        <f t="shared" si="2"/>
        <v>0</v>
      </c>
      <c r="E18" s="65">
        <f t="shared" si="0"/>
        <v>9957545.6897655074</v>
      </c>
      <c r="F18" s="65">
        <f t="shared" si="1"/>
        <v>43449682.026257999</v>
      </c>
    </row>
    <row r="19" spans="1:6" x14ac:dyDescent="0.35">
      <c r="A19" s="63">
        <v>2032</v>
      </c>
      <c r="B19" s="63">
        <v>0</v>
      </c>
      <c r="C19" s="65">
        <f>'Componente 1'!C39+'Componente 2'!C44+'Componente 3'!C34</f>
        <v>43449682.026257999</v>
      </c>
      <c r="D19" s="65">
        <f t="shared" si="2"/>
        <v>0</v>
      </c>
      <c r="E19" s="65">
        <f t="shared" si="0"/>
        <v>8890665.7944334876</v>
      </c>
      <c r="F19" s="65">
        <f t="shared" si="1"/>
        <v>43449682.026257999</v>
      </c>
    </row>
    <row r="20" spans="1:6" x14ac:dyDescent="0.35">
      <c r="A20" s="63">
        <v>2033</v>
      </c>
      <c r="B20" s="63">
        <v>0</v>
      </c>
      <c r="C20" s="65">
        <f>'Componente 1'!C40+'Componente 2'!C45+'Componente 3'!C35</f>
        <v>43449682.026257999</v>
      </c>
      <c r="D20" s="65">
        <f t="shared" si="2"/>
        <v>0</v>
      </c>
      <c r="E20" s="65">
        <f t="shared" si="0"/>
        <v>7938094.4593156148</v>
      </c>
      <c r="F20" s="65">
        <f t="shared" si="1"/>
        <v>43449682.026257999</v>
      </c>
    </row>
    <row r="21" spans="1:6" x14ac:dyDescent="0.35">
      <c r="A21" s="63">
        <v>2034</v>
      </c>
      <c r="B21" s="63">
        <v>0</v>
      </c>
      <c r="C21" s="65">
        <f>'Componente 1'!C41+'Componente 2'!C46+'Componente 3'!C36</f>
        <v>43449682.026257999</v>
      </c>
      <c r="D21" s="65">
        <f t="shared" si="2"/>
        <v>0</v>
      </c>
      <c r="E21" s="65">
        <f t="shared" si="0"/>
        <v>7087584.3386746552</v>
      </c>
      <c r="F21" s="65">
        <f t="shared" si="1"/>
        <v>43449682.026257999</v>
      </c>
    </row>
    <row r="22" spans="1:6" x14ac:dyDescent="0.35">
      <c r="A22" s="63">
        <v>2035</v>
      </c>
      <c r="B22" s="63">
        <v>0</v>
      </c>
      <c r="C22" s="65">
        <f>'Componente 1'!C42+'Componente 2'!C47+'Componente 3'!C37</f>
        <v>43449682.026257999</v>
      </c>
      <c r="D22" s="65">
        <f t="shared" si="2"/>
        <v>0</v>
      </c>
      <c r="E22" s="65">
        <f t="shared" si="0"/>
        <v>6328200.3023880841</v>
      </c>
      <c r="F22" s="65">
        <f t="shared" si="1"/>
        <v>43449682.026257999</v>
      </c>
    </row>
    <row r="23" spans="1:6" x14ac:dyDescent="0.35">
      <c r="A23" s="63">
        <v>2036</v>
      </c>
      <c r="B23" s="63">
        <v>0</v>
      </c>
      <c r="C23" s="65">
        <f>'Componente 1'!C43+'Componente 2'!C48+'Componente 3'!C38</f>
        <v>43449682.026257999</v>
      </c>
      <c r="D23" s="65">
        <f t="shared" si="2"/>
        <v>0</v>
      </c>
      <c r="E23" s="65">
        <f t="shared" si="0"/>
        <v>5650178.841417932</v>
      </c>
      <c r="F23" s="65">
        <f t="shared" si="1"/>
        <v>43449682.026257999</v>
      </c>
    </row>
    <row r="24" spans="1:6" x14ac:dyDescent="0.35">
      <c r="A24" s="63">
        <v>2037</v>
      </c>
      <c r="B24" s="63">
        <v>0</v>
      </c>
      <c r="C24" s="65">
        <f>'Componente 1'!C44+'Componente 2'!C49+'Componente 3'!C39</f>
        <v>43449682.026257999</v>
      </c>
      <c r="D24" s="65">
        <f t="shared" si="2"/>
        <v>0</v>
      </c>
      <c r="E24" s="65">
        <f>C24/1.12^(A24-2018)</f>
        <v>5044802.5369802956</v>
      </c>
      <c r="F24" s="65">
        <f t="shared" si="1"/>
        <v>43449682.026257999</v>
      </c>
    </row>
    <row r="25" spans="1:6" x14ac:dyDescent="0.35">
      <c r="A25" s="63" t="s">
        <v>7</v>
      </c>
      <c r="D25" s="66">
        <f>SUM(D5:D24)</f>
        <v>45500119.666610256</v>
      </c>
      <c r="E25" s="66">
        <f>SUM(E5:E24)</f>
        <v>225591922.27894026</v>
      </c>
    </row>
    <row r="27" spans="1:6" x14ac:dyDescent="0.35">
      <c r="E27" s="67" t="s">
        <v>6</v>
      </c>
      <c r="F27" s="68">
        <f>IRR(F5:F24)</f>
        <v>0.50655114094513265</v>
      </c>
    </row>
    <row r="28" spans="1:6" x14ac:dyDescent="0.35">
      <c r="E28" s="69" t="s">
        <v>5</v>
      </c>
      <c r="F28" s="70">
        <f>E25-D25</f>
        <v>180091802.61233002</v>
      </c>
    </row>
    <row r="29" spans="1:6" x14ac:dyDescent="0.35">
      <c r="E29" s="69" t="s">
        <v>4</v>
      </c>
      <c r="F29" s="71">
        <f>E25/D25</f>
        <v>4.9580511860606888</v>
      </c>
    </row>
    <row r="32" spans="1:6" x14ac:dyDescent="0.35">
      <c r="A32" s="92" t="s">
        <v>3</v>
      </c>
      <c r="B32" s="90"/>
      <c r="C32" s="90"/>
      <c r="D32" s="90"/>
      <c r="E32" s="90"/>
      <c r="F32" s="90"/>
    </row>
    <row r="33" spans="1:6" x14ac:dyDescent="0.35">
      <c r="A33" s="93" t="s">
        <v>21</v>
      </c>
      <c r="B33" s="94" t="s">
        <v>95</v>
      </c>
      <c r="C33" s="94" t="s">
        <v>1</v>
      </c>
      <c r="D33" s="94" t="s">
        <v>2</v>
      </c>
      <c r="E33" s="94" t="s">
        <v>0</v>
      </c>
      <c r="F33" s="91"/>
    </row>
    <row r="34" spans="1:6" ht="15.5" x14ac:dyDescent="0.35">
      <c r="A34" s="20" t="s">
        <v>126</v>
      </c>
      <c r="B34" s="95">
        <v>1</v>
      </c>
      <c r="C34" s="96">
        <v>0.2</v>
      </c>
      <c r="D34" s="97">
        <v>0.28000000000000003</v>
      </c>
      <c r="E34" s="96">
        <v>0.3</v>
      </c>
      <c r="F34" s="90"/>
    </row>
    <row r="35" spans="1:6" ht="31" x14ac:dyDescent="0.35">
      <c r="A35" s="58" t="s">
        <v>117</v>
      </c>
      <c r="B35" s="95">
        <v>1</v>
      </c>
      <c r="C35" s="97">
        <v>0.03</v>
      </c>
      <c r="D35" s="96">
        <v>0.06</v>
      </c>
      <c r="E35" s="96">
        <v>0.09</v>
      </c>
      <c r="F35" s="90"/>
    </row>
    <row r="36" spans="1:6" ht="15.5" x14ac:dyDescent="0.35">
      <c r="A36" s="19" t="s">
        <v>61</v>
      </c>
      <c r="B36" s="95">
        <v>2</v>
      </c>
      <c r="C36" s="96">
        <v>0.12</v>
      </c>
      <c r="D36" s="96">
        <v>0.18</v>
      </c>
      <c r="E36" s="96">
        <v>0.2</v>
      </c>
      <c r="F36" s="90"/>
    </row>
    <row r="37" spans="1:6" ht="15.5" x14ac:dyDescent="0.35">
      <c r="A37" s="19" t="s">
        <v>87</v>
      </c>
      <c r="B37" s="95">
        <v>2</v>
      </c>
      <c r="C37" s="96">
        <v>0.14000000000000001</v>
      </c>
      <c r="D37" s="96">
        <v>0.18</v>
      </c>
      <c r="E37" s="96">
        <v>0.22</v>
      </c>
      <c r="F37" s="90"/>
    </row>
    <row r="38" spans="1:6" ht="15.5" x14ac:dyDescent="0.35">
      <c r="A38" s="19" t="s">
        <v>86</v>
      </c>
      <c r="B38" s="95">
        <v>2</v>
      </c>
      <c r="C38" s="96">
        <v>0.1</v>
      </c>
      <c r="D38" s="96">
        <v>0.14000000000000001</v>
      </c>
      <c r="E38" s="96">
        <v>0.18</v>
      </c>
      <c r="F38" s="90"/>
    </row>
    <row r="39" spans="1:6" ht="15.5" x14ac:dyDescent="0.35">
      <c r="A39" s="19" t="s">
        <v>88</v>
      </c>
      <c r="B39" s="95">
        <v>2</v>
      </c>
      <c r="C39" s="96">
        <v>0.14000000000000001</v>
      </c>
      <c r="D39" s="96">
        <v>0.18</v>
      </c>
      <c r="E39" s="96">
        <v>0.22</v>
      </c>
      <c r="F39" s="90"/>
    </row>
    <row r="40" spans="1:6" ht="33" customHeight="1" x14ac:dyDescent="0.35">
      <c r="A40" s="45" t="s">
        <v>125</v>
      </c>
      <c r="B40" s="95">
        <v>2</v>
      </c>
      <c r="C40" s="96">
        <v>0.3</v>
      </c>
      <c r="D40" s="98">
        <v>0.44</v>
      </c>
      <c r="E40" s="96">
        <v>0.5</v>
      </c>
      <c r="F40" s="90"/>
    </row>
    <row r="41" spans="1:6" ht="15.5" x14ac:dyDescent="0.35">
      <c r="A41" s="45" t="s">
        <v>137</v>
      </c>
      <c r="B41" s="95">
        <v>3</v>
      </c>
      <c r="C41" s="96">
        <v>0.1</v>
      </c>
      <c r="D41" s="134">
        <v>0.14560000000000001</v>
      </c>
      <c r="E41" s="96">
        <v>0.2</v>
      </c>
      <c r="F41" s="90"/>
    </row>
    <row r="42" spans="1:6" ht="15.5" x14ac:dyDescent="0.35">
      <c r="A42" s="45" t="s">
        <v>138</v>
      </c>
      <c r="B42" s="95">
        <v>3</v>
      </c>
      <c r="C42" s="96">
        <v>0.08</v>
      </c>
      <c r="D42" s="134">
        <v>9.3600000000000003E-2</v>
      </c>
      <c r="E42" s="96">
        <v>0.15</v>
      </c>
      <c r="F42" s="90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zoomScale="85" zoomScaleNormal="85" workbookViewId="0">
      <selection activeCell="B15" sqref="B15"/>
    </sheetView>
  </sheetViews>
  <sheetFormatPr defaultColWidth="11" defaultRowHeight="15.5" x14ac:dyDescent="0.35"/>
  <cols>
    <col min="1" max="1" width="13.08203125" customWidth="1"/>
    <col min="2" max="2" width="64.75" customWidth="1"/>
    <col min="3" max="3" width="14.5" customWidth="1"/>
    <col min="4" max="4" width="17.1640625" customWidth="1"/>
    <col min="5" max="5" width="40.33203125" customWidth="1"/>
    <col min="6" max="6" width="20.5" customWidth="1"/>
    <col min="7" max="7" width="30.9140625" customWidth="1"/>
    <col min="8" max="8" width="10" bestFit="1" customWidth="1"/>
    <col min="10" max="10" width="10" bestFit="1" customWidth="1"/>
  </cols>
  <sheetData>
    <row r="1" spans="1:9" ht="16" thickBot="1" x14ac:dyDescent="0.4">
      <c r="A1" s="109" t="s">
        <v>27</v>
      </c>
      <c r="B1" s="110"/>
      <c r="C1" s="34" t="s">
        <v>28</v>
      </c>
      <c r="D1" s="35" t="s">
        <v>15</v>
      </c>
      <c r="E1" s="4"/>
    </row>
    <row r="2" spans="1:9" x14ac:dyDescent="0.35">
      <c r="A2" s="113" t="s">
        <v>78</v>
      </c>
      <c r="B2" s="37" t="s">
        <v>32</v>
      </c>
      <c r="C2" s="30">
        <f>C18*0.003</f>
        <v>66810285</v>
      </c>
      <c r="D2" s="38" t="s">
        <v>54</v>
      </c>
      <c r="G2" s="13"/>
    </row>
    <row r="3" spans="1:9" x14ac:dyDescent="0.35">
      <c r="A3" s="114"/>
      <c r="B3" s="20" t="s">
        <v>31</v>
      </c>
      <c r="C3" s="18">
        <f>C18*C11</f>
        <v>91307389.500000015</v>
      </c>
      <c r="D3" s="25" t="s">
        <v>53</v>
      </c>
      <c r="G3" s="13"/>
    </row>
    <row r="4" spans="1:9" ht="15.5" customHeight="1" thickBot="1" x14ac:dyDescent="0.4">
      <c r="A4" s="115"/>
      <c r="B4" s="27" t="s">
        <v>30</v>
      </c>
      <c r="C4" s="28">
        <f>C18*C12</f>
        <v>267241140</v>
      </c>
      <c r="D4" s="39" t="s">
        <v>55</v>
      </c>
      <c r="H4" s="14"/>
    </row>
    <row r="5" spans="1:9" ht="31.5" thickBot="1" x14ac:dyDescent="0.4">
      <c r="A5" s="16" t="s">
        <v>16</v>
      </c>
      <c r="B5" s="40" t="s">
        <v>16</v>
      </c>
      <c r="C5" s="41">
        <v>18219000</v>
      </c>
      <c r="D5" s="42" t="s">
        <v>33</v>
      </c>
      <c r="H5" s="15"/>
    </row>
    <row r="6" spans="1:9" ht="20" customHeight="1" x14ac:dyDescent="0.35">
      <c r="A6" s="113" t="s">
        <v>40</v>
      </c>
      <c r="B6" s="37" t="s">
        <v>113</v>
      </c>
      <c r="C6" s="87">
        <v>0.11</v>
      </c>
      <c r="D6" s="31" t="s">
        <v>56</v>
      </c>
      <c r="E6" s="73"/>
      <c r="H6" s="15"/>
    </row>
    <row r="7" spans="1:9" ht="28.5" customHeight="1" x14ac:dyDescent="0.35">
      <c r="A7" s="114"/>
      <c r="B7" s="58" t="s">
        <v>114</v>
      </c>
      <c r="C7" s="84">
        <v>0.28000000000000003</v>
      </c>
      <c r="D7" s="26" t="s">
        <v>57</v>
      </c>
      <c r="E7" s="73"/>
      <c r="G7" s="15"/>
      <c r="H7" s="15"/>
      <c r="I7" s="15"/>
    </row>
    <row r="8" spans="1:9" ht="33.5" customHeight="1" x14ac:dyDescent="0.35">
      <c r="A8" s="114"/>
      <c r="B8" s="58" t="s">
        <v>116</v>
      </c>
      <c r="C8" s="88">
        <v>0.03</v>
      </c>
      <c r="D8" s="26" t="s">
        <v>58</v>
      </c>
      <c r="E8" s="73"/>
      <c r="G8" s="15"/>
      <c r="H8" s="15"/>
      <c r="I8" s="15"/>
    </row>
    <row r="9" spans="1:9" ht="32" customHeight="1" thickBot="1" x14ac:dyDescent="0.4">
      <c r="A9" s="115"/>
      <c r="B9" s="103" t="s">
        <v>117</v>
      </c>
      <c r="C9" s="86">
        <v>0.06</v>
      </c>
      <c r="D9" s="29" t="s">
        <v>58</v>
      </c>
      <c r="E9" s="73"/>
    </row>
    <row r="10" spans="1:9" ht="15.75" customHeight="1" x14ac:dyDescent="0.35">
      <c r="A10" s="106" t="s">
        <v>41</v>
      </c>
      <c r="B10" s="36" t="s">
        <v>115</v>
      </c>
      <c r="C10" s="43">
        <v>3.0000000000000001E-3</v>
      </c>
      <c r="D10" s="44" t="s">
        <v>20</v>
      </c>
    </row>
    <row r="11" spans="1:9" x14ac:dyDescent="0.35">
      <c r="A11" s="108"/>
      <c r="B11" s="58" t="s">
        <v>76</v>
      </c>
      <c r="C11" s="23">
        <v>4.1000000000000003E-3</v>
      </c>
      <c r="D11" s="26" t="s">
        <v>29</v>
      </c>
    </row>
    <row r="12" spans="1:9" x14ac:dyDescent="0.35">
      <c r="A12" s="111"/>
      <c r="B12" s="58" t="s">
        <v>77</v>
      </c>
      <c r="C12" s="22">
        <v>1.2E-2</v>
      </c>
      <c r="D12" s="25" t="s">
        <v>20</v>
      </c>
    </row>
    <row r="13" spans="1:9" x14ac:dyDescent="0.35">
      <c r="A13" s="112" t="s">
        <v>34</v>
      </c>
      <c r="B13" s="20" t="s">
        <v>48</v>
      </c>
      <c r="C13" s="18">
        <v>2800</v>
      </c>
      <c r="D13" s="26" t="s">
        <v>33</v>
      </c>
    </row>
    <row r="14" spans="1:9" x14ac:dyDescent="0.35">
      <c r="A14" s="108"/>
      <c r="B14" s="20" t="s">
        <v>22</v>
      </c>
      <c r="C14" s="18">
        <v>15000</v>
      </c>
      <c r="D14" s="26" t="s">
        <v>33</v>
      </c>
    </row>
    <row r="15" spans="1:9" ht="48.5" customHeight="1" x14ac:dyDescent="0.35">
      <c r="A15" s="108"/>
      <c r="B15" s="58" t="s">
        <v>118</v>
      </c>
      <c r="C15" s="21">
        <v>0.01</v>
      </c>
      <c r="D15" s="26" t="s">
        <v>33</v>
      </c>
    </row>
    <row r="16" spans="1:9" x14ac:dyDescent="0.35">
      <c r="A16" s="108"/>
      <c r="B16" s="20" t="s">
        <v>23</v>
      </c>
      <c r="C16" s="24">
        <v>21517000000</v>
      </c>
      <c r="D16" s="26" t="s">
        <v>26</v>
      </c>
      <c r="F16" s="12"/>
      <c r="G16" s="12"/>
    </row>
    <row r="17" spans="1:7" x14ac:dyDescent="0.35">
      <c r="A17" s="108"/>
      <c r="B17" s="20" t="s">
        <v>24</v>
      </c>
      <c r="C17" s="22">
        <v>3.5000000000000003E-2</v>
      </c>
      <c r="D17" s="26" t="s">
        <v>26</v>
      </c>
    </row>
    <row r="18" spans="1:7" ht="16" thickBot="1" x14ac:dyDescent="0.4">
      <c r="A18" s="107"/>
      <c r="B18" s="27" t="s">
        <v>25</v>
      </c>
      <c r="C18" s="28">
        <f>C16*(1+C17)</f>
        <v>22270095000</v>
      </c>
      <c r="D18" s="29"/>
    </row>
    <row r="19" spans="1:7" ht="33.5" customHeight="1" x14ac:dyDescent="0.35">
      <c r="A19" s="106" t="s">
        <v>85</v>
      </c>
      <c r="B19" s="76" t="s">
        <v>120</v>
      </c>
      <c r="C19" s="30">
        <f>(C2+C3+C4)*C15</f>
        <v>4253588.1450000005</v>
      </c>
      <c r="D19" s="77" t="s">
        <v>109</v>
      </c>
      <c r="E19" s="12" t="s">
        <v>49</v>
      </c>
    </row>
    <row r="20" spans="1:7" ht="22" customHeight="1" thickBot="1" x14ac:dyDescent="0.4">
      <c r="A20" s="108"/>
      <c r="B20" s="99" t="s">
        <v>50</v>
      </c>
      <c r="C20" s="100">
        <f>C13*C14</f>
        <v>42000000</v>
      </c>
      <c r="D20" s="101" t="s">
        <v>110</v>
      </c>
      <c r="E20" t="s">
        <v>51</v>
      </c>
    </row>
    <row r="21" spans="1:7" x14ac:dyDescent="0.35">
      <c r="A21" s="106" t="s">
        <v>84</v>
      </c>
      <c r="B21" s="102" t="s">
        <v>37</v>
      </c>
      <c r="C21" s="30">
        <f>C19*C6+C20*C8</f>
        <v>1727894.6959500001</v>
      </c>
      <c r="D21" s="31" t="s">
        <v>111</v>
      </c>
      <c r="E21" t="s">
        <v>52</v>
      </c>
    </row>
    <row r="22" spans="1:7" ht="16" thickBot="1" x14ac:dyDescent="0.4">
      <c r="A22" s="107"/>
      <c r="B22" s="32" t="s">
        <v>44</v>
      </c>
      <c r="C22" s="28">
        <f>C19*C7+C20*C9</f>
        <v>3711004.6806000005</v>
      </c>
      <c r="D22" s="33" t="s">
        <v>112</v>
      </c>
      <c r="E22" t="s">
        <v>98</v>
      </c>
    </row>
    <row r="23" spans="1:7" x14ac:dyDescent="0.35">
      <c r="B23" s="2"/>
      <c r="C23" s="2"/>
      <c r="D23" s="2"/>
      <c r="E23" s="2"/>
      <c r="F23" s="2"/>
      <c r="G23" s="2"/>
    </row>
    <row r="24" spans="1:7" x14ac:dyDescent="0.35">
      <c r="B24" s="3" t="s">
        <v>13</v>
      </c>
      <c r="C24" s="3" t="s">
        <v>11</v>
      </c>
      <c r="D24" s="3" t="s">
        <v>12</v>
      </c>
      <c r="E24" s="3" t="s">
        <v>9</v>
      </c>
      <c r="F24" s="3" t="s">
        <v>10</v>
      </c>
      <c r="G24" s="3" t="s">
        <v>8</v>
      </c>
    </row>
    <row r="25" spans="1:7" x14ac:dyDescent="0.35">
      <c r="B25">
        <v>2018</v>
      </c>
      <c r="C25" s="1">
        <v>0</v>
      </c>
      <c r="D25" s="1">
        <f>$C$5/5</f>
        <v>3643800</v>
      </c>
      <c r="E25" s="1">
        <f t="shared" ref="E25:E44" si="0">C25/1.12^(B25-2018)</f>
        <v>0</v>
      </c>
      <c r="F25" s="1">
        <f t="shared" ref="F25:F44" si="1">D25/1.12^(B25-2018)</f>
        <v>3643800</v>
      </c>
      <c r="G25" s="1">
        <f t="shared" ref="G25:G44" si="2">C25-D25</f>
        <v>-3643800</v>
      </c>
    </row>
    <row r="26" spans="1:7" x14ac:dyDescent="0.35">
      <c r="B26">
        <f>B25+1</f>
        <v>2019</v>
      </c>
      <c r="C26" s="1">
        <v>0</v>
      </c>
      <c r="D26" s="1">
        <f t="shared" ref="D26:D29" si="3">$C$5/5</f>
        <v>3643800</v>
      </c>
      <c r="E26" s="1">
        <f t="shared" si="0"/>
        <v>0</v>
      </c>
      <c r="F26" s="1">
        <f t="shared" si="1"/>
        <v>3253392.8571428568</v>
      </c>
      <c r="G26" s="1">
        <f t="shared" si="2"/>
        <v>-3643800</v>
      </c>
    </row>
    <row r="27" spans="1:7" x14ac:dyDescent="0.35">
      <c r="B27">
        <f t="shared" ref="B27:B44" si="4">B26+1</f>
        <v>2020</v>
      </c>
      <c r="C27" s="1">
        <v>0</v>
      </c>
      <c r="D27" s="1">
        <f t="shared" si="3"/>
        <v>3643800</v>
      </c>
      <c r="E27" s="1">
        <f t="shared" si="0"/>
        <v>0</v>
      </c>
      <c r="F27" s="1">
        <f t="shared" si="1"/>
        <v>2904815.0510204076</v>
      </c>
      <c r="G27" s="1">
        <f t="shared" si="2"/>
        <v>-3643800</v>
      </c>
    </row>
    <row r="28" spans="1:7" x14ac:dyDescent="0.35">
      <c r="B28">
        <f t="shared" si="4"/>
        <v>2021</v>
      </c>
      <c r="C28" s="1">
        <f>C21</f>
        <v>1727894.6959500001</v>
      </c>
      <c r="D28" s="1">
        <f t="shared" si="3"/>
        <v>3643800</v>
      </c>
      <c r="E28" s="1">
        <f t="shared" si="0"/>
        <v>1229881.3148787692</v>
      </c>
      <c r="F28" s="1">
        <f t="shared" si="1"/>
        <v>2593584.8669825066</v>
      </c>
      <c r="G28" s="1">
        <f t="shared" si="2"/>
        <v>-1915905.3040499999</v>
      </c>
    </row>
    <row r="29" spans="1:7" x14ac:dyDescent="0.35">
      <c r="B29">
        <f t="shared" si="4"/>
        <v>2022</v>
      </c>
      <c r="C29" s="1">
        <f>C22</f>
        <v>3711004.6806000005</v>
      </c>
      <c r="D29" s="1">
        <f t="shared" si="3"/>
        <v>3643800</v>
      </c>
      <c r="E29" s="1">
        <f t="shared" si="0"/>
        <v>2358410.5635662465</v>
      </c>
      <c r="F29" s="1">
        <f t="shared" si="1"/>
        <v>2315700.7740915236</v>
      </c>
      <c r="G29" s="1">
        <f t="shared" si="2"/>
        <v>67204.680600000545</v>
      </c>
    </row>
    <row r="30" spans="1:7" x14ac:dyDescent="0.35">
      <c r="B30">
        <f t="shared" si="4"/>
        <v>2023</v>
      </c>
      <c r="C30" s="1">
        <f t="shared" ref="C30:C44" si="5">$C$22</f>
        <v>3711004.6806000005</v>
      </c>
      <c r="D30" s="1">
        <v>0</v>
      </c>
      <c r="E30" s="1">
        <f t="shared" si="0"/>
        <v>2105723.7174698631</v>
      </c>
      <c r="F30" s="1">
        <f t="shared" si="1"/>
        <v>0</v>
      </c>
      <c r="G30" s="1">
        <f t="shared" si="2"/>
        <v>3711004.6806000005</v>
      </c>
    </row>
    <row r="31" spans="1:7" x14ac:dyDescent="0.35">
      <c r="B31">
        <f t="shared" si="4"/>
        <v>2024</v>
      </c>
      <c r="C31" s="1">
        <f t="shared" si="5"/>
        <v>3711004.6806000005</v>
      </c>
      <c r="D31" s="1">
        <v>0</v>
      </c>
      <c r="E31" s="1">
        <f t="shared" si="0"/>
        <v>1880110.4620266631</v>
      </c>
      <c r="F31" s="1">
        <f t="shared" si="1"/>
        <v>0</v>
      </c>
      <c r="G31" s="1">
        <f t="shared" si="2"/>
        <v>3711004.6806000005</v>
      </c>
    </row>
    <row r="32" spans="1:7" x14ac:dyDescent="0.35">
      <c r="B32">
        <f t="shared" si="4"/>
        <v>2025</v>
      </c>
      <c r="C32" s="1">
        <f t="shared" si="5"/>
        <v>3711004.6806000005</v>
      </c>
      <c r="D32" s="1">
        <v>0</v>
      </c>
      <c r="E32" s="1">
        <f t="shared" si="0"/>
        <v>1678670.0553809491</v>
      </c>
      <c r="F32" s="1">
        <f t="shared" si="1"/>
        <v>0</v>
      </c>
      <c r="G32" s="1">
        <f t="shared" si="2"/>
        <v>3711004.6806000005</v>
      </c>
    </row>
    <row r="33" spans="2:7" x14ac:dyDescent="0.35">
      <c r="B33">
        <f t="shared" si="4"/>
        <v>2026</v>
      </c>
      <c r="C33" s="1">
        <f t="shared" si="5"/>
        <v>3711004.6806000005</v>
      </c>
      <c r="D33" s="1">
        <v>0</v>
      </c>
      <c r="E33" s="1">
        <f t="shared" si="0"/>
        <v>1498812.5494472759</v>
      </c>
      <c r="F33" s="1">
        <f t="shared" si="1"/>
        <v>0</v>
      </c>
      <c r="G33" s="1">
        <f t="shared" si="2"/>
        <v>3711004.6806000005</v>
      </c>
    </row>
    <row r="34" spans="2:7" x14ac:dyDescent="0.35">
      <c r="B34">
        <f t="shared" si="4"/>
        <v>2027</v>
      </c>
      <c r="C34" s="1">
        <f t="shared" si="5"/>
        <v>3711004.6806000005</v>
      </c>
      <c r="D34" s="1">
        <v>0</v>
      </c>
      <c r="E34" s="1">
        <f t="shared" si="0"/>
        <v>1338225.4905779248</v>
      </c>
      <c r="F34" s="1">
        <f t="shared" si="1"/>
        <v>0</v>
      </c>
      <c r="G34" s="1">
        <f t="shared" si="2"/>
        <v>3711004.6806000005</v>
      </c>
    </row>
    <row r="35" spans="2:7" x14ac:dyDescent="0.35">
      <c r="B35">
        <f t="shared" si="4"/>
        <v>2028</v>
      </c>
      <c r="C35" s="1">
        <f t="shared" si="5"/>
        <v>3711004.6806000005</v>
      </c>
      <c r="D35" s="1">
        <v>0</v>
      </c>
      <c r="E35" s="1">
        <f t="shared" si="0"/>
        <v>1194844.1880160042</v>
      </c>
      <c r="F35" s="1">
        <f t="shared" si="1"/>
        <v>0</v>
      </c>
      <c r="G35" s="1">
        <f t="shared" si="2"/>
        <v>3711004.6806000005</v>
      </c>
    </row>
    <row r="36" spans="2:7" x14ac:dyDescent="0.35">
      <c r="B36">
        <f t="shared" si="4"/>
        <v>2029</v>
      </c>
      <c r="C36" s="1">
        <f t="shared" si="5"/>
        <v>3711004.6806000005</v>
      </c>
      <c r="D36" s="1">
        <v>0</v>
      </c>
      <c r="E36" s="1">
        <f t="shared" si="0"/>
        <v>1066825.1678714321</v>
      </c>
      <c r="F36" s="1">
        <f t="shared" si="1"/>
        <v>0</v>
      </c>
      <c r="G36" s="1">
        <f>C36-D36</f>
        <v>3711004.6806000005</v>
      </c>
    </row>
    <row r="37" spans="2:7" x14ac:dyDescent="0.35">
      <c r="B37">
        <f t="shared" si="4"/>
        <v>2030</v>
      </c>
      <c r="C37" s="1">
        <f t="shared" si="5"/>
        <v>3711004.6806000005</v>
      </c>
      <c r="D37" s="1">
        <v>0</v>
      </c>
      <c r="E37" s="1">
        <f t="shared" si="0"/>
        <v>952522.47131377878</v>
      </c>
      <c r="F37" s="1">
        <f t="shared" si="1"/>
        <v>0</v>
      </c>
      <c r="G37" s="1">
        <f t="shared" si="2"/>
        <v>3711004.6806000005</v>
      </c>
    </row>
    <row r="38" spans="2:7" x14ac:dyDescent="0.35">
      <c r="B38">
        <f t="shared" si="4"/>
        <v>2031</v>
      </c>
      <c r="C38" s="1">
        <f t="shared" si="5"/>
        <v>3711004.6806000005</v>
      </c>
      <c r="D38" s="1">
        <v>0</v>
      </c>
      <c r="E38" s="1">
        <f t="shared" si="0"/>
        <v>850466.49224444525</v>
      </c>
      <c r="F38" s="1">
        <f t="shared" si="1"/>
        <v>0</v>
      </c>
      <c r="G38" s="1">
        <f t="shared" si="2"/>
        <v>3711004.6806000005</v>
      </c>
    </row>
    <row r="39" spans="2:7" x14ac:dyDescent="0.35">
      <c r="B39">
        <f t="shared" si="4"/>
        <v>2032</v>
      </c>
      <c r="C39" s="1">
        <f t="shared" si="5"/>
        <v>3711004.6806000005</v>
      </c>
      <c r="D39" s="1">
        <v>0</v>
      </c>
      <c r="E39" s="1">
        <f t="shared" si="0"/>
        <v>759345.08236111177</v>
      </c>
      <c r="F39" s="1">
        <f t="shared" si="1"/>
        <v>0</v>
      </c>
      <c r="G39" s="1">
        <f t="shared" si="2"/>
        <v>3711004.6806000005</v>
      </c>
    </row>
    <row r="40" spans="2:7" x14ac:dyDescent="0.35">
      <c r="B40">
        <f t="shared" si="4"/>
        <v>2033</v>
      </c>
      <c r="C40" s="1">
        <f t="shared" si="5"/>
        <v>3711004.6806000005</v>
      </c>
      <c r="D40" s="1">
        <v>0</v>
      </c>
      <c r="E40" s="1">
        <f t="shared" si="0"/>
        <v>677986.68067956413</v>
      </c>
      <c r="F40" s="1">
        <f t="shared" si="1"/>
        <v>0</v>
      </c>
      <c r="G40" s="1">
        <f t="shared" si="2"/>
        <v>3711004.6806000005</v>
      </c>
    </row>
    <row r="41" spans="2:7" x14ac:dyDescent="0.35">
      <c r="B41">
        <f t="shared" si="4"/>
        <v>2034</v>
      </c>
      <c r="C41" s="1">
        <f t="shared" si="5"/>
        <v>3711004.6806000005</v>
      </c>
      <c r="D41" s="1">
        <v>0</v>
      </c>
      <c r="E41" s="1">
        <f t="shared" si="0"/>
        <v>605345.25060675351</v>
      </c>
      <c r="F41" s="1">
        <f t="shared" si="1"/>
        <v>0</v>
      </c>
      <c r="G41" s="1">
        <f t="shared" si="2"/>
        <v>3711004.6806000005</v>
      </c>
    </row>
    <row r="42" spans="2:7" x14ac:dyDescent="0.35">
      <c r="B42">
        <f t="shared" si="4"/>
        <v>2035</v>
      </c>
      <c r="C42" s="1">
        <f t="shared" si="5"/>
        <v>3711004.6806000005</v>
      </c>
      <c r="D42" s="1">
        <v>0</v>
      </c>
      <c r="E42" s="1">
        <f t="shared" si="0"/>
        <v>540486.83089888701</v>
      </c>
      <c r="F42" s="1">
        <f t="shared" si="1"/>
        <v>0</v>
      </c>
      <c r="G42" s="1">
        <f t="shared" si="2"/>
        <v>3711004.6806000005</v>
      </c>
    </row>
    <row r="43" spans="2:7" x14ac:dyDescent="0.35">
      <c r="B43">
        <f t="shared" si="4"/>
        <v>2036</v>
      </c>
      <c r="C43" s="1">
        <f t="shared" si="5"/>
        <v>3711004.6806000005</v>
      </c>
      <c r="D43" s="1">
        <v>0</v>
      </c>
      <c r="E43" s="1">
        <f t="shared" si="0"/>
        <v>482577.52758829197</v>
      </c>
      <c r="F43" s="1">
        <f t="shared" si="1"/>
        <v>0</v>
      </c>
      <c r="G43" s="1">
        <f t="shared" si="2"/>
        <v>3711004.6806000005</v>
      </c>
    </row>
    <row r="44" spans="2:7" x14ac:dyDescent="0.35">
      <c r="B44">
        <f t="shared" si="4"/>
        <v>2037</v>
      </c>
      <c r="C44" s="1">
        <f t="shared" si="5"/>
        <v>3711004.6806000005</v>
      </c>
      <c r="D44" s="1">
        <v>0</v>
      </c>
      <c r="E44" s="1">
        <f t="shared" si="0"/>
        <v>430872.79248954635</v>
      </c>
      <c r="F44" s="1">
        <f t="shared" si="1"/>
        <v>0</v>
      </c>
      <c r="G44" s="1">
        <f t="shared" si="2"/>
        <v>3711004.6806000005</v>
      </c>
    </row>
    <row r="45" spans="2:7" x14ac:dyDescent="0.35">
      <c r="C45" s="1">
        <f>SUM(C25:C44)</f>
        <v>61103969.585550025</v>
      </c>
      <c r="D45" s="1">
        <f>SUM(D25:D44)</f>
        <v>18219000</v>
      </c>
      <c r="E45" s="1">
        <f>SUM(E25:E44)</f>
        <v>19651106.63741751</v>
      </c>
      <c r="F45" s="1">
        <f>SUM(F25:F44)</f>
        <v>14711293.549237294</v>
      </c>
      <c r="G45" s="1"/>
    </row>
    <row r="47" spans="2:7" x14ac:dyDescent="0.35">
      <c r="F47" s="9" t="s">
        <v>17</v>
      </c>
      <c r="G47" s="5">
        <f>IRR(G25:G44)</f>
        <v>0.16950676165486822</v>
      </c>
    </row>
    <row r="48" spans="2:7" x14ac:dyDescent="0.35">
      <c r="F48" s="6" t="s">
        <v>18</v>
      </c>
      <c r="G48" s="7">
        <f>E45/F45</f>
        <v>1.3357837345606036</v>
      </c>
    </row>
    <row r="49" spans="6:7" x14ac:dyDescent="0.35">
      <c r="F49" s="6" t="s">
        <v>19</v>
      </c>
      <c r="G49" s="8">
        <f>E45-F45</f>
        <v>4939813.088180216</v>
      </c>
    </row>
  </sheetData>
  <mergeCells count="7">
    <mergeCell ref="A21:A22"/>
    <mergeCell ref="A19:A20"/>
    <mergeCell ref="A1:B1"/>
    <mergeCell ref="A10:A12"/>
    <mergeCell ref="A13:A18"/>
    <mergeCell ref="A2:A4"/>
    <mergeCell ref="A6:A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zoomScale="85" zoomScaleNormal="85" workbookViewId="0">
      <selection activeCell="B3" sqref="B3"/>
    </sheetView>
  </sheetViews>
  <sheetFormatPr defaultColWidth="11" defaultRowHeight="15.5" x14ac:dyDescent="0.35"/>
  <cols>
    <col min="1" max="1" width="11.9140625" customWidth="1"/>
    <col min="2" max="2" width="50.25" customWidth="1"/>
    <col min="3" max="3" width="13.08203125" customWidth="1"/>
    <col min="4" max="4" width="33.1640625" customWidth="1"/>
    <col min="5" max="5" width="24.58203125" customWidth="1"/>
    <col min="6" max="6" width="20.5" customWidth="1"/>
    <col min="7" max="7" width="22.83203125" customWidth="1"/>
    <col min="8" max="8" width="13.58203125" bestFit="1" customWidth="1"/>
    <col min="10" max="10" width="10" bestFit="1" customWidth="1"/>
  </cols>
  <sheetData>
    <row r="1" spans="1:7" ht="16" thickBot="1" x14ac:dyDescent="0.4">
      <c r="A1" s="122"/>
      <c r="B1" s="109"/>
      <c r="C1" s="34" t="s">
        <v>28</v>
      </c>
      <c r="D1" s="35" t="s">
        <v>15</v>
      </c>
    </row>
    <row r="2" spans="1:7" ht="19.5" customHeight="1" thickBot="1" x14ac:dyDescent="0.4">
      <c r="A2" s="131" t="s">
        <v>79</v>
      </c>
      <c r="B2" s="37" t="s">
        <v>119</v>
      </c>
      <c r="C2" s="30">
        <f>C21*C13</f>
        <v>66810285</v>
      </c>
      <c r="D2" s="38" t="s">
        <v>54</v>
      </c>
    </row>
    <row r="3" spans="1:7" ht="14.5" customHeight="1" thickBot="1" x14ac:dyDescent="0.4">
      <c r="A3" s="125"/>
      <c r="B3" s="19" t="s">
        <v>36</v>
      </c>
      <c r="C3" s="18">
        <f>C21*C14</f>
        <v>356321520</v>
      </c>
      <c r="D3" s="38" t="s">
        <v>59</v>
      </c>
    </row>
    <row r="4" spans="1:7" ht="34.5" customHeight="1" thickBot="1" x14ac:dyDescent="0.4">
      <c r="A4" s="50" t="s">
        <v>16</v>
      </c>
      <c r="B4" s="51" t="s">
        <v>16</v>
      </c>
      <c r="C4" s="28">
        <v>22130000</v>
      </c>
      <c r="D4" s="31" t="s">
        <v>33</v>
      </c>
    </row>
    <row r="5" spans="1:7" ht="15.75" customHeight="1" x14ac:dyDescent="0.35">
      <c r="A5" s="123" t="s">
        <v>40</v>
      </c>
      <c r="B5" s="46" t="s">
        <v>60</v>
      </c>
      <c r="C5" s="52">
        <v>8.5000000000000006E-2</v>
      </c>
      <c r="D5" s="31" t="s">
        <v>62</v>
      </c>
    </row>
    <row r="6" spans="1:7" x14ac:dyDescent="0.35">
      <c r="A6" s="124"/>
      <c r="B6" s="19" t="s">
        <v>61</v>
      </c>
      <c r="C6" s="85">
        <v>0.18</v>
      </c>
      <c r="D6" s="26" t="s">
        <v>64</v>
      </c>
    </row>
    <row r="7" spans="1:7" x14ac:dyDescent="0.35">
      <c r="A7" s="124"/>
      <c r="B7" s="19" t="s">
        <v>87</v>
      </c>
      <c r="C7" s="85">
        <v>0.18</v>
      </c>
      <c r="D7" s="26" t="s">
        <v>64</v>
      </c>
    </row>
    <row r="8" spans="1:7" ht="15.75" customHeight="1" x14ac:dyDescent="0.35">
      <c r="A8" s="124"/>
      <c r="B8" s="19" t="s">
        <v>43</v>
      </c>
      <c r="C8" s="22">
        <v>6.5000000000000002E-2</v>
      </c>
      <c r="D8" s="26" t="s">
        <v>63</v>
      </c>
    </row>
    <row r="9" spans="1:7" x14ac:dyDescent="0.35">
      <c r="A9" s="124"/>
      <c r="B9" s="19" t="s">
        <v>86</v>
      </c>
      <c r="C9" s="85">
        <v>0.14000000000000001</v>
      </c>
      <c r="D9" s="26" t="s">
        <v>65</v>
      </c>
    </row>
    <row r="10" spans="1:7" x14ac:dyDescent="0.35">
      <c r="A10" s="124"/>
      <c r="B10" s="19" t="s">
        <v>88</v>
      </c>
      <c r="C10" s="84">
        <v>0.18</v>
      </c>
      <c r="D10" s="26" t="s">
        <v>65</v>
      </c>
    </row>
    <row r="11" spans="1:7" x14ac:dyDescent="0.35">
      <c r="A11" s="124"/>
      <c r="B11" s="19" t="s">
        <v>96</v>
      </c>
      <c r="C11" s="22">
        <v>7.9000000000000001E-2</v>
      </c>
      <c r="D11" s="26" t="s">
        <v>66</v>
      </c>
    </row>
    <row r="12" spans="1:7" ht="31" x14ac:dyDescent="0.35">
      <c r="A12" s="124"/>
      <c r="B12" s="45" t="s">
        <v>97</v>
      </c>
      <c r="C12" s="85">
        <v>0.44</v>
      </c>
      <c r="D12" s="26" t="s">
        <v>67</v>
      </c>
      <c r="F12" s="12"/>
      <c r="G12" s="12"/>
    </row>
    <row r="13" spans="1:7" ht="25.5" customHeight="1" x14ac:dyDescent="0.35">
      <c r="A13" s="125" t="s">
        <v>42</v>
      </c>
      <c r="B13" s="36" t="s">
        <v>74</v>
      </c>
      <c r="C13" s="43">
        <v>3.0000000000000001E-3</v>
      </c>
      <c r="D13" s="44" t="s">
        <v>20</v>
      </c>
      <c r="F13" s="12"/>
      <c r="G13" s="12"/>
    </row>
    <row r="14" spans="1:7" ht="29.25" customHeight="1" thickBot="1" x14ac:dyDescent="0.4">
      <c r="A14" s="126"/>
      <c r="B14" s="53" t="s">
        <v>75</v>
      </c>
      <c r="C14" s="54">
        <v>1.6E-2</v>
      </c>
      <c r="D14" s="55" t="s">
        <v>20</v>
      </c>
      <c r="F14" s="12"/>
      <c r="G14" s="12"/>
    </row>
    <row r="15" spans="1:7" ht="16" thickBot="1" x14ac:dyDescent="0.4">
      <c r="A15" s="127" t="s">
        <v>34</v>
      </c>
      <c r="B15" s="46" t="s">
        <v>70</v>
      </c>
      <c r="C15" s="52">
        <v>0.19</v>
      </c>
      <c r="D15" s="31" t="s">
        <v>33</v>
      </c>
      <c r="F15" s="12"/>
      <c r="G15" s="12"/>
    </row>
    <row r="16" spans="1:7" ht="16" thickBot="1" x14ac:dyDescent="0.4">
      <c r="A16" s="128"/>
      <c r="B16" s="49" t="s">
        <v>71</v>
      </c>
      <c r="C16" s="72">
        <v>0.23</v>
      </c>
      <c r="D16" s="31" t="s">
        <v>33</v>
      </c>
      <c r="F16" s="12"/>
      <c r="G16" s="12"/>
    </row>
    <row r="17" spans="1:7" ht="16" thickBot="1" x14ac:dyDescent="0.4">
      <c r="A17" s="128"/>
      <c r="B17" s="46" t="s">
        <v>72</v>
      </c>
      <c r="C17" s="72">
        <v>0.16</v>
      </c>
      <c r="D17" s="31" t="s">
        <v>33</v>
      </c>
      <c r="F17" s="12"/>
      <c r="G17" s="12"/>
    </row>
    <row r="18" spans="1:7" x14ac:dyDescent="0.35">
      <c r="A18" s="129"/>
      <c r="B18" s="46" t="s">
        <v>73</v>
      </c>
      <c r="C18" s="22">
        <v>0.28999999999999998</v>
      </c>
      <c r="D18" s="26" t="s">
        <v>33</v>
      </c>
      <c r="F18" s="12"/>
      <c r="G18" s="12"/>
    </row>
    <row r="19" spans="1:7" x14ac:dyDescent="0.35">
      <c r="A19" s="129"/>
      <c r="B19" s="19" t="s">
        <v>23</v>
      </c>
      <c r="C19" s="24">
        <v>21517000000</v>
      </c>
      <c r="D19" s="26" t="s">
        <v>26</v>
      </c>
    </row>
    <row r="20" spans="1:7" x14ac:dyDescent="0.35">
      <c r="A20" s="129"/>
      <c r="B20" s="19" t="s">
        <v>24</v>
      </c>
      <c r="C20" s="22">
        <v>3.5000000000000003E-2</v>
      </c>
      <c r="D20" s="26" t="s">
        <v>26</v>
      </c>
    </row>
    <row r="21" spans="1:7" ht="16" thickBot="1" x14ac:dyDescent="0.4">
      <c r="A21" s="130"/>
      <c r="B21" s="51" t="s">
        <v>25</v>
      </c>
      <c r="C21" s="28">
        <f>C19*(1+C20)</f>
        <v>22270095000</v>
      </c>
      <c r="D21" s="29"/>
    </row>
    <row r="22" spans="1:7" x14ac:dyDescent="0.35">
      <c r="A22" s="116" t="s">
        <v>83</v>
      </c>
      <c r="B22" s="49"/>
      <c r="C22" s="56" t="s">
        <v>46</v>
      </c>
      <c r="D22" s="57" t="s">
        <v>47</v>
      </c>
      <c r="E22" s="56" t="s">
        <v>46</v>
      </c>
      <c r="F22" s="57" t="s">
        <v>47</v>
      </c>
    </row>
    <row r="23" spans="1:7" x14ac:dyDescent="0.35">
      <c r="A23" s="117"/>
      <c r="B23" s="20" t="s">
        <v>68</v>
      </c>
      <c r="C23" s="18">
        <f>C3*C15</f>
        <v>67701088.799999997</v>
      </c>
      <c r="D23" s="47">
        <f>C3*C17</f>
        <v>57011443.200000003</v>
      </c>
      <c r="E23" t="s">
        <v>99</v>
      </c>
      <c r="F23" t="s">
        <v>101</v>
      </c>
    </row>
    <row r="24" spans="1:7" ht="16" thickBot="1" x14ac:dyDescent="0.4">
      <c r="A24" s="118"/>
      <c r="B24" s="20" t="s">
        <v>69</v>
      </c>
      <c r="C24" s="18">
        <f>C2*C16</f>
        <v>15366365.550000001</v>
      </c>
      <c r="D24" s="47">
        <f>C2*C18</f>
        <v>19374982.649999999</v>
      </c>
      <c r="E24" t="s">
        <v>100</v>
      </c>
      <c r="F24" t="s">
        <v>102</v>
      </c>
    </row>
    <row r="25" spans="1:7" x14ac:dyDescent="0.35">
      <c r="A25" s="119" t="s">
        <v>35</v>
      </c>
      <c r="B25" s="17" t="s">
        <v>37</v>
      </c>
      <c r="C25" s="18">
        <f>C23*C5+C24*C11</f>
        <v>6968535.4264500001</v>
      </c>
      <c r="D25" s="47">
        <f>D23*C8+D24*C11</f>
        <v>5236367.4373500003</v>
      </c>
      <c r="E25" t="s">
        <v>103</v>
      </c>
      <c r="F25" t="s">
        <v>104</v>
      </c>
    </row>
    <row r="26" spans="1:7" x14ac:dyDescent="0.35">
      <c r="A26" s="120"/>
      <c r="B26" s="17" t="s">
        <v>38</v>
      </c>
      <c r="C26" s="18">
        <f>C23*C6+C24*C12</f>
        <v>18947396.825999998</v>
      </c>
      <c r="D26" s="47">
        <f>D23*C9+D24*C12</f>
        <v>16506594.414000001</v>
      </c>
      <c r="E26" t="s">
        <v>105</v>
      </c>
      <c r="F26" t="s">
        <v>106</v>
      </c>
    </row>
    <row r="27" spans="1:7" ht="16" thickBot="1" x14ac:dyDescent="0.4">
      <c r="A27" s="121"/>
      <c r="B27" s="32" t="s">
        <v>39</v>
      </c>
      <c r="C27" s="28">
        <f>C23*C7+C24*C12</f>
        <v>18947396.825999998</v>
      </c>
      <c r="D27" s="48">
        <f>D23*C10+D24*C12</f>
        <v>18787052.141999997</v>
      </c>
      <c r="E27" t="s">
        <v>107</v>
      </c>
      <c r="F27" t="s">
        <v>108</v>
      </c>
    </row>
    <row r="29" spans="1:7" x14ac:dyDescent="0.35">
      <c r="B29" s="3" t="s">
        <v>13</v>
      </c>
      <c r="C29" s="3" t="s">
        <v>11</v>
      </c>
      <c r="D29" s="3" t="s">
        <v>12</v>
      </c>
      <c r="E29" s="3" t="s">
        <v>9</v>
      </c>
      <c r="F29" s="3" t="s">
        <v>10</v>
      </c>
      <c r="G29" s="3" t="s">
        <v>8</v>
      </c>
    </row>
    <row r="30" spans="1:7" x14ac:dyDescent="0.35">
      <c r="B30">
        <v>2018</v>
      </c>
      <c r="C30" s="1">
        <v>0</v>
      </c>
      <c r="D30" s="1">
        <f>$C$4/5</f>
        <v>4426000</v>
      </c>
      <c r="E30" s="1">
        <f>C30/1.12^(B30-2018)</f>
        <v>0</v>
      </c>
      <c r="F30" s="1">
        <f>D30/1.12^(B30-2018)</f>
        <v>4426000</v>
      </c>
      <c r="G30" s="1">
        <f>C30-D30</f>
        <v>-4426000</v>
      </c>
    </row>
    <row r="31" spans="1:7" x14ac:dyDescent="0.35">
      <c r="B31">
        <f>B30+1</f>
        <v>2019</v>
      </c>
      <c r="C31" s="1">
        <v>0</v>
      </c>
      <c r="D31" s="1">
        <f t="shared" ref="D31:D34" si="0">$C$4/5</f>
        <v>4426000</v>
      </c>
      <c r="E31" s="1">
        <f t="shared" ref="E31:E49" si="1">C31/1.12^(B31-2018)</f>
        <v>0</v>
      </c>
      <c r="F31" s="1">
        <f t="shared" ref="F31:F49" si="2">D31/1.12^(B31-2018)</f>
        <v>3951785.7142857141</v>
      </c>
      <c r="G31" s="1">
        <f t="shared" ref="G31:G49" si="3">C31-D31</f>
        <v>-4426000</v>
      </c>
    </row>
    <row r="32" spans="1:7" x14ac:dyDescent="0.35">
      <c r="B32">
        <f t="shared" ref="B32:B49" si="4">B31+1</f>
        <v>2020</v>
      </c>
      <c r="C32" s="1">
        <v>0</v>
      </c>
      <c r="D32" s="1">
        <f t="shared" si="0"/>
        <v>4426000</v>
      </c>
      <c r="E32" s="1">
        <f t="shared" si="1"/>
        <v>0</v>
      </c>
      <c r="F32" s="1">
        <f t="shared" si="2"/>
        <v>3528380.1020408156</v>
      </c>
      <c r="G32" s="1">
        <f t="shared" si="3"/>
        <v>-4426000</v>
      </c>
    </row>
    <row r="33" spans="2:7" x14ac:dyDescent="0.35">
      <c r="B33">
        <f t="shared" si="4"/>
        <v>2021</v>
      </c>
      <c r="C33" s="1">
        <f>C25+D25</f>
        <v>12204902.8638</v>
      </c>
      <c r="D33" s="1">
        <f t="shared" si="0"/>
        <v>4426000</v>
      </c>
      <c r="E33" s="1">
        <f t="shared" si="1"/>
        <v>8687208.7849341724</v>
      </c>
      <c r="F33" s="1">
        <f t="shared" si="2"/>
        <v>3150339.3768221564</v>
      </c>
      <c r="G33" s="1">
        <f t="shared" si="3"/>
        <v>7778902.8638000004</v>
      </c>
    </row>
    <row r="34" spans="2:7" x14ac:dyDescent="0.35">
      <c r="B34">
        <f t="shared" si="4"/>
        <v>2022</v>
      </c>
      <c r="C34" s="1">
        <f>$C$26+$D$26</f>
        <v>35453991.239999995</v>
      </c>
      <c r="D34" s="1">
        <f t="shared" si="0"/>
        <v>4426000</v>
      </c>
      <c r="E34" s="1">
        <f t="shared" si="1"/>
        <v>22531652.384626515</v>
      </c>
      <c r="F34" s="1">
        <f t="shared" si="2"/>
        <v>2812803.0150197828</v>
      </c>
      <c r="G34" s="1">
        <f t="shared" si="3"/>
        <v>31027991.239999995</v>
      </c>
    </row>
    <row r="35" spans="2:7" x14ac:dyDescent="0.35">
      <c r="B35">
        <f t="shared" si="4"/>
        <v>2023</v>
      </c>
      <c r="C35" s="1">
        <f>$C$27+$D$27</f>
        <v>37734448.967999995</v>
      </c>
      <c r="D35" s="1">
        <v>0</v>
      </c>
      <c r="E35" s="1">
        <f t="shared" si="1"/>
        <v>21411539.730186179</v>
      </c>
      <c r="F35" s="1">
        <f t="shared" si="2"/>
        <v>0</v>
      </c>
      <c r="G35" s="1">
        <f t="shared" si="3"/>
        <v>37734448.967999995</v>
      </c>
    </row>
    <row r="36" spans="2:7" x14ac:dyDescent="0.35">
      <c r="B36">
        <f t="shared" si="4"/>
        <v>2024</v>
      </c>
      <c r="C36" s="1">
        <f t="shared" ref="C36:C49" si="5">$C$27+$D$27</f>
        <v>37734448.967999995</v>
      </c>
      <c r="D36" s="1">
        <v>0</v>
      </c>
      <c r="E36" s="1">
        <f t="shared" si="1"/>
        <v>19117446.18766623</v>
      </c>
      <c r="F36" s="1">
        <f t="shared" si="2"/>
        <v>0</v>
      </c>
      <c r="G36" s="1">
        <f t="shared" si="3"/>
        <v>37734448.967999995</v>
      </c>
    </row>
    <row r="37" spans="2:7" x14ac:dyDescent="0.35">
      <c r="B37">
        <f t="shared" si="4"/>
        <v>2025</v>
      </c>
      <c r="C37" s="1">
        <f t="shared" si="5"/>
        <v>37734448.967999995</v>
      </c>
      <c r="D37" s="1">
        <v>0</v>
      </c>
      <c r="E37" s="1">
        <f t="shared" si="1"/>
        <v>17069148.381844845</v>
      </c>
      <c r="F37" s="1">
        <f t="shared" si="2"/>
        <v>0</v>
      </c>
      <c r="G37" s="1">
        <f t="shared" si="3"/>
        <v>37734448.967999995</v>
      </c>
    </row>
    <row r="38" spans="2:7" x14ac:dyDescent="0.35">
      <c r="B38">
        <f t="shared" si="4"/>
        <v>2026</v>
      </c>
      <c r="C38" s="1">
        <f t="shared" si="5"/>
        <v>37734448.967999995</v>
      </c>
      <c r="D38" s="1">
        <v>0</v>
      </c>
      <c r="E38" s="1">
        <f t="shared" si="1"/>
        <v>15240311.055218611</v>
      </c>
      <c r="F38" s="1">
        <f t="shared" si="2"/>
        <v>0</v>
      </c>
      <c r="G38" s="1">
        <f t="shared" si="3"/>
        <v>37734448.967999995</v>
      </c>
    </row>
    <row r="39" spans="2:7" x14ac:dyDescent="0.35">
      <c r="B39">
        <f t="shared" si="4"/>
        <v>2027</v>
      </c>
      <c r="C39" s="1">
        <f t="shared" si="5"/>
        <v>37734448.967999995</v>
      </c>
      <c r="D39" s="1">
        <v>0</v>
      </c>
      <c r="E39" s="1">
        <f t="shared" si="1"/>
        <v>13607420.585016618</v>
      </c>
      <c r="F39" s="1">
        <f t="shared" si="2"/>
        <v>0</v>
      </c>
      <c r="G39" s="1">
        <f t="shared" si="3"/>
        <v>37734448.967999995</v>
      </c>
    </row>
    <row r="40" spans="2:7" x14ac:dyDescent="0.35">
      <c r="B40">
        <f t="shared" si="4"/>
        <v>2028</v>
      </c>
      <c r="C40" s="1">
        <f t="shared" si="5"/>
        <v>37734448.967999995</v>
      </c>
      <c r="D40" s="1">
        <v>0</v>
      </c>
      <c r="E40" s="1">
        <f t="shared" si="1"/>
        <v>12149482.665193407</v>
      </c>
      <c r="F40" s="1">
        <f t="shared" si="2"/>
        <v>0</v>
      </c>
      <c r="G40" s="1">
        <f t="shared" si="3"/>
        <v>37734448.967999995</v>
      </c>
    </row>
    <row r="41" spans="2:7" x14ac:dyDescent="0.35">
      <c r="B41">
        <f t="shared" si="4"/>
        <v>2029</v>
      </c>
      <c r="C41" s="1">
        <f t="shared" si="5"/>
        <v>37734448.967999995</v>
      </c>
      <c r="D41" s="1">
        <v>0</v>
      </c>
      <c r="E41" s="1">
        <f t="shared" si="1"/>
        <v>10847752.379636969</v>
      </c>
      <c r="F41" s="1">
        <f t="shared" si="2"/>
        <v>0</v>
      </c>
      <c r="G41" s="1">
        <f t="shared" si="3"/>
        <v>37734448.967999995</v>
      </c>
    </row>
    <row r="42" spans="2:7" x14ac:dyDescent="0.35">
      <c r="B42">
        <f t="shared" si="4"/>
        <v>2030</v>
      </c>
      <c r="C42" s="1">
        <f t="shared" si="5"/>
        <v>37734448.967999995</v>
      </c>
      <c r="D42" s="1">
        <v>0</v>
      </c>
      <c r="E42" s="1">
        <f t="shared" si="1"/>
        <v>9685493.1961044371</v>
      </c>
      <c r="F42" s="1">
        <f t="shared" si="2"/>
        <v>0</v>
      </c>
      <c r="G42" s="1">
        <f t="shared" si="3"/>
        <v>37734448.967999995</v>
      </c>
    </row>
    <row r="43" spans="2:7" x14ac:dyDescent="0.35">
      <c r="B43">
        <f t="shared" si="4"/>
        <v>2031</v>
      </c>
      <c r="C43" s="1">
        <f t="shared" si="5"/>
        <v>37734448.967999995</v>
      </c>
      <c r="D43" s="1">
        <v>0</v>
      </c>
      <c r="E43" s="1">
        <f t="shared" si="1"/>
        <v>8647761.782236103</v>
      </c>
      <c r="F43" s="1">
        <f t="shared" si="2"/>
        <v>0</v>
      </c>
      <c r="G43" s="1">
        <f t="shared" si="3"/>
        <v>37734448.967999995</v>
      </c>
    </row>
    <row r="44" spans="2:7" x14ac:dyDescent="0.35">
      <c r="B44">
        <f t="shared" si="4"/>
        <v>2032</v>
      </c>
      <c r="C44" s="1">
        <f t="shared" si="5"/>
        <v>37734448.967999995</v>
      </c>
      <c r="D44" s="1">
        <v>0</v>
      </c>
      <c r="E44" s="1">
        <f>C44/1.12^(B44-2018)</f>
        <v>7721215.87699652</v>
      </c>
      <c r="F44" s="1">
        <f t="shared" si="2"/>
        <v>0</v>
      </c>
      <c r="G44" s="1">
        <f t="shared" si="3"/>
        <v>37734448.967999995</v>
      </c>
    </row>
    <row r="45" spans="2:7" x14ac:dyDescent="0.35">
      <c r="B45">
        <f t="shared" si="4"/>
        <v>2033</v>
      </c>
      <c r="C45" s="1">
        <f t="shared" si="5"/>
        <v>37734448.967999995</v>
      </c>
      <c r="D45" s="1">
        <v>0</v>
      </c>
      <c r="E45" s="1">
        <f t="shared" si="1"/>
        <v>6893942.7473183218</v>
      </c>
      <c r="F45" s="1">
        <f t="shared" si="2"/>
        <v>0</v>
      </c>
      <c r="G45" s="1">
        <f t="shared" si="3"/>
        <v>37734448.967999995</v>
      </c>
    </row>
    <row r="46" spans="2:7" x14ac:dyDescent="0.35">
      <c r="B46">
        <f t="shared" si="4"/>
        <v>2034</v>
      </c>
      <c r="C46" s="1">
        <f t="shared" si="5"/>
        <v>37734448.967999995</v>
      </c>
      <c r="D46" s="1">
        <v>0</v>
      </c>
      <c r="E46" s="1">
        <f t="shared" si="1"/>
        <v>6155306.0243913578</v>
      </c>
      <c r="F46" s="1">
        <f t="shared" si="2"/>
        <v>0</v>
      </c>
      <c r="G46" s="1">
        <f t="shared" si="3"/>
        <v>37734448.967999995</v>
      </c>
    </row>
    <row r="47" spans="2:7" x14ac:dyDescent="0.35">
      <c r="B47">
        <f t="shared" si="4"/>
        <v>2035</v>
      </c>
      <c r="C47" s="1">
        <f t="shared" si="5"/>
        <v>37734448.967999995</v>
      </c>
      <c r="D47" s="1">
        <v>0</v>
      </c>
      <c r="E47" s="1">
        <f t="shared" si="1"/>
        <v>5495808.9503494259</v>
      </c>
      <c r="F47" s="1">
        <f t="shared" si="2"/>
        <v>0</v>
      </c>
      <c r="G47" s="1">
        <f t="shared" si="3"/>
        <v>37734448.967999995</v>
      </c>
    </row>
    <row r="48" spans="2:7" x14ac:dyDescent="0.35">
      <c r="B48">
        <f t="shared" si="4"/>
        <v>2036</v>
      </c>
      <c r="C48" s="1">
        <f t="shared" si="5"/>
        <v>37734448.967999995</v>
      </c>
      <c r="D48" s="1">
        <v>0</v>
      </c>
      <c r="E48" s="1">
        <f t="shared" si="1"/>
        <v>4906972.2770977011</v>
      </c>
      <c r="F48" s="1">
        <f t="shared" si="2"/>
        <v>0</v>
      </c>
      <c r="G48" s="1">
        <f t="shared" si="3"/>
        <v>37734448.967999995</v>
      </c>
    </row>
    <row r="49" spans="2:7" x14ac:dyDescent="0.35">
      <c r="B49">
        <f t="shared" si="4"/>
        <v>2037</v>
      </c>
      <c r="C49" s="1">
        <f t="shared" si="5"/>
        <v>37734448.967999995</v>
      </c>
      <c r="D49" s="1">
        <v>0</v>
      </c>
      <c r="E49" s="1">
        <f t="shared" si="1"/>
        <v>4381225.247408662</v>
      </c>
      <c r="F49" s="1">
        <f t="shared" si="2"/>
        <v>0</v>
      </c>
      <c r="G49" s="1">
        <f t="shared" si="3"/>
        <v>37734448.967999995</v>
      </c>
    </row>
    <row r="50" spans="2:7" x14ac:dyDescent="0.35">
      <c r="C50" s="1"/>
      <c r="D50" s="1">
        <f>SUM(D30:D49)</f>
        <v>22130000</v>
      </c>
      <c r="E50" s="1">
        <f>SUM(E30:E49)</f>
        <v>194549688.25622606</v>
      </c>
      <c r="F50" s="1">
        <f>SUM(F30:F49)</f>
        <v>17869308.208168469</v>
      </c>
      <c r="G50" s="1"/>
    </row>
    <row r="51" spans="2:7" x14ac:dyDescent="0.35">
      <c r="C51" s="1"/>
      <c r="D51" s="1"/>
      <c r="E51" s="1"/>
      <c r="F51" s="1"/>
      <c r="G51" s="1"/>
    </row>
    <row r="52" spans="2:7" x14ac:dyDescent="0.35">
      <c r="F52" s="9" t="s">
        <v>17</v>
      </c>
      <c r="G52" s="10">
        <f>IRR(G30:G49)</f>
        <v>0.8259993140314954</v>
      </c>
    </row>
    <row r="53" spans="2:7" x14ac:dyDescent="0.35">
      <c r="F53" s="6" t="s">
        <v>18</v>
      </c>
      <c r="G53" s="7">
        <f>E50/F50</f>
        <v>10.8873654195126</v>
      </c>
    </row>
    <row r="54" spans="2:7" x14ac:dyDescent="0.35">
      <c r="F54" s="6" t="s">
        <v>19</v>
      </c>
      <c r="G54" s="8">
        <f>E50-F50</f>
        <v>176680380.04805759</v>
      </c>
    </row>
  </sheetData>
  <mergeCells count="7">
    <mergeCell ref="A22:A24"/>
    <mergeCell ref="A25:A27"/>
    <mergeCell ref="A1:B1"/>
    <mergeCell ref="A5:A12"/>
    <mergeCell ref="A13:A14"/>
    <mergeCell ref="A15:A21"/>
    <mergeCell ref="A2: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4"/>
  <sheetViews>
    <sheetView zoomScale="85" zoomScaleNormal="85" workbookViewId="0">
      <selection activeCell="C6" sqref="C6:C7"/>
    </sheetView>
  </sheetViews>
  <sheetFormatPr defaultColWidth="11" defaultRowHeight="15.5" x14ac:dyDescent="0.35"/>
  <cols>
    <col min="1" max="1" width="12.5" customWidth="1"/>
    <col min="2" max="2" width="33.1640625" customWidth="1"/>
    <col min="3" max="3" width="14.5" customWidth="1"/>
    <col min="4" max="4" width="45.08203125" customWidth="1"/>
    <col min="5" max="5" width="79.83203125" customWidth="1"/>
    <col min="6" max="6" width="20.5" customWidth="1"/>
    <col min="7" max="7" width="22.83203125" customWidth="1"/>
    <col min="8" max="8" width="10" bestFit="1" customWidth="1"/>
    <col min="10" max="10" width="10" bestFit="1" customWidth="1"/>
  </cols>
  <sheetData>
    <row r="1" spans="1:12" x14ac:dyDescent="0.35">
      <c r="A1" s="110"/>
      <c r="B1" s="110"/>
      <c r="C1" s="74" t="s">
        <v>28</v>
      </c>
      <c r="D1" s="35" t="s">
        <v>15</v>
      </c>
    </row>
    <row r="2" spans="1:12" ht="46.5" x14ac:dyDescent="0.35">
      <c r="A2" s="132" t="s">
        <v>79</v>
      </c>
      <c r="B2" s="58" t="s">
        <v>127</v>
      </c>
      <c r="C2" s="18">
        <f>C14*C8</f>
        <v>33405142.5</v>
      </c>
      <c r="D2" s="81" t="s">
        <v>91</v>
      </c>
      <c r="E2">
        <v>1</v>
      </c>
      <c r="F2">
        <v>0.1</v>
      </c>
      <c r="H2" s="75"/>
      <c r="K2" s="78"/>
      <c r="L2" s="78"/>
    </row>
    <row r="3" spans="1:12" ht="46.5" x14ac:dyDescent="0.35">
      <c r="A3" s="133"/>
      <c r="B3" s="58" t="s">
        <v>128</v>
      </c>
      <c r="C3" s="18">
        <f>C2*C9</f>
        <v>21412696.342500001</v>
      </c>
      <c r="D3" s="82" t="s">
        <v>93</v>
      </c>
      <c r="E3">
        <v>5.4399999999999997E-2</v>
      </c>
      <c r="F3">
        <v>5.4399999999999997E-2</v>
      </c>
      <c r="H3" s="75"/>
      <c r="K3" s="78"/>
      <c r="L3" s="78"/>
    </row>
    <row r="4" spans="1:12" ht="31" x14ac:dyDescent="0.35">
      <c r="A4" s="45" t="s">
        <v>16</v>
      </c>
      <c r="B4" s="19" t="s">
        <v>16</v>
      </c>
      <c r="C4" s="18">
        <v>16000000</v>
      </c>
      <c r="D4" s="19"/>
      <c r="E4" s="104">
        <f>E2-E3</f>
        <v>0.9456</v>
      </c>
      <c r="F4">
        <f>F2-F3</f>
        <v>4.5600000000000009E-2</v>
      </c>
      <c r="G4" s="105">
        <f>F4/E4</f>
        <v>4.8223350253807119E-2</v>
      </c>
    </row>
    <row r="5" spans="1:12" ht="81.5" customHeight="1" x14ac:dyDescent="0.35">
      <c r="A5" s="124" t="s">
        <v>40</v>
      </c>
      <c r="B5" s="45" t="s">
        <v>129</v>
      </c>
      <c r="C5" s="23">
        <v>4.82E-2</v>
      </c>
      <c r="D5" s="83" t="s">
        <v>131</v>
      </c>
      <c r="E5">
        <v>21412696.342500001</v>
      </c>
    </row>
    <row r="6" spans="1:12" ht="79" customHeight="1" x14ac:dyDescent="0.35">
      <c r="A6" s="124"/>
      <c r="B6" s="45" t="s">
        <v>134</v>
      </c>
      <c r="C6" s="89">
        <v>0.14560000000000001</v>
      </c>
      <c r="D6" s="83" t="s">
        <v>133</v>
      </c>
      <c r="E6" s="80" t="s">
        <v>130</v>
      </c>
    </row>
    <row r="7" spans="1:12" ht="63.5" customHeight="1" x14ac:dyDescent="0.35">
      <c r="A7" s="124"/>
      <c r="B7" s="45" t="s">
        <v>135</v>
      </c>
      <c r="C7" s="89">
        <v>9.3600000000000003E-2</v>
      </c>
      <c r="D7" s="83" t="s">
        <v>132</v>
      </c>
      <c r="E7">
        <v>64</v>
      </c>
      <c r="F7">
        <v>58</v>
      </c>
      <c r="G7">
        <f>E7-F7</f>
        <v>6</v>
      </c>
    </row>
    <row r="8" spans="1:12" ht="47" customHeight="1" x14ac:dyDescent="0.35">
      <c r="A8" s="124" t="s">
        <v>41</v>
      </c>
      <c r="B8" s="58" t="s">
        <v>90</v>
      </c>
      <c r="C8" s="23">
        <v>1.5E-3</v>
      </c>
      <c r="D8" s="82" t="s">
        <v>136</v>
      </c>
      <c r="E8">
        <v>0.64</v>
      </c>
      <c r="G8">
        <f>G7/E7</f>
        <v>9.375E-2</v>
      </c>
    </row>
    <row r="9" spans="1:12" ht="63" customHeight="1" x14ac:dyDescent="0.35">
      <c r="A9" s="124"/>
      <c r="B9" s="79" t="s">
        <v>92</v>
      </c>
      <c r="C9" s="23">
        <v>0.64100000000000001</v>
      </c>
      <c r="D9" s="82" t="s">
        <v>94</v>
      </c>
      <c r="E9">
        <v>9.4600000000000004E-2</v>
      </c>
    </row>
    <row r="10" spans="1:12" ht="45" customHeight="1" x14ac:dyDescent="0.35">
      <c r="A10" s="124" t="s">
        <v>34</v>
      </c>
      <c r="B10" s="45" t="s">
        <v>81</v>
      </c>
      <c r="C10" s="21">
        <v>0.64</v>
      </c>
      <c r="D10" s="83" t="s">
        <v>80</v>
      </c>
      <c r="E10">
        <f>E8*E9</f>
        <v>6.0544000000000001E-2</v>
      </c>
    </row>
    <row r="11" spans="1:12" ht="46.5" customHeight="1" x14ac:dyDescent="0.35">
      <c r="A11" s="124"/>
      <c r="B11" s="45" t="s">
        <v>82</v>
      </c>
      <c r="C11" s="23">
        <v>5.4399999999999997E-2</v>
      </c>
      <c r="D11" s="83" t="s">
        <v>124</v>
      </c>
      <c r="E11">
        <f>E8-E10</f>
        <v>0.57945599999999997</v>
      </c>
    </row>
    <row r="12" spans="1:12" x14ac:dyDescent="0.35">
      <c r="A12" s="124"/>
      <c r="B12" s="19" t="s">
        <v>23</v>
      </c>
      <c r="C12" s="24">
        <v>21517000000</v>
      </c>
      <c r="D12" s="19" t="s">
        <v>26</v>
      </c>
      <c r="F12" s="12"/>
      <c r="G12" s="12"/>
    </row>
    <row r="13" spans="1:12" x14ac:dyDescent="0.35">
      <c r="A13" s="124"/>
      <c r="B13" s="19" t="s">
        <v>24</v>
      </c>
      <c r="C13" s="22">
        <v>3.5000000000000003E-2</v>
      </c>
      <c r="D13" s="19" t="s">
        <v>26</v>
      </c>
      <c r="F13" s="12"/>
      <c r="G13" s="12"/>
    </row>
    <row r="14" spans="1:12" x14ac:dyDescent="0.35">
      <c r="A14" s="124"/>
      <c r="B14" s="19" t="s">
        <v>25</v>
      </c>
      <c r="C14" s="18">
        <f>C12*(1+C13)</f>
        <v>22270095000</v>
      </c>
      <c r="D14" s="19"/>
      <c r="F14" s="12"/>
      <c r="G14" s="12"/>
    </row>
    <row r="15" spans="1:12" ht="31.5" customHeight="1" x14ac:dyDescent="0.35">
      <c r="A15" s="124" t="s">
        <v>35</v>
      </c>
      <c r="B15" s="17" t="s">
        <v>37</v>
      </c>
      <c r="C15" s="18">
        <f>C3*C5</f>
        <v>1032091.9637085</v>
      </c>
      <c r="D15" s="19" t="s">
        <v>121</v>
      </c>
      <c r="E15" t="s">
        <v>45</v>
      </c>
      <c r="F15">
        <v>1032091.9637085</v>
      </c>
    </row>
    <row r="16" spans="1:12" x14ac:dyDescent="0.35">
      <c r="A16" s="124"/>
      <c r="B16" s="17" t="s">
        <v>89</v>
      </c>
      <c r="C16" s="18">
        <f>C3*C6</f>
        <v>3117688.5874680001</v>
      </c>
      <c r="D16" s="19" t="s">
        <v>122</v>
      </c>
      <c r="F16">
        <v>3117688.5874680001</v>
      </c>
    </row>
    <row r="17" spans="1:7" x14ac:dyDescent="0.35">
      <c r="A17" s="124"/>
      <c r="B17" s="17" t="s">
        <v>39</v>
      </c>
      <c r="C17" s="18">
        <f>C3*C7</f>
        <v>2004228.3776580002</v>
      </c>
      <c r="D17" s="20" t="s">
        <v>123</v>
      </c>
      <c r="F17">
        <v>2004228.377658</v>
      </c>
    </row>
    <row r="18" spans="1:7" x14ac:dyDescent="0.35">
      <c r="A18" s="59"/>
      <c r="B18" s="60"/>
    </row>
    <row r="19" spans="1:7" x14ac:dyDescent="0.35">
      <c r="B19" s="3" t="s">
        <v>13</v>
      </c>
      <c r="C19" s="3" t="s">
        <v>11</v>
      </c>
      <c r="D19" s="3" t="s">
        <v>12</v>
      </c>
      <c r="E19" s="3" t="s">
        <v>9</v>
      </c>
      <c r="F19" s="3" t="s">
        <v>10</v>
      </c>
      <c r="G19" s="3" t="s">
        <v>8</v>
      </c>
    </row>
    <row r="20" spans="1:7" x14ac:dyDescent="0.35">
      <c r="B20">
        <v>2018</v>
      </c>
      <c r="C20" s="1">
        <v>0</v>
      </c>
      <c r="D20" s="1">
        <f>$C$4/5</f>
        <v>3200000</v>
      </c>
      <c r="E20" s="1">
        <f>C20/1.12^(B20-2018)</f>
        <v>0</v>
      </c>
      <c r="F20" s="1">
        <f>D20/1.12^(B20-2018)</f>
        <v>3200000</v>
      </c>
      <c r="G20" s="1">
        <f>C20-D20</f>
        <v>-3200000</v>
      </c>
    </row>
    <row r="21" spans="1:7" x14ac:dyDescent="0.35">
      <c r="B21">
        <f>B20+1</f>
        <v>2019</v>
      </c>
      <c r="C21" s="1">
        <v>0</v>
      </c>
      <c r="D21" s="1">
        <f t="shared" ref="D21:D24" si="0">$C$4/5</f>
        <v>3200000</v>
      </c>
      <c r="E21" s="1">
        <f t="shared" ref="E21:E38" si="1">C21/1.12^(B21-2018)</f>
        <v>0</v>
      </c>
      <c r="F21" s="1">
        <f t="shared" ref="F21:F39" si="2">D21/1.12^(B21-2018)</f>
        <v>2857142.8571428568</v>
      </c>
      <c r="G21" s="1">
        <f t="shared" ref="G21:G39" si="3">C21-D21</f>
        <v>-3200000</v>
      </c>
    </row>
    <row r="22" spans="1:7" x14ac:dyDescent="0.35">
      <c r="B22">
        <f t="shared" ref="B22:B39" si="4">B21+1</f>
        <v>2020</v>
      </c>
      <c r="C22" s="1">
        <v>0</v>
      </c>
      <c r="D22" s="1">
        <f t="shared" si="0"/>
        <v>3200000</v>
      </c>
      <c r="E22" s="1">
        <f t="shared" si="1"/>
        <v>0</v>
      </c>
      <c r="F22" s="1">
        <f t="shared" si="2"/>
        <v>2551020.4081632649</v>
      </c>
      <c r="G22" s="1">
        <f t="shared" si="3"/>
        <v>-3200000</v>
      </c>
    </row>
    <row r="23" spans="1:7" x14ac:dyDescent="0.35">
      <c r="B23">
        <f t="shared" si="4"/>
        <v>2021</v>
      </c>
      <c r="C23" s="1">
        <f>C15</f>
        <v>1032091.9637085</v>
      </c>
      <c r="D23" s="1">
        <f t="shared" si="0"/>
        <v>3200000</v>
      </c>
      <c r="E23" s="1">
        <f t="shared" si="1"/>
        <v>734622.67369466601</v>
      </c>
      <c r="F23" s="1">
        <f t="shared" si="2"/>
        <v>2277696.7930029146</v>
      </c>
      <c r="G23" s="1">
        <f t="shared" si="3"/>
        <v>-2167908.0362915001</v>
      </c>
    </row>
    <row r="24" spans="1:7" x14ac:dyDescent="0.35">
      <c r="B24">
        <f t="shared" si="4"/>
        <v>2022</v>
      </c>
      <c r="C24" s="1">
        <f>$C$16</f>
        <v>3117688.5874680001</v>
      </c>
      <c r="D24" s="1">
        <f t="shared" si="0"/>
        <v>3200000</v>
      </c>
      <c r="E24" s="1">
        <f t="shared" si="1"/>
        <v>1981347.4601723359</v>
      </c>
      <c r="F24" s="1">
        <f t="shared" si="2"/>
        <v>2033657.8508954598</v>
      </c>
      <c r="G24" s="1">
        <f t="shared" si="3"/>
        <v>-82311.412531999871</v>
      </c>
    </row>
    <row r="25" spans="1:7" x14ac:dyDescent="0.35">
      <c r="B25">
        <f t="shared" si="4"/>
        <v>2023</v>
      </c>
      <c r="C25" s="1">
        <f>$C$17</f>
        <v>2004228.3776580002</v>
      </c>
      <c r="D25" s="1">
        <v>0</v>
      </c>
      <c r="E25" s="1">
        <f t="shared" si="1"/>
        <v>1137253.0064764684</v>
      </c>
      <c r="F25" s="1">
        <f t="shared" si="2"/>
        <v>0</v>
      </c>
      <c r="G25" s="1">
        <f t="shared" si="3"/>
        <v>2004228.3776580002</v>
      </c>
    </row>
    <row r="26" spans="1:7" x14ac:dyDescent="0.35">
      <c r="B26">
        <f t="shared" si="4"/>
        <v>2024</v>
      </c>
      <c r="C26" s="1">
        <f t="shared" ref="C26:C39" si="5">$C$17</f>
        <v>2004228.3776580002</v>
      </c>
      <c r="D26" s="1">
        <v>0</v>
      </c>
      <c r="E26" s="1">
        <f t="shared" si="1"/>
        <v>1015404.4700682751</v>
      </c>
      <c r="F26" s="1">
        <f t="shared" si="2"/>
        <v>0</v>
      </c>
      <c r="G26" s="1">
        <f t="shared" si="3"/>
        <v>2004228.3776580002</v>
      </c>
    </row>
    <row r="27" spans="1:7" x14ac:dyDescent="0.35">
      <c r="B27">
        <f t="shared" si="4"/>
        <v>2025</v>
      </c>
      <c r="C27" s="1">
        <f t="shared" si="5"/>
        <v>2004228.3776580002</v>
      </c>
      <c r="D27" s="1">
        <v>0</v>
      </c>
      <c r="E27" s="1">
        <f t="shared" si="1"/>
        <v>906611.13398953131</v>
      </c>
      <c r="F27" s="1">
        <f t="shared" si="2"/>
        <v>0</v>
      </c>
      <c r="G27" s="1">
        <f t="shared" si="3"/>
        <v>2004228.3776580002</v>
      </c>
    </row>
    <row r="28" spans="1:7" x14ac:dyDescent="0.35">
      <c r="B28">
        <f t="shared" si="4"/>
        <v>2026</v>
      </c>
      <c r="C28" s="1">
        <f t="shared" si="5"/>
        <v>2004228.3776580002</v>
      </c>
      <c r="D28" s="1">
        <v>0</v>
      </c>
      <c r="E28" s="1">
        <f t="shared" si="1"/>
        <v>809474.22677636717</v>
      </c>
      <c r="F28" s="1">
        <f t="shared" si="2"/>
        <v>0</v>
      </c>
      <c r="G28" s="1">
        <f t="shared" si="3"/>
        <v>2004228.3776580002</v>
      </c>
    </row>
    <row r="29" spans="1:7" x14ac:dyDescent="0.35">
      <c r="B29">
        <f t="shared" si="4"/>
        <v>2027</v>
      </c>
      <c r="C29" s="1">
        <f t="shared" si="5"/>
        <v>2004228.3776580002</v>
      </c>
      <c r="D29" s="1">
        <v>0</v>
      </c>
      <c r="E29" s="1">
        <f t="shared" si="1"/>
        <v>722744.84533604211</v>
      </c>
      <c r="F29" s="1">
        <f t="shared" si="2"/>
        <v>0</v>
      </c>
      <c r="G29" s="1">
        <f t="shared" si="3"/>
        <v>2004228.3776580002</v>
      </c>
    </row>
    <row r="30" spans="1:7" x14ac:dyDescent="0.35">
      <c r="B30">
        <f t="shared" si="4"/>
        <v>2028</v>
      </c>
      <c r="C30" s="1">
        <f t="shared" si="5"/>
        <v>2004228.3776580002</v>
      </c>
      <c r="D30" s="1">
        <v>0</v>
      </c>
      <c r="E30" s="1">
        <f t="shared" si="1"/>
        <v>645307.89762146608</v>
      </c>
      <c r="F30" s="1">
        <f t="shared" si="2"/>
        <v>0</v>
      </c>
      <c r="G30" s="1">
        <f t="shared" si="3"/>
        <v>2004228.3776580002</v>
      </c>
    </row>
    <row r="31" spans="1:7" x14ac:dyDescent="0.35">
      <c r="B31">
        <f t="shared" si="4"/>
        <v>2029</v>
      </c>
      <c r="C31" s="1">
        <f t="shared" si="5"/>
        <v>2004228.3776580002</v>
      </c>
      <c r="D31" s="1">
        <v>0</v>
      </c>
      <c r="E31" s="1">
        <f t="shared" si="1"/>
        <v>576167.76573345182</v>
      </c>
      <c r="F31" s="1">
        <f t="shared" si="2"/>
        <v>0</v>
      </c>
      <c r="G31" s="1">
        <f t="shared" si="3"/>
        <v>2004228.3776580002</v>
      </c>
    </row>
    <row r="32" spans="1:7" x14ac:dyDescent="0.35">
      <c r="B32">
        <f t="shared" si="4"/>
        <v>2030</v>
      </c>
      <c r="C32" s="1">
        <f t="shared" si="5"/>
        <v>2004228.3776580002</v>
      </c>
      <c r="D32" s="1">
        <v>0</v>
      </c>
      <c r="E32" s="1">
        <f t="shared" si="1"/>
        <v>514435.50511915341</v>
      </c>
      <c r="F32" s="1">
        <f t="shared" si="2"/>
        <v>0</v>
      </c>
      <c r="G32" s="1">
        <f t="shared" si="3"/>
        <v>2004228.3776580002</v>
      </c>
    </row>
    <row r="33" spans="2:7" x14ac:dyDescent="0.35">
      <c r="B33">
        <f t="shared" si="4"/>
        <v>2031</v>
      </c>
      <c r="C33" s="1">
        <f t="shared" si="5"/>
        <v>2004228.3776580002</v>
      </c>
      <c r="D33" s="1">
        <v>0</v>
      </c>
      <c r="E33" s="1">
        <f t="shared" si="1"/>
        <v>459317.41528495838</v>
      </c>
      <c r="F33" s="1">
        <f t="shared" si="2"/>
        <v>0</v>
      </c>
      <c r="G33" s="1">
        <f t="shared" si="3"/>
        <v>2004228.3776580002</v>
      </c>
    </row>
    <row r="34" spans="2:7" x14ac:dyDescent="0.35">
      <c r="B34">
        <f t="shared" si="4"/>
        <v>2032</v>
      </c>
      <c r="C34" s="1">
        <f t="shared" si="5"/>
        <v>2004228.3776580002</v>
      </c>
      <c r="D34" s="1">
        <v>0</v>
      </c>
      <c r="E34" s="1">
        <f t="shared" si="1"/>
        <v>410104.83507585566</v>
      </c>
      <c r="F34" s="1">
        <f t="shared" si="2"/>
        <v>0</v>
      </c>
      <c r="G34" s="1">
        <f t="shared" si="3"/>
        <v>2004228.3776580002</v>
      </c>
    </row>
    <row r="35" spans="2:7" x14ac:dyDescent="0.35">
      <c r="B35">
        <f t="shared" si="4"/>
        <v>2033</v>
      </c>
      <c r="C35" s="1">
        <f t="shared" si="5"/>
        <v>2004228.3776580002</v>
      </c>
      <c r="D35" s="1">
        <v>0</v>
      </c>
      <c r="E35" s="1">
        <f t="shared" si="1"/>
        <v>366165.03131772828</v>
      </c>
      <c r="F35" s="1">
        <f t="shared" si="2"/>
        <v>0</v>
      </c>
      <c r="G35" s="1">
        <f t="shared" si="3"/>
        <v>2004228.3776580002</v>
      </c>
    </row>
    <row r="36" spans="2:7" x14ac:dyDescent="0.35">
      <c r="B36">
        <f t="shared" si="4"/>
        <v>2034</v>
      </c>
      <c r="C36" s="1">
        <f t="shared" si="5"/>
        <v>2004228.3776580002</v>
      </c>
      <c r="D36" s="1">
        <v>0</v>
      </c>
      <c r="E36" s="1">
        <f t="shared" si="1"/>
        <v>326933.06367654307</v>
      </c>
      <c r="F36" s="1">
        <f t="shared" si="2"/>
        <v>0</v>
      </c>
      <c r="G36" s="1">
        <f t="shared" si="3"/>
        <v>2004228.3776580002</v>
      </c>
    </row>
    <row r="37" spans="2:7" x14ac:dyDescent="0.35">
      <c r="B37">
        <f t="shared" si="4"/>
        <v>2035</v>
      </c>
      <c r="C37" s="1">
        <f t="shared" si="5"/>
        <v>2004228.3776580002</v>
      </c>
      <c r="D37" s="1">
        <v>0</v>
      </c>
      <c r="E37" s="1">
        <f t="shared" si="1"/>
        <v>291904.52113977057</v>
      </c>
      <c r="F37" s="1">
        <f t="shared" si="2"/>
        <v>0</v>
      </c>
      <c r="G37" s="1">
        <f t="shared" si="3"/>
        <v>2004228.3776580002</v>
      </c>
    </row>
    <row r="38" spans="2:7" x14ac:dyDescent="0.35">
      <c r="B38">
        <f t="shared" si="4"/>
        <v>2036</v>
      </c>
      <c r="C38" s="1">
        <f t="shared" si="5"/>
        <v>2004228.3776580002</v>
      </c>
      <c r="D38" s="1">
        <v>0</v>
      </c>
      <c r="E38" s="1">
        <f t="shared" si="1"/>
        <v>260629.03673193796</v>
      </c>
      <c r="F38" s="1">
        <f t="shared" si="2"/>
        <v>0</v>
      </c>
      <c r="G38" s="1">
        <f t="shared" si="3"/>
        <v>2004228.3776580002</v>
      </c>
    </row>
    <row r="39" spans="2:7" x14ac:dyDescent="0.35">
      <c r="B39">
        <f t="shared" si="4"/>
        <v>2037</v>
      </c>
      <c r="C39" s="1">
        <f t="shared" si="5"/>
        <v>2004228.3776580002</v>
      </c>
      <c r="D39" s="1">
        <v>0</v>
      </c>
      <c r="E39" s="1">
        <f>C39/1.12^(B39-2018)</f>
        <v>232704.49708208744</v>
      </c>
      <c r="F39" s="1">
        <f t="shared" si="2"/>
        <v>0</v>
      </c>
      <c r="G39" s="1">
        <f t="shared" si="3"/>
        <v>2004228.3776580002</v>
      </c>
    </row>
    <row r="40" spans="2:7" x14ac:dyDescent="0.35">
      <c r="C40" s="1"/>
      <c r="D40" s="1">
        <f>SUM(D20:D39)</f>
        <v>16000000</v>
      </c>
      <c r="E40" s="1">
        <f>SUM(E20:E39)</f>
        <v>11391127.385296639</v>
      </c>
      <c r="F40" s="1">
        <f>SUM(F20:F39)</f>
        <v>12919517.909204494</v>
      </c>
      <c r="G40" s="1"/>
    </row>
    <row r="41" spans="2:7" x14ac:dyDescent="0.35">
      <c r="C41" s="1"/>
      <c r="D41" s="1"/>
      <c r="E41" s="1"/>
      <c r="F41" s="1"/>
      <c r="G41" s="1"/>
    </row>
    <row r="42" spans="2:7" x14ac:dyDescent="0.35">
      <c r="F42" s="9" t="s">
        <v>17</v>
      </c>
      <c r="G42" s="11">
        <f>IRR(G20:G39)</f>
        <v>9.9687893165392838E-2</v>
      </c>
    </row>
    <row r="43" spans="2:7" x14ac:dyDescent="0.35">
      <c r="F43" s="6" t="s">
        <v>18</v>
      </c>
      <c r="G43" s="7">
        <f>E40/F40</f>
        <v>0.88169910559751186</v>
      </c>
    </row>
    <row r="44" spans="2:7" x14ac:dyDescent="0.35">
      <c r="F44" s="6" t="s">
        <v>19</v>
      </c>
      <c r="G44" s="8">
        <f>E40-F40</f>
        <v>-1528390.5239078552</v>
      </c>
    </row>
  </sheetData>
  <mergeCells count="6">
    <mergeCell ref="A1:B1"/>
    <mergeCell ref="A10:A14"/>
    <mergeCell ref="A5:A7"/>
    <mergeCell ref="A15:A17"/>
    <mergeCell ref="A8:A9"/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CBA</vt:lpstr>
      <vt:lpstr>Componente 1</vt:lpstr>
      <vt:lpstr>Componente 2</vt:lpstr>
      <vt:lpstr>Componente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VIVIANAV@IADB.ORG</dc:creator>
  <cp:lastModifiedBy>Viviana Velez-Grajales</cp:lastModifiedBy>
  <dcterms:created xsi:type="dcterms:W3CDTF">2017-10-15T12:06:55Z</dcterms:created>
  <dcterms:modified xsi:type="dcterms:W3CDTF">2017-11-29T04:57:02Z</dcterms:modified>
</cp:coreProperties>
</file>