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LVO\Desktop\Haiti\HA- L1107 - PITAG\QRR\"/>
    </mc:Choice>
  </mc:AlternateContent>
  <bookViews>
    <workbookView xWindow="0" yWindow="60" windowWidth="12960" windowHeight="9048" activeTab="4"/>
  </bookViews>
  <sheets>
    <sheet name="Budget Pour POD" sheetId="6" r:id="rId1"/>
    <sheet name="PEP-Budget par produit" sheetId="5" r:id="rId2"/>
    <sheet name="POA Annee 1" sheetId="9" r:id="rId3"/>
    <sheet name="Plan Passation des Marches" sheetId="3" r:id="rId4"/>
    <sheet name="Total Incitations + AT" sheetId="7" r:id="rId5"/>
    <sheet name="Incitations par section" sheetId="4" r:id="rId6"/>
  </sheets>
  <externalReferences>
    <externalReference r:id="rId7"/>
  </externalReferences>
  <definedNames>
    <definedName name="_xlnm._FilterDatabase" localSheetId="5" hidden="1">'Incitations par section'!$B$1:$F$136</definedName>
  </definedNames>
  <calcPr calcId="171027"/>
</workbook>
</file>

<file path=xl/calcChain.xml><?xml version="1.0" encoding="utf-8"?>
<calcChain xmlns="http://schemas.openxmlformats.org/spreadsheetml/2006/main">
  <c r="S26" i="5" l="1"/>
  <c r="R26" i="5"/>
  <c r="Q49" i="5" l="1"/>
  <c r="E10" i="6" l="1"/>
  <c r="E4" i="6"/>
  <c r="S27" i="5"/>
  <c r="S49" i="5"/>
  <c r="S43" i="5"/>
  <c r="Q43" i="5"/>
  <c r="K44" i="5"/>
  <c r="F63" i="3" l="1"/>
  <c r="F64" i="3"/>
  <c r="F35" i="3"/>
  <c r="F36" i="3"/>
  <c r="F39" i="3"/>
  <c r="F40" i="3"/>
  <c r="F41" i="3"/>
  <c r="F42" i="3"/>
  <c r="F43" i="3"/>
  <c r="F34" i="3"/>
  <c r="C43" i="3"/>
  <c r="C42" i="3"/>
  <c r="H83" i="9"/>
  <c r="H39" i="9"/>
  <c r="H41" i="9"/>
  <c r="T39" i="9"/>
  <c r="O15" i="5" l="1"/>
  <c r="N15" i="5"/>
  <c r="M15" i="5"/>
  <c r="L15" i="5"/>
  <c r="K15" i="5"/>
  <c r="J15" i="5"/>
  <c r="O14" i="5"/>
  <c r="N14" i="5"/>
  <c r="M14" i="5"/>
  <c r="L14" i="5"/>
  <c r="K14" i="5"/>
  <c r="J14" i="5"/>
  <c r="O13" i="5"/>
  <c r="N13" i="5"/>
  <c r="M13" i="5"/>
  <c r="L13" i="5"/>
  <c r="K13" i="5"/>
  <c r="J13" i="5"/>
  <c r="O12" i="5"/>
  <c r="N12" i="5"/>
  <c r="M12" i="5"/>
  <c r="L12" i="5"/>
  <c r="K12" i="5"/>
  <c r="J12" i="5"/>
  <c r="P12" i="5" l="1"/>
  <c r="Q12" i="5" s="1"/>
  <c r="P14" i="5"/>
  <c r="Q14" i="5" s="1"/>
  <c r="P13" i="5"/>
  <c r="Q13" i="5" s="1"/>
  <c r="P15" i="5"/>
  <c r="Q15" i="5" s="1"/>
  <c r="F14" i="3" l="1"/>
  <c r="F72" i="3"/>
  <c r="F74" i="3" s="1"/>
  <c r="F53" i="3"/>
  <c r="F23" i="3"/>
  <c r="J36" i="9"/>
  <c r="K36" i="9"/>
  <c r="L36" i="9"/>
  <c r="M36" i="9"/>
  <c r="N36" i="9"/>
  <c r="O36" i="9"/>
  <c r="P36" i="9"/>
  <c r="Q36" i="9"/>
  <c r="R36" i="9"/>
  <c r="S36" i="9"/>
  <c r="T36" i="9"/>
  <c r="I36" i="9"/>
  <c r="T32" i="9"/>
  <c r="J32" i="9"/>
  <c r="K32" i="9"/>
  <c r="L32" i="9"/>
  <c r="M32" i="9"/>
  <c r="N32" i="9"/>
  <c r="N30" i="9" s="1"/>
  <c r="O32" i="9"/>
  <c r="P32" i="9"/>
  <c r="Q32" i="9"/>
  <c r="R32" i="9"/>
  <c r="R30" i="9" s="1"/>
  <c r="S32" i="9"/>
  <c r="I32" i="9"/>
  <c r="H12" i="9"/>
  <c r="H37" i="9"/>
  <c r="H35" i="9"/>
  <c r="H34" i="9"/>
  <c r="H33" i="9"/>
  <c r="H87" i="9"/>
  <c r="H86" i="9"/>
  <c r="H85" i="9"/>
  <c r="H84" i="9"/>
  <c r="J83" i="9"/>
  <c r="K83" i="9"/>
  <c r="L83" i="9"/>
  <c r="M83" i="9"/>
  <c r="N83" i="9"/>
  <c r="O83" i="9"/>
  <c r="P83" i="9"/>
  <c r="Q83" i="9"/>
  <c r="R83" i="9"/>
  <c r="S83" i="9"/>
  <c r="T83" i="9"/>
  <c r="I83" i="9"/>
  <c r="J90" i="9"/>
  <c r="K90" i="9"/>
  <c r="L90" i="9"/>
  <c r="M90" i="9"/>
  <c r="N90" i="9"/>
  <c r="O90" i="9"/>
  <c r="P90" i="9"/>
  <c r="Q90" i="9"/>
  <c r="R90" i="9"/>
  <c r="S90" i="9"/>
  <c r="T90" i="9"/>
  <c r="I90" i="9"/>
  <c r="H92" i="9"/>
  <c r="H91" i="9"/>
  <c r="H94" i="9"/>
  <c r="J89" i="9"/>
  <c r="K89" i="9"/>
  <c r="L89" i="9"/>
  <c r="M89" i="9"/>
  <c r="N89" i="9"/>
  <c r="O89" i="9"/>
  <c r="P89" i="9"/>
  <c r="Q89" i="9"/>
  <c r="R89" i="9"/>
  <c r="S89" i="9"/>
  <c r="T89" i="9"/>
  <c r="I89" i="9"/>
  <c r="T66" i="9"/>
  <c r="J66" i="9"/>
  <c r="K66" i="9"/>
  <c r="L66" i="9"/>
  <c r="M66" i="9"/>
  <c r="N66" i="9"/>
  <c r="O66" i="9"/>
  <c r="P66" i="9"/>
  <c r="Q66" i="9"/>
  <c r="R66" i="9"/>
  <c r="S66" i="9"/>
  <c r="I66" i="9"/>
  <c r="K38" i="5"/>
  <c r="J60" i="9"/>
  <c r="K60" i="9"/>
  <c r="L60" i="9"/>
  <c r="M60" i="9"/>
  <c r="N60" i="9"/>
  <c r="O60" i="9"/>
  <c r="O41" i="9" s="1"/>
  <c r="O39" i="9" s="1"/>
  <c r="P60" i="9"/>
  <c r="Q60" i="9"/>
  <c r="R60" i="9"/>
  <c r="S60" i="9"/>
  <c r="T60" i="9"/>
  <c r="I60" i="9"/>
  <c r="T59" i="9"/>
  <c r="J59" i="9"/>
  <c r="K59" i="9"/>
  <c r="L59" i="9"/>
  <c r="L41" i="9" s="1"/>
  <c r="L39" i="9" s="1"/>
  <c r="M59" i="9"/>
  <c r="N59" i="9"/>
  <c r="O59" i="9"/>
  <c r="P59" i="9"/>
  <c r="P41" i="9" s="1"/>
  <c r="P39" i="9" s="1"/>
  <c r="Q59" i="9"/>
  <c r="R59" i="9"/>
  <c r="S59" i="9"/>
  <c r="I59" i="9"/>
  <c r="I41" i="9" s="1"/>
  <c r="I39" i="9" s="1"/>
  <c r="H78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61" i="9"/>
  <c r="H62" i="9"/>
  <c r="H63" i="9"/>
  <c r="H64" i="9"/>
  <c r="H65" i="9"/>
  <c r="H67" i="9"/>
  <c r="H68" i="9"/>
  <c r="H69" i="9"/>
  <c r="H70" i="9"/>
  <c r="H71" i="9"/>
  <c r="H72" i="9"/>
  <c r="H73" i="9"/>
  <c r="H74" i="9"/>
  <c r="H75" i="9"/>
  <c r="H76" i="9"/>
  <c r="H77" i="9"/>
  <c r="H42" i="9"/>
  <c r="J30" i="9"/>
  <c r="M30" i="9"/>
  <c r="P30" i="9"/>
  <c r="Q30" i="9"/>
  <c r="I30" i="9"/>
  <c r="T31" i="9"/>
  <c r="H31" i="9" s="1"/>
  <c r="J18" i="9"/>
  <c r="K18" i="9"/>
  <c r="L18" i="9"/>
  <c r="M18" i="9"/>
  <c r="N18" i="9"/>
  <c r="O18" i="9"/>
  <c r="P18" i="9"/>
  <c r="Q18" i="9"/>
  <c r="R18" i="9"/>
  <c r="S18" i="9"/>
  <c r="I18" i="9"/>
  <c r="F84" i="9"/>
  <c r="D84" i="9"/>
  <c r="D82" i="9"/>
  <c r="D83" i="9" s="1"/>
  <c r="F43" i="9"/>
  <c r="F47" i="9"/>
  <c r="F50" i="9"/>
  <c r="F51" i="9"/>
  <c r="F55" i="9"/>
  <c r="F59" i="9"/>
  <c r="F60" i="9"/>
  <c r="F61" i="9"/>
  <c r="F62" i="9"/>
  <c r="F66" i="9"/>
  <c r="F67" i="9"/>
  <c r="F70" i="9"/>
  <c r="F74" i="9"/>
  <c r="F78" i="9"/>
  <c r="F42" i="9"/>
  <c r="Q41" i="9" l="1"/>
  <c r="Q39" i="9" s="1"/>
  <c r="M41" i="9"/>
  <c r="M39" i="9" s="1"/>
  <c r="T41" i="9"/>
  <c r="R41" i="9"/>
  <c r="R39" i="9" s="1"/>
  <c r="N41" i="9"/>
  <c r="N39" i="9" s="1"/>
  <c r="J41" i="9"/>
  <c r="J39" i="9" s="1"/>
  <c r="H32" i="9"/>
  <c r="L30" i="9"/>
  <c r="S41" i="9"/>
  <c r="S39" i="9" s="1"/>
  <c r="K41" i="9"/>
  <c r="K39" i="9" s="1"/>
  <c r="H36" i="9"/>
  <c r="S30" i="9"/>
  <c r="O30" i="9"/>
  <c r="K30" i="9"/>
  <c r="H89" i="9"/>
  <c r="H90" i="9"/>
  <c r="H59" i="9"/>
  <c r="T30" i="9"/>
  <c r="H66" i="9"/>
  <c r="H60" i="9"/>
  <c r="H25" i="9"/>
  <c r="H24" i="9"/>
  <c r="H23" i="9"/>
  <c r="H22" i="9"/>
  <c r="H21" i="9"/>
  <c r="H20" i="9"/>
  <c r="H19" i="9"/>
  <c r="D40" i="9"/>
  <c r="D41" i="9" s="1"/>
  <c r="D29" i="9"/>
  <c r="D30" i="9" s="1"/>
  <c r="D26" i="9"/>
  <c r="D27" i="9" s="1"/>
  <c r="D17" i="9"/>
  <c r="D18" i="9" s="1"/>
  <c r="T93" i="9"/>
  <c r="T11" i="9" s="1"/>
  <c r="S93" i="9"/>
  <c r="S11" i="9" s="1"/>
  <c r="R93" i="9"/>
  <c r="R11" i="9" s="1"/>
  <c r="Q93" i="9"/>
  <c r="Q11" i="9" s="1"/>
  <c r="P93" i="9"/>
  <c r="P11" i="9" s="1"/>
  <c r="N93" i="9"/>
  <c r="N11" i="9" s="1"/>
  <c r="L93" i="9"/>
  <c r="L11" i="9" s="1"/>
  <c r="J93" i="9"/>
  <c r="J11" i="9" s="1"/>
  <c r="M93" i="9"/>
  <c r="M11" i="9" s="1"/>
  <c r="B93" i="9"/>
  <c r="T10" i="9"/>
  <c r="S10" i="9"/>
  <c r="R10" i="9"/>
  <c r="Q10" i="9"/>
  <c r="P10" i="9"/>
  <c r="O10" i="9"/>
  <c r="N10" i="9"/>
  <c r="M10" i="9"/>
  <c r="L10" i="9"/>
  <c r="K10" i="9"/>
  <c r="J10" i="9"/>
  <c r="I10" i="9"/>
  <c r="B88" i="9"/>
  <c r="H81" i="9"/>
  <c r="H80" i="9"/>
  <c r="H79" i="9"/>
  <c r="H40" i="9"/>
  <c r="B39" i="9"/>
  <c r="H38" i="9"/>
  <c r="H29" i="9"/>
  <c r="H28" i="9"/>
  <c r="T27" i="9"/>
  <c r="S27" i="9"/>
  <c r="R27" i="9"/>
  <c r="R16" i="9" s="1"/>
  <c r="Q27" i="9"/>
  <c r="Q16" i="9" s="1"/>
  <c r="P27" i="9"/>
  <c r="P16" i="9" s="1"/>
  <c r="O27" i="9"/>
  <c r="N27" i="9"/>
  <c r="N16" i="9" s="1"/>
  <c r="M27" i="9"/>
  <c r="M16" i="9" s="1"/>
  <c r="L27" i="9"/>
  <c r="L16" i="9" s="1"/>
  <c r="K27" i="9"/>
  <c r="J27" i="9"/>
  <c r="J16" i="9" s="1"/>
  <c r="I27" i="9"/>
  <c r="H26" i="9"/>
  <c r="H17" i="9"/>
  <c r="B16" i="9"/>
  <c r="K16" i="9" l="1"/>
  <c r="K7" i="9" s="1"/>
  <c r="O16" i="9"/>
  <c r="I16" i="9"/>
  <c r="H27" i="9"/>
  <c r="H10" i="9"/>
  <c r="S16" i="9"/>
  <c r="H30" i="9"/>
  <c r="L7" i="9"/>
  <c r="K93" i="9"/>
  <c r="K11" i="9" s="1"/>
  <c r="Q7" i="9"/>
  <c r="I93" i="9"/>
  <c r="J7" i="9"/>
  <c r="N7" i="9"/>
  <c r="M7" i="9"/>
  <c r="J88" i="9"/>
  <c r="J9" i="9" s="1"/>
  <c r="S7" i="9"/>
  <c r="R88" i="9"/>
  <c r="R9" i="9" s="1"/>
  <c r="S88" i="9"/>
  <c r="S9" i="9" s="1"/>
  <c r="O88" i="9"/>
  <c r="O9" i="9" s="1"/>
  <c r="P7" i="9"/>
  <c r="L88" i="9"/>
  <c r="L9" i="9" s="1"/>
  <c r="M88" i="9"/>
  <c r="M9" i="9" s="1"/>
  <c r="Q88" i="9"/>
  <c r="Q9" i="9" s="1"/>
  <c r="P88" i="9"/>
  <c r="P9" i="9" s="1"/>
  <c r="I88" i="9"/>
  <c r="T88" i="9"/>
  <c r="T9" i="9" s="1"/>
  <c r="O93" i="9"/>
  <c r="I11" i="9" l="1"/>
  <c r="H93" i="9"/>
  <c r="S8" i="9"/>
  <c r="P8" i="9"/>
  <c r="L8" i="9"/>
  <c r="Q8" i="9"/>
  <c r="Q13" i="9" s="1"/>
  <c r="M8" i="9"/>
  <c r="I8" i="9"/>
  <c r="J8" i="9"/>
  <c r="J13" i="9" s="1"/>
  <c r="N88" i="9"/>
  <c r="N9" i="9" s="1"/>
  <c r="T8" i="9"/>
  <c r="N8" i="9"/>
  <c r="K88" i="9"/>
  <c r="K9" i="9" s="1"/>
  <c r="O8" i="9"/>
  <c r="R8" i="9"/>
  <c r="I9" i="9"/>
  <c r="M13" i="9"/>
  <c r="P13" i="9"/>
  <c r="O7" i="9"/>
  <c r="S13" i="9"/>
  <c r="O11" i="9"/>
  <c r="H11" i="9" l="1"/>
  <c r="H9" i="9"/>
  <c r="N13" i="9"/>
  <c r="H88" i="9"/>
  <c r="I7" i="9"/>
  <c r="L13" i="9"/>
  <c r="O13" i="9"/>
  <c r="R7" i="9"/>
  <c r="E34" i="5"/>
  <c r="K34" i="5" s="1"/>
  <c r="F62" i="3"/>
  <c r="F59" i="3"/>
  <c r="F32" i="3"/>
  <c r="F31" i="3"/>
  <c r="F30" i="3"/>
  <c r="F29" i="3"/>
  <c r="F66" i="3" l="1"/>
  <c r="I13" i="9"/>
  <c r="K8" i="9"/>
  <c r="H8" i="9" s="1"/>
  <c r="R13" i="9"/>
  <c r="K13" i="9" l="1"/>
  <c r="K14" i="9" s="1"/>
  <c r="E4" i="7" l="1"/>
  <c r="C48" i="7" l="1"/>
  <c r="C49" i="7" s="1"/>
  <c r="M30" i="7"/>
  <c r="N32" i="7"/>
  <c r="I31" i="7"/>
  <c r="I32" i="7"/>
  <c r="I33" i="7"/>
  <c r="I34" i="7"/>
  <c r="I35" i="7"/>
  <c r="I36" i="7"/>
  <c r="I37" i="7"/>
  <c r="I38" i="7"/>
  <c r="I39" i="7"/>
  <c r="I40" i="7"/>
  <c r="I41" i="7"/>
  <c r="I30" i="7"/>
  <c r="D42" i="7"/>
  <c r="I29" i="7"/>
  <c r="D29" i="7"/>
  <c r="N28" i="7"/>
  <c r="M28" i="7"/>
  <c r="L28" i="7"/>
  <c r="K28" i="7"/>
  <c r="K41" i="7" s="1"/>
  <c r="J28" i="7"/>
  <c r="F28" i="7"/>
  <c r="N27" i="7"/>
  <c r="M27" i="7"/>
  <c r="L27" i="7"/>
  <c r="K27" i="7"/>
  <c r="J27" i="7"/>
  <c r="F27" i="7"/>
  <c r="N26" i="7"/>
  <c r="M26" i="7"/>
  <c r="L26" i="7"/>
  <c r="K26" i="7"/>
  <c r="K39" i="7" s="1"/>
  <c r="J26" i="7"/>
  <c r="F26" i="7"/>
  <c r="S26" i="7" s="1"/>
  <c r="N25" i="7"/>
  <c r="M25" i="7"/>
  <c r="M38" i="7" s="1"/>
  <c r="L25" i="7"/>
  <c r="K25" i="7"/>
  <c r="J25" i="7"/>
  <c r="F25" i="7"/>
  <c r="N24" i="7"/>
  <c r="M24" i="7"/>
  <c r="L24" i="7"/>
  <c r="K24" i="7"/>
  <c r="J24" i="7"/>
  <c r="F24" i="7"/>
  <c r="N23" i="7"/>
  <c r="M23" i="7"/>
  <c r="L23" i="7"/>
  <c r="K23" i="7"/>
  <c r="J23" i="7"/>
  <c r="F23" i="7"/>
  <c r="N22" i="7"/>
  <c r="M22" i="7"/>
  <c r="L22" i="7"/>
  <c r="K22" i="7"/>
  <c r="J22" i="7"/>
  <c r="F22" i="7"/>
  <c r="N21" i="7"/>
  <c r="M21" i="7"/>
  <c r="L21" i="7"/>
  <c r="K21" i="7"/>
  <c r="J21" i="7"/>
  <c r="F21" i="7"/>
  <c r="N20" i="7"/>
  <c r="M20" i="7"/>
  <c r="L20" i="7"/>
  <c r="K20" i="7"/>
  <c r="J20" i="7"/>
  <c r="F20" i="7"/>
  <c r="N19" i="7"/>
  <c r="M19" i="7"/>
  <c r="M32" i="7" s="1"/>
  <c r="L19" i="7"/>
  <c r="L32" i="7" s="1"/>
  <c r="K19" i="7"/>
  <c r="J19" i="7"/>
  <c r="J32" i="7" s="1"/>
  <c r="F19" i="7"/>
  <c r="N18" i="7"/>
  <c r="M18" i="7"/>
  <c r="L18" i="7"/>
  <c r="K18" i="7"/>
  <c r="J18" i="7"/>
  <c r="F18" i="7"/>
  <c r="O17" i="7"/>
  <c r="F17" i="7"/>
  <c r="I16" i="7"/>
  <c r="D16" i="7"/>
  <c r="N15" i="7"/>
  <c r="M15" i="7"/>
  <c r="L15" i="7"/>
  <c r="L41" i="7" s="1"/>
  <c r="K15" i="7"/>
  <c r="J15" i="7"/>
  <c r="E15" i="7"/>
  <c r="F15" i="7" s="1"/>
  <c r="N14" i="7"/>
  <c r="M14" i="7"/>
  <c r="L14" i="7"/>
  <c r="K14" i="7"/>
  <c r="J14" i="7"/>
  <c r="E14" i="7"/>
  <c r="F14" i="7" s="1"/>
  <c r="N13" i="7"/>
  <c r="N39" i="7" s="1"/>
  <c r="M13" i="7"/>
  <c r="M39" i="7" s="1"/>
  <c r="L13" i="7"/>
  <c r="K13" i="7"/>
  <c r="J13" i="7"/>
  <c r="E13" i="7"/>
  <c r="F13" i="7" s="1"/>
  <c r="N12" i="7"/>
  <c r="M12" i="7"/>
  <c r="L12" i="7"/>
  <c r="K12" i="7"/>
  <c r="J12" i="7"/>
  <c r="E12" i="7"/>
  <c r="F12" i="7" s="1"/>
  <c r="S12" i="7" s="1"/>
  <c r="N11" i="7"/>
  <c r="M11" i="7"/>
  <c r="L11" i="7"/>
  <c r="K11" i="7"/>
  <c r="J11" i="7"/>
  <c r="E11" i="7"/>
  <c r="F11" i="7" s="1"/>
  <c r="N10" i="7"/>
  <c r="N36" i="7" s="1"/>
  <c r="M10" i="7"/>
  <c r="L10" i="7"/>
  <c r="K10" i="7"/>
  <c r="J10" i="7"/>
  <c r="E10" i="7"/>
  <c r="F10" i="7" s="1"/>
  <c r="N9" i="7"/>
  <c r="M9" i="7"/>
  <c r="L9" i="7"/>
  <c r="K9" i="7"/>
  <c r="J9" i="7"/>
  <c r="E9" i="7"/>
  <c r="F9" i="7" s="1"/>
  <c r="N8" i="7"/>
  <c r="M8" i="7"/>
  <c r="L8" i="7"/>
  <c r="K8" i="7"/>
  <c r="J8" i="7"/>
  <c r="E8" i="7"/>
  <c r="F8" i="7" s="1"/>
  <c r="N7" i="7"/>
  <c r="N33" i="7" s="1"/>
  <c r="M7" i="7"/>
  <c r="M33" i="7" s="1"/>
  <c r="L7" i="7"/>
  <c r="L33" i="7" s="1"/>
  <c r="K7" i="7"/>
  <c r="J7" i="7"/>
  <c r="E7" i="7"/>
  <c r="F7" i="7" s="1"/>
  <c r="N6" i="7"/>
  <c r="M6" i="7"/>
  <c r="L6" i="7"/>
  <c r="K6" i="7"/>
  <c r="J6" i="7"/>
  <c r="E6" i="7"/>
  <c r="F6" i="7" s="1"/>
  <c r="N5" i="7"/>
  <c r="M5" i="7"/>
  <c r="L5" i="7"/>
  <c r="L31" i="7" s="1"/>
  <c r="K5" i="7"/>
  <c r="J5" i="7"/>
  <c r="E5" i="7"/>
  <c r="F5" i="7" s="1"/>
  <c r="N4" i="7"/>
  <c r="N30" i="7" s="1"/>
  <c r="M4" i="7"/>
  <c r="L4" i="7"/>
  <c r="L30" i="7" s="1"/>
  <c r="K4" i="7"/>
  <c r="K30" i="7" s="1"/>
  <c r="J4" i="7"/>
  <c r="J30" i="7" s="1"/>
  <c r="F4" i="7"/>
  <c r="O3" i="7"/>
  <c r="T49" i="5"/>
  <c r="M34" i="7" l="1"/>
  <c r="L37" i="7"/>
  <c r="L40" i="7"/>
  <c r="K40" i="7"/>
  <c r="M41" i="7"/>
  <c r="M40" i="7"/>
  <c r="O12" i="7"/>
  <c r="K31" i="7"/>
  <c r="O14" i="7"/>
  <c r="O20" i="7"/>
  <c r="L34" i="7"/>
  <c r="N37" i="7"/>
  <c r="L38" i="7"/>
  <c r="O28" i="7"/>
  <c r="O7" i="7"/>
  <c r="O33" i="7" s="1"/>
  <c r="J38" i="7"/>
  <c r="N38" i="7"/>
  <c r="L39" i="7"/>
  <c r="C50" i="7"/>
  <c r="C52" i="7" s="1"/>
  <c r="E52" i="7" s="1"/>
  <c r="F43" i="5" s="1"/>
  <c r="Q6" i="7"/>
  <c r="K33" i="7"/>
  <c r="M36" i="7"/>
  <c r="K37" i="7"/>
  <c r="M31" i="7"/>
  <c r="K32" i="7"/>
  <c r="K38" i="7"/>
  <c r="O10" i="7"/>
  <c r="L36" i="7"/>
  <c r="T15" i="7"/>
  <c r="O13" i="7"/>
  <c r="J39" i="7"/>
  <c r="J34" i="7"/>
  <c r="N34" i="7"/>
  <c r="L35" i="7"/>
  <c r="M35" i="7"/>
  <c r="N35" i="7"/>
  <c r="N41" i="7"/>
  <c r="N40" i="7"/>
  <c r="O27" i="7"/>
  <c r="O40" i="7" s="1"/>
  <c r="N29" i="7"/>
  <c r="O26" i="7"/>
  <c r="O39" i="7" s="1"/>
  <c r="O25" i="7"/>
  <c r="O38" i="7" s="1"/>
  <c r="M37" i="7"/>
  <c r="O24" i="7"/>
  <c r="J37" i="7"/>
  <c r="K36" i="7"/>
  <c r="O23" i="7"/>
  <c r="O36" i="7" s="1"/>
  <c r="K35" i="7"/>
  <c r="O22" i="7"/>
  <c r="J35" i="7"/>
  <c r="K34" i="7"/>
  <c r="L29" i="7"/>
  <c r="O21" i="7"/>
  <c r="O15" i="7"/>
  <c r="J41" i="7"/>
  <c r="P15" i="7"/>
  <c r="J40" i="7"/>
  <c r="O11" i="7"/>
  <c r="J36" i="7"/>
  <c r="O9" i="7"/>
  <c r="T8" i="7"/>
  <c r="K16" i="7"/>
  <c r="R7" i="7"/>
  <c r="J33" i="7"/>
  <c r="O19" i="7"/>
  <c r="I42" i="7"/>
  <c r="M29" i="7"/>
  <c r="S18" i="7"/>
  <c r="O18" i="7"/>
  <c r="J31" i="7"/>
  <c r="N31" i="7"/>
  <c r="K29" i="7"/>
  <c r="M16" i="7"/>
  <c r="N16" i="7"/>
  <c r="T5" i="7"/>
  <c r="S28" i="7"/>
  <c r="Q28" i="7"/>
  <c r="T28" i="7"/>
  <c r="T41" i="7" s="1"/>
  <c r="R28" i="7"/>
  <c r="P28" i="7"/>
  <c r="T19" i="7"/>
  <c r="P19" i="7"/>
  <c r="Q19" i="7"/>
  <c r="Q32" i="7" s="1"/>
  <c r="G19" i="7"/>
  <c r="S19" i="7"/>
  <c r="R19" i="7"/>
  <c r="S23" i="7"/>
  <c r="Q23" i="7"/>
  <c r="P23" i="7"/>
  <c r="R23" i="7"/>
  <c r="T23" i="7"/>
  <c r="R25" i="7"/>
  <c r="T25" i="7"/>
  <c r="S25" i="7"/>
  <c r="S38" i="7" s="1"/>
  <c r="Q25" i="7"/>
  <c r="Q38" i="7" s="1"/>
  <c r="G25" i="7"/>
  <c r="P25" i="7"/>
  <c r="Q27" i="7"/>
  <c r="R27" i="7"/>
  <c r="T27" i="7"/>
  <c r="P27" i="7"/>
  <c r="S27" i="7"/>
  <c r="S21" i="7"/>
  <c r="Q21" i="7"/>
  <c r="P21" i="7"/>
  <c r="R21" i="7"/>
  <c r="T21" i="7"/>
  <c r="R17" i="7"/>
  <c r="P17" i="7"/>
  <c r="Q17" i="7"/>
  <c r="G17" i="7"/>
  <c r="T17" i="7"/>
  <c r="S17" i="7"/>
  <c r="Q20" i="7"/>
  <c r="G20" i="7"/>
  <c r="T20" i="7"/>
  <c r="P20" i="7"/>
  <c r="S20" i="7"/>
  <c r="R20" i="7"/>
  <c r="Q22" i="7"/>
  <c r="S22" i="7"/>
  <c r="R22" i="7"/>
  <c r="T22" i="7"/>
  <c r="P22" i="7"/>
  <c r="Q24" i="7"/>
  <c r="S24" i="7"/>
  <c r="T24" i="7"/>
  <c r="P24" i="7"/>
  <c r="R24" i="7"/>
  <c r="T18" i="7"/>
  <c r="T26" i="7"/>
  <c r="J29" i="7"/>
  <c r="G26" i="7"/>
  <c r="Q26" i="7"/>
  <c r="R18" i="7"/>
  <c r="R26" i="7"/>
  <c r="P18" i="7"/>
  <c r="P26" i="7"/>
  <c r="G18" i="7"/>
  <c r="Q18" i="7"/>
  <c r="R4" i="7"/>
  <c r="Q4" i="7"/>
  <c r="G4" i="7"/>
  <c r="T4" i="7"/>
  <c r="S4" i="7"/>
  <c r="P4" i="7"/>
  <c r="O4" i="7"/>
  <c r="O30" i="7" s="1"/>
  <c r="S10" i="7"/>
  <c r="R10" i="7"/>
  <c r="Q10" i="7"/>
  <c r="Q11" i="7"/>
  <c r="T11" i="7"/>
  <c r="P11" i="7"/>
  <c r="S11" i="7"/>
  <c r="S37" i="7" s="1"/>
  <c r="S13" i="7"/>
  <c r="S39" i="7" s="1"/>
  <c r="R13" i="7"/>
  <c r="Q13" i="7"/>
  <c r="G13" i="7"/>
  <c r="Q14" i="7"/>
  <c r="T14" i="7"/>
  <c r="T40" i="7" s="1"/>
  <c r="P14" i="7"/>
  <c r="S14" i="7"/>
  <c r="S40" i="7" s="1"/>
  <c r="L16" i="7"/>
  <c r="S5" i="7"/>
  <c r="S31" i="7" s="1"/>
  <c r="R5" i="7"/>
  <c r="Q5" i="7"/>
  <c r="Q31" i="7" s="1"/>
  <c r="G5" i="7"/>
  <c r="T6" i="7"/>
  <c r="P6" i="7"/>
  <c r="S6" i="7"/>
  <c r="R6" i="7"/>
  <c r="S8" i="7"/>
  <c r="R8" i="7"/>
  <c r="Q8" i="7"/>
  <c r="Q9" i="7"/>
  <c r="T9" i="7"/>
  <c r="P9" i="7"/>
  <c r="S9" i="7"/>
  <c r="J16" i="7"/>
  <c r="O5" i="7"/>
  <c r="O31" i="7" s="1"/>
  <c r="G6" i="7"/>
  <c r="Q7" i="7"/>
  <c r="Q33" i="7" s="1"/>
  <c r="G7" i="7"/>
  <c r="T7" i="7"/>
  <c r="T33" i="7" s="1"/>
  <c r="P7" i="7"/>
  <c r="P33" i="7" s="1"/>
  <c r="S7" i="7"/>
  <c r="S33" i="7" s="1"/>
  <c r="O8" i="7"/>
  <c r="P10" i="7"/>
  <c r="R11" i="7"/>
  <c r="R37" i="7" s="1"/>
  <c r="P13" i="7"/>
  <c r="R14" i="7"/>
  <c r="R40" i="7" s="1"/>
  <c r="P5" i="7"/>
  <c r="O6" i="7"/>
  <c r="P8" i="7"/>
  <c r="R9" i="7"/>
  <c r="T10" i="7"/>
  <c r="R12" i="7"/>
  <c r="Q12" i="7"/>
  <c r="G12" i="7"/>
  <c r="T12" i="7"/>
  <c r="P12" i="7"/>
  <c r="T13" i="7"/>
  <c r="S15" i="7"/>
  <c r="R15" i="7"/>
  <c r="Q15" i="7"/>
  <c r="Q41" i="7" s="1"/>
  <c r="K24" i="5"/>
  <c r="P24" i="5" s="1"/>
  <c r="Q24" i="5" s="1"/>
  <c r="G37" i="9" s="1"/>
  <c r="F10" i="6"/>
  <c r="R27" i="5"/>
  <c r="R49" i="5" s="1"/>
  <c r="L41" i="5"/>
  <c r="M41" i="5"/>
  <c r="N41" i="5"/>
  <c r="O41" i="5"/>
  <c r="K41" i="5"/>
  <c r="J24" i="5"/>
  <c r="J25" i="5"/>
  <c r="P42" i="5"/>
  <c r="Q42" i="5" s="1"/>
  <c r="P46" i="5"/>
  <c r="G90" i="9" s="1"/>
  <c r="G10" i="9" s="1"/>
  <c r="K25" i="5"/>
  <c r="P25" i="5" s="1"/>
  <c r="Q25" i="5" s="1"/>
  <c r="G38" i="9" s="1"/>
  <c r="O34" i="7" l="1"/>
  <c r="Q40" i="7"/>
  <c r="P40" i="7"/>
  <c r="O41" i="7"/>
  <c r="P37" i="7"/>
  <c r="R36" i="7"/>
  <c r="Q37" i="7"/>
  <c r="Q46" i="5"/>
  <c r="C7" i="6" s="1"/>
  <c r="G7" i="6" s="1"/>
  <c r="R33" i="7"/>
  <c r="D4" i="6"/>
  <c r="D10" i="6" s="1"/>
  <c r="T38" i="7"/>
  <c r="T32" i="7"/>
  <c r="O32" i="7"/>
  <c r="R41" i="7"/>
  <c r="T36" i="7"/>
  <c r="S36" i="7"/>
  <c r="F52" i="7"/>
  <c r="G43" i="5" s="1"/>
  <c r="G52" i="7"/>
  <c r="H43" i="5" s="1"/>
  <c r="H52" i="7"/>
  <c r="I43" i="5" s="1"/>
  <c r="D52" i="7"/>
  <c r="E43" i="5" s="1"/>
  <c r="T82" i="9" s="1"/>
  <c r="H82" i="9" s="1"/>
  <c r="P30" i="7"/>
  <c r="S32" i="7"/>
  <c r="S30" i="7"/>
  <c r="P38" i="7"/>
  <c r="T30" i="7"/>
  <c r="R30" i="7"/>
  <c r="R38" i="7"/>
  <c r="Q39" i="7"/>
  <c r="Q30" i="7"/>
  <c r="R32" i="7"/>
  <c r="P32" i="7"/>
  <c r="P39" i="7"/>
  <c r="R39" i="7"/>
  <c r="T39" i="7"/>
  <c r="R34" i="7"/>
  <c r="S34" i="7"/>
  <c r="O35" i="7"/>
  <c r="P35" i="7"/>
  <c r="T35" i="7"/>
  <c r="P41" i="7"/>
  <c r="N42" i="7"/>
  <c r="I28" i="5" s="1"/>
  <c r="T37" i="7"/>
  <c r="O37" i="7"/>
  <c r="P36" i="7"/>
  <c r="Q36" i="7"/>
  <c r="R35" i="7"/>
  <c r="Q35" i="7"/>
  <c r="L42" i="7"/>
  <c r="G28" i="5" s="1"/>
  <c r="S35" i="7"/>
  <c r="T34" i="7"/>
  <c r="P34" i="7"/>
  <c r="Q34" i="7"/>
  <c r="U15" i="7"/>
  <c r="S41" i="7"/>
  <c r="K42" i="7"/>
  <c r="F28" i="5" s="1"/>
  <c r="O29" i="7"/>
  <c r="J42" i="7"/>
  <c r="E28" i="5" s="1"/>
  <c r="M42" i="7"/>
  <c r="H28" i="5" s="1"/>
  <c r="R31" i="7"/>
  <c r="P31" i="7"/>
  <c r="T31" i="7"/>
  <c r="U26" i="7"/>
  <c r="U39" i="7" s="1"/>
  <c r="U18" i="7"/>
  <c r="S29" i="7"/>
  <c r="P29" i="7"/>
  <c r="U17" i="7"/>
  <c r="U19" i="7"/>
  <c r="U24" i="7"/>
  <c r="U22" i="7"/>
  <c r="T29" i="7"/>
  <c r="R29" i="7"/>
  <c r="U27" i="7"/>
  <c r="U25" i="7"/>
  <c r="U38" i="7" s="1"/>
  <c r="U23" i="7"/>
  <c r="Q29" i="7"/>
  <c r="U20" i="7"/>
  <c r="U21" i="7"/>
  <c r="U28" i="7"/>
  <c r="T16" i="7"/>
  <c r="U8" i="7"/>
  <c r="U13" i="7"/>
  <c r="O16" i="7"/>
  <c r="U12" i="7"/>
  <c r="U7" i="7"/>
  <c r="U33" i="7" s="1"/>
  <c r="P16" i="7"/>
  <c r="P42" i="7" s="1"/>
  <c r="K28" i="5" s="1"/>
  <c r="K27" i="5" s="1"/>
  <c r="U4" i="7"/>
  <c r="Q16" i="7"/>
  <c r="U5" i="7"/>
  <c r="U31" i="7" s="1"/>
  <c r="U10" i="7"/>
  <c r="U9" i="7"/>
  <c r="U6" i="7"/>
  <c r="U14" i="7"/>
  <c r="U40" i="7" s="1"/>
  <c r="U11" i="7"/>
  <c r="S16" i="7"/>
  <c r="R16" i="7"/>
  <c r="R42" i="7" s="1"/>
  <c r="M28" i="5" s="1"/>
  <c r="P41" i="5"/>
  <c r="Q41" i="5" s="1"/>
  <c r="L20" i="5"/>
  <c r="M20" i="5"/>
  <c r="N20" i="5"/>
  <c r="O20" i="5"/>
  <c r="K20" i="5"/>
  <c r="J28" i="5" l="1"/>
  <c r="J43" i="5"/>
  <c r="G82" i="9" s="1"/>
  <c r="U30" i="7"/>
  <c r="U32" i="7"/>
  <c r="O42" i="7"/>
  <c r="U41" i="7"/>
  <c r="U37" i="7"/>
  <c r="U36" i="7"/>
  <c r="U35" i="7"/>
  <c r="U34" i="7"/>
  <c r="Q42" i="7"/>
  <c r="L28" i="5" s="1"/>
  <c r="S42" i="7"/>
  <c r="N28" i="5" s="1"/>
  <c r="T42" i="7"/>
  <c r="O28" i="5" s="1"/>
  <c r="U29" i="7"/>
  <c r="U16" i="7"/>
  <c r="D29" i="5"/>
  <c r="L35" i="5"/>
  <c r="M35" i="5"/>
  <c r="N35" i="5"/>
  <c r="O35" i="5"/>
  <c r="K35" i="5"/>
  <c r="J35" i="5"/>
  <c r="L32" i="5"/>
  <c r="M32" i="5"/>
  <c r="N32" i="5"/>
  <c r="O32" i="5"/>
  <c r="K32" i="5"/>
  <c r="L33" i="5"/>
  <c r="M33" i="5"/>
  <c r="N33" i="5"/>
  <c r="O33" i="5"/>
  <c r="K33" i="5"/>
  <c r="N44" i="5"/>
  <c r="N43" i="5" s="1"/>
  <c r="L44" i="5"/>
  <c r="L43" i="5" s="1"/>
  <c r="J44" i="5"/>
  <c r="F34" i="5"/>
  <c r="G34" i="5"/>
  <c r="H34" i="5"/>
  <c r="I34" i="5"/>
  <c r="O34" i="5" s="1"/>
  <c r="L34" i="5"/>
  <c r="M34" i="5"/>
  <c r="N34" i="5"/>
  <c r="L40" i="5"/>
  <c r="K40" i="5"/>
  <c r="L39" i="5"/>
  <c r="M39" i="5"/>
  <c r="N39" i="5"/>
  <c r="O39" i="5"/>
  <c r="K39" i="5"/>
  <c r="P37" i="5"/>
  <c r="Q37" i="5" s="1"/>
  <c r="L38" i="5"/>
  <c r="M38" i="5"/>
  <c r="N38" i="5"/>
  <c r="O38" i="5"/>
  <c r="J33" i="5"/>
  <c r="J40" i="5"/>
  <c r="J39" i="5"/>
  <c r="J38" i="5"/>
  <c r="J37" i="5"/>
  <c r="J36" i="5"/>
  <c r="J32" i="5"/>
  <c r="J31" i="5"/>
  <c r="J30" i="5"/>
  <c r="J29" i="5"/>
  <c r="N29" i="5" l="1"/>
  <c r="F28" i="3"/>
  <c r="U42" i="7"/>
  <c r="M44" i="5"/>
  <c r="M43" i="5" s="1"/>
  <c r="M29" i="5"/>
  <c r="P33" i="5"/>
  <c r="Q33" i="5" s="1"/>
  <c r="K29" i="5"/>
  <c r="L29" i="5"/>
  <c r="O29" i="5"/>
  <c r="K43" i="5"/>
  <c r="P35" i="5"/>
  <c r="Q35" i="5" s="1"/>
  <c r="O44" i="5"/>
  <c r="P38" i="5"/>
  <c r="Q38" i="5" s="1"/>
  <c r="P39" i="5"/>
  <c r="Q39" i="5" s="1"/>
  <c r="J34" i="5"/>
  <c r="P40" i="5"/>
  <c r="Q40" i="5" s="1"/>
  <c r="L21" i="5"/>
  <c r="M21" i="5"/>
  <c r="N21" i="5"/>
  <c r="O21" i="5"/>
  <c r="K21" i="5"/>
  <c r="F19" i="5"/>
  <c r="L19" i="5" s="1"/>
  <c r="G19" i="5"/>
  <c r="H19" i="5"/>
  <c r="I19" i="5"/>
  <c r="E19" i="5"/>
  <c r="K19" i="5" s="1"/>
  <c r="M19" i="5"/>
  <c r="N19" i="5"/>
  <c r="O19" i="5"/>
  <c r="L18" i="5"/>
  <c r="M18" i="5"/>
  <c r="N18" i="5"/>
  <c r="N17" i="5" s="1"/>
  <c r="O18" i="5"/>
  <c r="K18" i="5"/>
  <c r="J17" i="5"/>
  <c r="G29" i="9" s="1"/>
  <c r="J18" i="5"/>
  <c r="J20" i="5"/>
  <c r="J21" i="5"/>
  <c r="J22" i="5"/>
  <c r="J23" i="5"/>
  <c r="F5" i="5"/>
  <c r="G5" i="5"/>
  <c r="H5" i="5"/>
  <c r="I5" i="5"/>
  <c r="E5" i="5"/>
  <c r="K6" i="5"/>
  <c r="L16" i="5"/>
  <c r="M16" i="5"/>
  <c r="N16" i="5"/>
  <c r="O16" i="5"/>
  <c r="K16" i="5"/>
  <c r="J16" i="5"/>
  <c r="G26" i="9" s="1"/>
  <c r="J7" i="5"/>
  <c r="J8" i="5"/>
  <c r="J9" i="5"/>
  <c r="J10" i="5"/>
  <c r="J11" i="5"/>
  <c r="J6" i="5"/>
  <c r="K11" i="5"/>
  <c r="L11" i="5"/>
  <c r="M11" i="5"/>
  <c r="N11" i="5"/>
  <c r="O11" i="5"/>
  <c r="P28" i="5" l="1"/>
  <c r="Q28" i="5" s="1"/>
  <c r="U28" i="5" s="1"/>
  <c r="K17" i="5"/>
  <c r="L17" i="5"/>
  <c r="O17" i="5"/>
  <c r="M17" i="5"/>
  <c r="P44" i="5"/>
  <c r="O43" i="5"/>
  <c r="P43" i="5" s="1"/>
  <c r="P16" i="5"/>
  <c r="J5" i="5"/>
  <c r="G17" i="9" s="1"/>
  <c r="J19" i="5"/>
  <c r="P11" i="5"/>
  <c r="Q11" i="5" s="1"/>
  <c r="O10" i="5"/>
  <c r="N10" i="5"/>
  <c r="M10" i="5"/>
  <c r="L10" i="5"/>
  <c r="K10" i="5"/>
  <c r="G27" i="9" l="1"/>
  <c r="Q16" i="5"/>
  <c r="G83" i="9"/>
  <c r="P10" i="5"/>
  <c r="Q10" i="5" s="1"/>
  <c r="F38" i="3" s="1"/>
  <c r="P48" i="5"/>
  <c r="Q48" i="5" s="1"/>
  <c r="C9" i="6" s="1"/>
  <c r="G9" i="6" s="1"/>
  <c r="P47" i="5"/>
  <c r="P45" i="5"/>
  <c r="P32" i="5"/>
  <c r="Q32" i="5" s="1"/>
  <c r="P31" i="5"/>
  <c r="Q31" i="5" s="1"/>
  <c r="P30" i="5"/>
  <c r="Q30" i="5" s="1"/>
  <c r="P23" i="5"/>
  <c r="Q23" i="5" s="1"/>
  <c r="G36" i="9" s="1"/>
  <c r="P22" i="5"/>
  <c r="Q22" i="5" s="1"/>
  <c r="G35" i="9" s="1"/>
  <c r="O9" i="5"/>
  <c r="N9" i="5"/>
  <c r="M9" i="5"/>
  <c r="L9" i="5"/>
  <c r="K9" i="5"/>
  <c r="O8" i="5"/>
  <c r="N8" i="5"/>
  <c r="M8" i="5"/>
  <c r="L8" i="5"/>
  <c r="K8" i="5"/>
  <c r="O7" i="5"/>
  <c r="N7" i="5"/>
  <c r="M7" i="5"/>
  <c r="L7" i="5"/>
  <c r="K7" i="5"/>
  <c r="O6" i="5"/>
  <c r="N6" i="5"/>
  <c r="M6" i="5"/>
  <c r="L6" i="5"/>
  <c r="P4" i="5"/>
  <c r="Q4" i="5" s="1"/>
  <c r="G88" i="9" l="1"/>
  <c r="G9" i="9" s="1"/>
  <c r="Q45" i="5"/>
  <c r="C6" i="6" s="1"/>
  <c r="G6" i="6" s="1"/>
  <c r="G93" i="9"/>
  <c r="G11" i="9" s="1"/>
  <c r="Q47" i="5"/>
  <c r="C8" i="6" s="1"/>
  <c r="G8" i="6" s="1"/>
  <c r="N5" i="5"/>
  <c r="N3" i="5" s="1"/>
  <c r="K5" i="5"/>
  <c r="O5" i="5"/>
  <c r="M5" i="5"/>
  <c r="L5" i="5"/>
  <c r="P7" i="5"/>
  <c r="Q7" i="5" s="1"/>
  <c r="P19" i="5"/>
  <c r="P20" i="5"/>
  <c r="Q20" i="5" s="1"/>
  <c r="G33" i="9" s="1"/>
  <c r="P18" i="5"/>
  <c r="Q18" i="5" s="1"/>
  <c r="G31" i="9" s="1"/>
  <c r="P8" i="5"/>
  <c r="Q8" i="5" s="1"/>
  <c r="P9" i="5"/>
  <c r="Q9" i="5" s="1"/>
  <c r="F37" i="3" s="1"/>
  <c r="F46" i="3" s="1"/>
  <c r="F76" i="3" s="1"/>
  <c r="P21" i="5"/>
  <c r="Q21" i="5" s="1"/>
  <c r="G34" i="9" s="1"/>
  <c r="P6" i="5"/>
  <c r="Q6" i="5" s="1"/>
  <c r="P17" i="5" l="1"/>
  <c r="Q19" i="5"/>
  <c r="G32" i="9" s="1"/>
  <c r="K3" i="5"/>
  <c r="T25" i="9"/>
  <c r="T18" i="9" s="1"/>
  <c r="O3" i="5"/>
  <c r="L3" i="5"/>
  <c r="M3" i="5"/>
  <c r="P5" i="5"/>
  <c r="G18" i="9" s="1"/>
  <c r="P29" i="5"/>
  <c r="Q29" i="5" s="1"/>
  <c r="P34" i="5"/>
  <c r="Q34" i="5" s="1"/>
  <c r="Q5" i="5" l="1"/>
  <c r="H18" i="9"/>
  <c r="H16" i="9" s="1"/>
  <c r="T16" i="9"/>
  <c r="T7" i="9" s="1"/>
  <c r="Q17" i="5"/>
  <c r="G30" i="9"/>
  <c r="G16" i="9" s="1"/>
  <c r="P3" i="5"/>
  <c r="Q3" i="5" s="1"/>
  <c r="C3" i="6" s="1"/>
  <c r="T13" i="9" l="1"/>
  <c r="H7" i="9"/>
  <c r="H13" i="9" s="1"/>
  <c r="G7" i="9"/>
  <c r="G3" i="6"/>
  <c r="M139" i="4" l="1"/>
  <c r="Q139" i="4"/>
  <c r="U139" i="4"/>
  <c r="J137" i="4"/>
  <c r="J139" i="4" s="1"/>
  <c r="K137" i="4"/>
  <c r="K139" i="4" s="1"/>
  <c r="L137" i="4"/>
  <c r="L139" i="4" s="1"/>
  <c r="M137" i="4"/>
  <c r="N137" i="4"/>
  <c r="N139" i="4" s="1"/>
  <c r="O137" i="4"/>
  <c r="O139" i="4" s="1"/>
  <c r="P137" i="4"/>
  <c r="P139" i="4" s="1"/>
  <c r="Q137" i="4"/>
  <c r="R137" i="4"/>
  <c r="R139" i="4" s="1"/>
  <c r="S137" i="4"/>
  <c r="S139" i="4" s="1"/>
  <c r="T137" i="4"/>
  <c r="T139" i="4" s="1"/>
  <c r="U137" i="4"/>
  <c r="I137" i="4"/>
  <c r="I139" i="4" s="1"/>
  <c r="V137" i="4" l="1"/>
  <c r="V139" i="4"/>
  <c r="H27" i="5" l="1"/>
  <c r="G27" i="5"/>
  <c r="I27" i="5"/>
  <c r="E27" i="5"/>
  <c r="T40" i="9" s="1"/>
  <c r="L27" i="5"/>
  <c r="L49" i="5" s="1"/>
  <c r="F27" i="5"/>
  <c r="L26" i="5" l="1"/>
  <c r="J27" i="5"/>
  <c r="G40" i="9" s="1"/>
  <c r="K49" i="5" l="1"/>
  <c r="N27" i="5"/>
  <c r="N49" i="5" s="1"/>
  <c r="O27" i="5"/>
  <c r="O49" i="5" s="1"/>
  <c r="M27" i="5"/>
  <c r="M49" i="5" s="1"/>
  <c r="P49" i="5" l="1"/>
  <c r="O26" i="5"/>
  <c r="N26" i="5"/>
  <c r="M26" i="5"/>
  <c r="P27" i="5" l="1"/>
  <c r="G41" i="9" s="1"/>
  <c r="Q27" i="5"/>
  <c r="K26" i="5"/>
  <c r="P26" i="5" s="1"/>
  <c r="G39" i="9" l="1"/>
  <c r="G8" i="9" s="1"/>
  <c r="G13" i="9" s="1"/>
  <c r="Q26" i="5"/>
  <c r="C4" i="6" s="1"/>
  <c r="G4" i="6" s="1"/>
  <c r="C10" i="6" l="1"/>
  <c r="G10" i="6" s="1"/>
</calcChain>
</file>

<file path=xl/sharedStrings.xml><?xml version="1.0" encoding="utf-8"?>
<sst xmlns="http://schemas.openxmlformats.org/spreadsheetml/2006/main" count="1151" uniqueCount="593">
  <si>
    <t>Gestion connaissance et documentation</t>
  </si>
  <si>
    <t>Incitations</t>
  </si>
  <si>
    <t>CU</t>
  </si>
  <si>
    <t>Pompes</t>
  </si>
  <si>
    <t>Puits</t>
  </si>
  <si>
    <t>Traction attelée</t>
  </si>
  <si>
    <t>Pulverisateurs</t>
  </si>
  <si>
    <t>Moulins cannes</t>
  </si>
  <si>
    <t>Jardin creole divers</t>
  </si>
  <si>
    <t>Gestion</t>
  </si>
  <si>
    <t>Suivi/evaluation</t>
  </si>
  <si>
    <t>Contingences</t>
  </si>
  <si>
    <t>TOTAL</t>
  </si>
  <si>
    <t>Physique</t>
  </si>
  <si>
    <t>Financier</t>
  </si>
  <si>
    <t>Assistance technique mise en oeuvre composante</t>
  </si>
  <si>
    <t>Egréneuse</t>
  </si>
  <si>
    <t>Departement</t>
  </si>
  <si>
    <t>ID_Commune</t>
  </si>
  <si>
    <t>Commune</t>
  </si>
  <si>
    <t>ID_Section</t>
  </si>
  <si>
    <t>Section_Communale</t>
  </si>
  <si>
    <t>NORD</t>
  </si>
  <si>
    <t>1ère Basse Plaine</t>
  </si>
  <si>
    <t>LIMONADE</t>
  </si>
  <si>
    <t>313-01</t>
  </si>
  <si>
    <t>313-02</t>
  </si>
  <si>
    <t>2ème Bois de Lance</t>
  </si>
  <si>
    <t>313-03</t>
  </si>
  <si>
    <t>3ème Roucou</t>
  </si>
  <si>
    <t>6ème Soufrière</t>
  </si>
  <si>
    <t>MILOT</t>
  </si>
  <si>
    <t>323-01</t>
  </si>
  <si>
    <t>1ère Perches du Bonnet</t>
  </si>
  <si>
    <t>323-02</t>
  </si>
  <si>
    <t>2ème Bonnet à l'Evêque</t>
  </si>
  <si>
    <t>323-03</t>
  </si>
  <si>
    <t>3ème Génipailler</t>
  </si>
  <si>
    <t>GRANDE RIVIERE DU NORD</t>
  </si>
  <si>
    <t>331-01</t>
  </si>
  <si>
    <t>1ère Grand Gilles</t>
  </si>
  <si>
    <t>331-02</t>
  </si>
  <si>
    <t>2ème Solon</t>
  </si>
  <si>
    <t>331-03</t>
  </si>
  <si>
    <t>3ème Caracol</t>
  </si>
  <si>
    <t>331-04</t>
  </si>
  <si>
    <t>7ème Gambade</t>
  </si>
  <si>
    <t>331-05</t>
  </si>
  <si>
    <t>8ème Jolitrou</t>
  </si>
  <si>
    <t>331-06</t>
  </si>
  <si>
    <t>9ème Cormiers</t>
  </si>
  <si>
    <t>BAHON</t>
  </si>
  <si>
    <t>332-01</t>
  </si>
  <si>
    <t>4ème Bois Pin</t>
  </si>
  <si>
    <t>332-02</t>
  </si>
  <si>
    <t>5ème Bailly</t>
  </si>
  <si>
    <t>332-03</t>
  </si>
  <si>
    <t>6ème Montagne Noire</t>
  </si>
  <si>
    <t>ST. RAPHAEL</t>
  </si>
  <si>
    <t>341-01</t>
  </si>
  <si>
    <t>1ère Bois Neuf</t>
  </si>
  <si>
    <t>341-02</t>
  </si>
  <si>
    <t>2ème Mathurin</t>
  </si>
  <si>
    <t>341-03</t>
  </si>
  <si>
    <t>3ème Bouyaha</t>
  </si>
  <si>
    <t>341-04</t>
  </si>
  <si>
    <t>4ème Sanyago</t>
  </si>
  <si>
    <t>DONDON</t>
  </si>
  <si>
    <t>342-01</t>
  </si>
  <si>
    <t>1ère Brostage</t>
  </si>
  <si>
    <t>342-02</t>
  </si>
  <si>
    <t>2ème Bassin Caiman</t>
  </si>
  <si>
    <t>342-03</t>
  </si>
  <si>
    <t>3ème Matador</t>
  </si>
  <si>
    <t>342-04</t>
  </si>
  <si>
    <t>4ème Laguille</t>
  </si>
  <si>
    <t>342-05</t>
  </si>
  <si>
    <t>5ème Haut du Trou</t>
  </si>
  <si>
    <t>LIMBE</t>
  </si>
  <si>
    <t>361-01</t>
  </si>
  <si>
    <t>3ème Acul Jeannot</t>
  </si>
  <si>
    <t>361-02</t>
  </si>
  <si>
    <t>4ème Chabotte</t>
  </si>
  <si>
    <t>361-03</t>
  </si>
  <si>
    <t>5ème Camp Coq</t>
  </si>
  <si>
    <t>361-04</t>
  </si>
  <si>
    <t>361-05</t>
  </si>
  <si>
    <t>7ème Ravine Desroches</t>
  </si>
  <si>
    <t>361-06</t>
  </si>
  <si>
    <t>8ème Ilot à Cornes</t>
  </si>
  <si>
    <t>BAS LIMBE</t>
  </si>
  <si>
    <t>362-01</t>
  </si>
  <si>
    <t>1ère Garde Champêtre</t>
  </si>
  <si>
    <t>362-02</t>
  </si>
  <si>
    <t>2ème Petit Howars</t>
  </si>
  <si>
    <t>PLAISANCE</t>
  </si>
  <si>
    <t>371-01</t>
  </si>
  <si>
    <t>1ère Gobert</t>
  </si>
  <si>
    <t>371-02</t>
  </si>
  <si>
    <t>2ème Champagne</t>
  </si>
  <si>
    <t>371-03</t>
  </si>
  <si>
    <t>3ème Haut Martineau</t>
  </si>
  <si>
    <t>371-04</t>
  </si>
  <si>
    <t>4ème Mapou</t>
  </si>
  <si>
    <t>371-05</t>
  </si>
  <si>
    <t>5ème La trouble</t>
  </si>
  <si>
    <t>371-06</t>
  </si>
  <si>
    <t>6ème La Ville</t>
  </si>
  <si>
    <t>371-07</t>
  </si>
  <si>
    <t>7ème Bassin</t>
  </si>
  <si>
    <t>371-08</t>
  </si>
  <si>
    <t>8ème Grande Rivière</t>
  </si>
  <si>
    <t>PILATE</t>
  </si>
  <si>
    <t>372-01</t>
  </si>
  <si>
    <t>1ère Ballon</t>
  </si>
  <si>
    <t>372-02</t>
  </si>
  <si>
    <t>2ème Baudin</t>
  </si>
  <si>
    <t>372-03</t>
  </si>
  <si>
    <t>3ème Ravine Trompette</t>
  </si>
  <si>
    <t>372-04</t>
  </si>
  <si>
    <t>4ème Joly</t>
  </si>
  <si>
    <t>372-05</t>
  </si>
  <si>
    <t>5ème Dubourgs</t>
  </si>
  <si>
    <t>372-06</t>
  </si>
  <si>
    <t>6ème Piment</t>
  </si>
  <si>
    <t>372-07</t>
  </si>
  <si>
    <t>7ème Rivière La Porte</t>
  </si>
  <si>
    <t>372-08</t>
  </si>
  <si>
    <t>8ème Margot</t>
  </si>
  <si>
    <t>NORD EST</t>
  </si>
  <si>
    <t>TROU DU NORD</t>
  </si>
  <si>
    <t>431-01</t>
  </si>
  <si>
    <t>1ère Garcin</t>
  </si>
  <si>
    <t>431-02</t>
  </si>
  <si>
    <t>2ème Roucou</t>
  </si>
  <si>
    <t>431-03</t>
  </si>
  <si>
    <t>3ème Roche Plate</t>
  </si>
  <si>
    <t>SAINTE SUZANE</t>
  </si>
  <si>
    <t>432-01</t>
  </si>
  <si>
    <t>1ère Foulon</t>
  </si>
  <si>
    <t>432-02</t>
  </si>
  <si>
    <t>2ème Bois Blanc</t>
  </si>
  <si>
    <t>432-03</t>
  </si>
  <si>
    <t>3ème Côtelette</t>
  </si>
  <si>
    <t>432-04</t>
  </si>
  <si>
    <t>4ème Sarazin</t>
  </si>
  <si>
    <t>432-05</t>
  </si>
  <si>
    <t>5ème Moka-Neuf</t>
  </si>
  <si>
    <t>432-06</t>
  </si>
  <si>
    <t>6ème Fond Bleu</t>
  </si>
  <si>
    <t>TERRIER ROUGE</t>
  </si>
  <si>
    <t>433-01</t>
  </si>
  <si>
    <t>1ère Fond Blanc</t>
  </si>
  <si>
    <t>433-02</t>
  </si>
  <si>
    <t>2ème Grand Bassin</t>
  </si>
  <si>
    <t>CARACOL</t>
  </si>
  <si>
    <t>434-01</t>
  </si>
  <si>
    <t>1ère Champin</t>
  </si>
  <si>
    <t>434-02</t>
  </si>
  <si>
    <t>2ème Claudine</t>
  </si>
  <si>
    <t>ARTIBONITE</t>
  </si>
  <si>
    <t>2ème Sources Chaudes</t>
  </si>
  <si>
    <t>SAINT-MICHEL</t>
  </si>
  <si>
    <t>551-01</t>
  </si>
  <si>
    <t>1ère Platana</t>
  </si>
  <si>
    <t>551-02</t>
  </si>
  <si>
    <t>2ème Camathe</t>
  </si>
  <si>
    <t>551-03</t>
  </si>
  <si>
    <t>3ème Bas de Sault</t>
  </si>
  <si>
    <t>551-04</t>
  </si>
  <si>
    <t>4ème Lalomas</t>
  </si>
  <si>
    <t>551-05</t>
  </si>
  <si>
    <t>5ème L'Ermite</t>
  </si>
  <si>
    <t>551-06</t>
  </si>
  <si>
    <t>6ème Lacedras</t>
  </si>
  <si>
    <t>551-07</t>
  </si>
  <si>
    <t>7ème manon</t>
  </si>
  <si>
    <t>551-08</t>
  </si>
  <si>
    <t>8ème l'Attalaye</t>
  </si>
  <si>
    <t>MARMELADE</t>
  </si>
  <si>
    <t>552-01</t>
  </si>
  <si>
    <t>1ère Crête à Pins</t>
  </si>
  <si>
    <t>552-02</t>
  </si>
  <si>
    <t>2ème Bassin</t>
  </si>
  <si>
    <t>552-03</t>
  </si>
  <si>
    <t>3ème Platon</t>
  </si>
  <si>
    <t>CENTRE</t>
  </si>
  <si>
    <t>THOMONDE</t>
  </si>
  <si>
    <t>613-01</t>
  </si>
  <si>
    <t>1ère Cabral</t>
  </si>
  <si>
    <t>613-02</t>
  </si>
  <si>
    <t>2ème Tierra Muscady</t>
  </si>
  <si>
    <t>613-03</t>
  </si>
  <si>
    <t>3ème Baille Tourrible</t>
  </si>
  <si>
    <t>SUD</t>
  </si>
  <si>
    <t>TORBECK</t>
  </si>
  <si>
    <t>712-01</t>
  </si>
  <si>
    <t>1ère Bourry</t>
  </si>
  <si>
    <t>712-02</t>
  </si>
  <si>
    <t>2ème Bérault</t>
  </si>
  <si>
    <t>712-03</t>
  </si>
  <si>
    <t>3ème Solon</t>
  </si>
  <si>
    <t>712-04</t>
  </si>
  <si>
    <t>4ème Moreau</t>
  </si>
  <si>
    <t>CHANTAL</t>
  </si>
  <si>
    <t>713-01</t>
  </si>
  <si>
    <t>1ère Fond Palmiste</t>
  </si>
  <si>
    <t>713-02</t>
  </si>
  <si>
    <t>2ème Melonière</t>
  </si>
  <si>
    <t>713-03</t>
  </si>
  <si>
    <t>3ème Carrefour Canon</t>
  </si>
  <si>
    <t>CAMP PERRIN</t>
  </si>
  <si>
    <t>714-01</t>
  </si>
  <si>
    <t>1ère Lévy</t>
  </si>
  <si>
    <t>714-02</t>
  </si>
  <si>
    <t>2ème Champlois</t>
  </si>
  <si>
    <t>714-03</t>
  </si>
  <si>
    <t>3ème Tibi Davezac</t>
  </si>
  <si>
    <t>MANICHE</t>
  </si>
  <si>
    <t>715-01</t>
  </si>
  <si>
    <t>1ère Maniche</t>
  </si>
  <si>
    <t>715-10</t>
  </si>
  <si>
    <t>10ème Dory</t>
  </si>
  <si>
    <t>715-11</t>
  </si>
  <si>
    <t>11ème Melon</t>
  </si>
  <si>
    <t>GRANDE ANSE</t>
  </si>
  <si>
    <t>JEREMIE</t>
  </si>
  <si>
    <t>811-01</t>
  </si>
  <si>
    <t>1ère Basse Voldrogue</t>
  </si>
  <si>
    <t>811-02</t>
  </si>
  <si>
    <t>2ème Haute Voldrogue</t>
  </si>
  <si>
    <t>811-03</t>
  </si>
  <si>
    <t>3ème Haute Guinaudée</t>
  </si>
  <si>
    <t>811-04</t>
  </si>
  <si>
    <t>4ème Basse Guinaudée</t>
  </si>
  <si>
    <t>811-05</t>
  </si>
  <si>
    <t>5ème Ravine à Charles</t>
  </si>
  <si>
    <t>811-06</t>
  </si>
  <si>
    <t>6ème Iles Blanches</t>
  </si>
  <si>
    <t>811-07</t>
  </si>
  <si>
    <t>7ème Marfranc</t>
  </si>
  <si>
    <t>811-08</t>
  </si>
  <si>
    <t>8ème Fonds Rouge Dahere</t>
  </si>
  <si>
    <t>811-09</t>
  </si>
  <si>
    <t>9ème Fonds Rouge Torbeck</t>
  </si>
  <si>
    <t>ABRICOTS</t>
  </si>
  <si>
    <t>812-01</t>
  </si>
  <si>
    <t>1ère Anse du Clerc</t>
  </si>
  <si>
    <t>812-02</t>
  </si>
  <si>
    <t>2ème Balisiers</t>
  </si>
  <si>
    <t>812-03</t>
  </si>
  <si>
    <t>3ème Danglise</t>
  </si>
  <si>
    <t>812-04</t>
  </si>
  <si>
    <t>4ème La Seringue</t>
  </si>
  <si>
    <t>BONBON</t>
  </si>
  <si>
    <t>813-01</t>
  </si>
  <si>
    <t>10ème de Désormeau</t>
  </si>
  <si>
    <t>MORON</t>
  </si>
  <si>
    <t>814-01</t>
  </si>
  <si>
    <t>1ère Anotte</t>
  </si>
  <si>
    <t>814-02</t>
  </si>
  <si>
    <t>814-03</t>
  </si>
  <si>
    <t>3ème L'Assive</t>
  </si>
  <si>
    <t>CHAMBELLAN</t>
  </si>
  <si>
    <t>815-01</t>
  </si>
  <si>
    <t>1ère  Déjean</t>
  </si>
  <si>
    <t>815-02</t>
  </si>
  <si>
    <t>2ème Boucan</t>
  </si>
  <si>
    <t>ANSE-D'AINAULT</t>
  </si>
  <si>
    <t>821-01</t>
  </si>
  <si>
    <t>1ère Grandoit</t>
  </si>
  <si>
    <t>821-02</t>
  </si>
  <si>
    <t>2ème Boudon</t>
  </si>
  <si>
    <t>821-03</t>
  </si>
  <si>
    <t>3ème Ilet Pierre à Joseph</t>
  </si>
  <si>
    <t>821-04</t>
  </si>
  <si>
    <t>4ème Mandou</t>
  </si>
  <si>
    <t>DAME-MARIE</t>
  </si>
  <si>
    <t>822-01</t>
  </si>
  <si>
    <t>1èrere Bariadelle</t>
  </si>
  <si>
    <t>822-02</t>
  </si>
  <si>
    <t>2èmeme  Dallier</t>
  </si>
  <si>
    <t>822-03</t>
  </si>
  <si>
    <t>3ème Désormeau</t>
  </si>
  <si>
    <t>822-04</t>
  </si>
  <si>
    <t>5ème Baliverne</t>
  </si>
  <si>
    <t>822-05</t>
  </si>
  <si>
    <t>6ème Petite Rivière</t>
  </si>
  <si>
    <t>LES IROIS</t>
  </si>
  <si>
    <t>823-01</t>
  </si>
  <si>
    <t>5ème Matador</t>
  </si>
  <si>
    <t>823-02</t>
  </si>
  <si>
    <t>6ème Bélair</t>
  </si>
  <si>
    <t>823-03</t>
  </si>
  <si>
    <t>7ème Garcasse</t>
  </si>
  <si>
    <t>CORAIL</t>
  </si>
  <si>
    <t>831-01</t>
  </si>
  <si>
    <t>1èrere Duquillon</t>
  </si>
  <si>
    <t>831-02</t>
  </si>
  <si>
    <t>2ème Fonds d' Icaque</t>
  </si>
  <si>
    <t>831-03</t>
  </si>
  <si>
    <t>3ème Champy</t>
  </si>
  <si>
    <t>ROSEAUX</t>
  </si>
  <si>
    <t>832-01</t>
  </si>
  <si>
    <t>1èrere Carrefour Charles</t>
  </si>
  <si>
    <t>832-02</t>
  </si>
  <si>
    <t>2ème Fonds Cochon</t>
  </si>
  <si>
    <t>832-03</t>
  </si>
  <si>
    <t>3ème Grand Vicent</t>
  </si>
  <si>
    <t>832-04</t>
  </si>
  <si>
    <t>4ème les Gomiers</t>
  </si>
  <si>
    <t>BEAUMONT</t>
  </si>
  <si>
    <t>833-02</t>
  </si>
  <si>
    <t>2ème Mouline</t>
  </si>
  <si>
    <t>833-03</t>
  </si>
  <si>
    <t>3ème Chardonette</t>
  </si>
  <si>
    <t>833-04</t>
  </si>
  <si>
    <t>4ème Beaumont</t>
  </si>
  <si>
    <t>PESTEL</t>
  </si>
  <si>
    <t>834-01</t>
  </si>
  <si>
    <t>1èrere Bernagousse</t>
  </si>
  <si>
    <t>834-02</t>
  </si>
  <si>
    <t>2ème Espere</t>
  </si>
  <si>
    <t>834-03</t>
  </si>
  <si>
    <t>3ème Jn Belune</t>
  </si>
  <si>
    <t>834-04</t>
  </si>
  <si>
    <t>4ème Tozia</t>
  </si>
  <si>
    <t>834-05</t>
  </si>
  <si>
    <t>5ème Duchity</t>
  </si>
  <si>
    <t>834-06</t>
  </si>
  <si>
    <t>6ème Les Cayemites</t>
  </si>
  <si>
    <t>Foncier</t>
  </si>
  <si>
    <t>PMDN 2</t>
  </si>
  <si>
    <t>Traction attelee</t>
  </si>
  <si>
    <t>Egreneuse</t>
  </si>
  <si>
    <t>Cout unitaire</t>
  </si>
  <si>
    <t>Unité</t>
  </si>
  <si>
    <t>Bourse</t>
  </si>
  <si>
    <t>homme/mois</t>
  </si>
  <si>
    <t>forfait</t>
  </si>
  <si>
    <t>Incitation</t>
  </si>
  <si>
    <t>Ha</t>
  </si>
  <si>
    <t>Parcelle fruitiere</t>
  </si>
  <si>
    <t>Canne a sucre Madam Mevs</t>
  </si>
  <si>
    <t>Bois oeuvre et energie</t>
  </si>
  <si>
    <t>Fourrage</t>
  </si>
  <si>
    <t>Total</t>
  </si>
  <si>
    <t>Contrat</t>
  </si>
  <si>
    <t>Intermédiaire financier</t>
  </si>
  <si>
    <t>Systeme d'information</t>
  </si>
  <si>
    <t>Formation des fournisseurs</t>
  </si>
  <si>
    <t>Personnel d'appui</t>
  </si>
  <si>
    <t>Regeneration cacao</t>
  </si>
  <si>
    <t>Canne a sucre de bouche</t>
  </si>
  <si>
    <t>Stockage/Sechage</t>
  </si>
  <si>
    <t>Riz</t>
  </si>
  <si>
    <t>Maraichage</t>
  </si>
  <si>
    <t>Coordination</t>
  </si>
  <si>
    <t>Systeme d'information Innovation</t>
  </si>
  <si>
    <t>Frais fonctionnement</t>
  </si>
  <si>
    <t>Gestion environnementale</t>
  </si>
  <si>
    <t>Responsable environnemental</t>
  </si>
  <si>
    <t>Sensibilisation pesticides</t>
  </si>
  <si>
    <t>Etude especes invasives</t>
  </si>
  <si>
    <t>Audit technique incitations</t>
  </si>
  <si>
    <t>Année 1</t>
  </si>
  <si>
    <t>Année 2</t>
  </si>
  <si>
    <t>Année 3</t>
  </si>
  <si>
    <t>Année 4</t>
  </si>
  <si>
    <t>Année 5</t>
  </si>
  <si>
    <t>Musacées</t>
  </si>
  <si>
    <t>Agroforesterie (avocat, arbre a pain, cocotier, agrumes, mangue, autres)</t>
  </si>
  <si>
    <t>Agroforesterie (café, cacao)</t>
  </si>
  <si>
    <t>Agroforesterie (especes forestieres)</t>
  </si>
  <si>
    <t>Tubercules (igname, patate douce, manioc, malanga)</t>
  </si>
  <si>
    <t>Légumineuses (haricots, pois, pois congo, arachide)</t>
  </si>
  <si>
    <t>Autres petits projets innovants (appels ouverts)</t>
  </si>
  <si>
    <t>Produit 1: Projets recherche agricole définis et mis en oeuvre</t>
  </si>
  <si>
    <t>Produit 2: Bourses d'études complémentaires</t>
  </si>
  <si>
    <t>Projet</t>
  </si>
  <si>
    <t>Produit 3: Direction de l'Innovation renforcée</t>
  </si>
  <si>
    <t>Direction</t>
  </si>
  <si>
    <t>Produit 4: Agriculteurs ayant recu des incitations agricoles</t>
  </si>
  <si>
    <t>Techniques de semis et production</t>
  </si>
  <si>
    <t xml:space="preserve">Techniques post-récoltes </t>
  </si>
  <si>
    <t>Techniques de protection et régénération du sol </t>
  </si>
  <si>
    <t>Jardin créole cacao</t>
  </si>
  <si>
    <t>Jardin créole fruitier</t>
  </si>
  <si>
    <t>Jardin créole Canne a sucre Madam Mevs</t>
  </si>
  <si>
    <t>Jardin créole Canne a sucre "de bouche"</t>
  </si>
  <si>
    <t>Lot boisé</t>
  </si>
  <si>
    <t>Contrepartie</t>
  </si>
  <si>
    <t>Subvention</t>
  </si>
  <si>
    <t>Subvention maximale</t>
  </si>
  <si>
    <t>Etude eau/pompage</t>
  </si>
  <si>
    <t>Etude</t>
  </si>
  <si>
    <t>Opérateurs assistance technique (meme que gestion des incitations)</t>
  </si>
  <si>
    <t>Produit 5: Agriculteurs ayant recu de l'assistance technique</t>
  </si>
  <si>
    <t>Opérateurs incitations et assistance technique</t>
  </si>
  <si>
    <t>Audits</t>
  </si>
  <si>
    <t>BID</t>
  </si>
  <si>
    <t>GAFSP</t>
  </si>
  <si>
    <t>Equipement</t>
  </si>
  <si>
    <t>Véhicules</t>
  </si>
  <si>
    <t>véhicule</t>
  </si>
  <si>
    <t>Autres activités environnementales</t>
  </si>
  <si>
    <t>contrat</t>
  </si>
  <si>
    <t>Supervision programme recherche</t>
  </si>
  <si>
    <t>Investment categories</t>
  </si>
  <si>
    <t>Local</t>
  </si>
  <si>
    <t>IDB</t>
  </si>
  <si>
    <t>I. Components</t>
  </si>
  <si>
    <t>Promotion of sustainable agricultural technologies</t>
  </si>
  <si>
    <t>II. Other project costs</t>
  </si>
  <si>
    <t>Administration</t>
  </si>
  <si>
    <t>Monitoring &amp; Evaluation</t>
  </si>
  <si>
    <t>Contingencies</t>
  </si>
  <si>
    <t>GOV</t>
  </si>
  <si>
    <t>Agricultural applied research and training</t>
  </si>
  <si>
    <t>Etudes et appui renforcement institutionnel</t>
  </si>
  <si>
    <t>Nord
Nordest
Artibonite</t>
  </si>
  <si>
    <t>Sud
Grande Anse</t>
  </si>
  <si>
    <t>Composante Recherche et formation agricole</t>
  </si>
  <si>
    <t>Composante Promotion de Technologies Agricoles Durables</t>
  </si>
  <si>
    <t>Assistance technique</t>
  </si>
  <si>
    <t>Qte contrat</t>
  </si>
  <si>
    <t>Cout unitaire contrat</t>
  </si>
  <si>
    <t>12% administration</t>
  </si>
  <si>
    <t>% AT aux producteurs</t>
  </si>
  <si>
    <t>US$ AT/producteur</t>
  </si>
  <si>
    <t>Nb total producteurs</t>
  </si>
  <si>
    <t>A 1</t>
  </si>
  <si>
    <t>A 2</t>
  </si>
  <si>
    <t>A 3</t>
  </si>
  <si>
    <t>A 4</t>
  </si>
  <si>
    <t>A 5</t>
  </si>
  <si>
    <t>Agence d'Exécution</t>
  </si>
  <si>
    <t>Unité d'Exécution</t>
  </si>
  <si>
    <t>Numéro et nom du programme</t>
  </si>
  <si>
    <t xml:space="preserve">Date de préparation </t>
  </si>
  <si>
    <t>Période couverte par le PPM</t>
  </si>
  <si>
    <t>BIENS ET SERVICES CONNEXES (B)</t>
  </si>
  <si>
    <t>Numéro de référence du marché (1)</t>
  </si>
  <si>
    <t>Composante et Activité</t>
  </si>
  <si>
    <t>Description du marché</t>
  </si>
  <si>
    <t>Méthode de de passation de marché (2)</t>
  </si>
  <si>
    <t>Révision                              Ex Ante ou Ex Post</t>
  </si>
  <si>
    <t>Montant estimatif</t>
  </si>
  <si>
    <t>Dates estimatives</t>
  </si>
  <si>
    <t>Commentaires                       ((Pour ED/SED (3)  préciser nom de la firme et clause de justification tirée des politiques de passation de marchés de la BID))</t>
  </si>
  <si>
    <t>Statut : En attente, en cours, adjugé, annulé, clôturé (4)</t>
  </si>
  <si>
    <t>Coût estimatif (USD):</t>
  </si>
  <si>
    <t xml:space="preserve"> % BID:</t>
  </si>
  <si>
    <t>% Contrepartie:</t>
  </si>
  <si>
    <t xml:space="preserve">Publication de l'avis spécifique (Biens - Travaux- SNC) ou de l'Appel à Manifestation d'intérêt  (Firmes) </t>
  </si>
  <si>
    <t>Date de signature du contrat</t>
  </si>
  <si>
    <t>TRAVAUX (T)</t>
  </si>
  <si>
    <t>Publication de l'avis spécifique (Biens - Travaux- SNC) ou de l'Appel à Manifestation d'intérêt (Firmes )</t>
  </si>
  <si>
    <t>SERVICES NON CONSULTATIFS (S)</t>
  </si>
  <si>
    <t xml:space="preserve">Publication de l'avis spécifique (Biens - Travaux- SNC) ou de l'Appel à Manifestation d'intérêt   (Firmes </t>
  </si>
  <si>
    <t>Contract Signature</t>
  </si>
  <si>
    <t xml:space="preserve">BUREAUX DE SERVICES-CONSEILS    (CF)                                                                                                                                            </t>
  </si>
  <si>
    <t xml:space="preserve">Publication de l'avis spécifique (Biens - Travaux- SNC) ou de l'Appel à Manifestation d'intérêt   (Firmes) </t>
  </si>
  <si>
    <t xml:space="preserve">CONSULTANTS INDIVIDUELS         (CI)                                                                                                                                                              </t>
  </si>
  <si>
    <t>Date d'aprobation des TDR et de la grille d'évaluation</t>
  </si>
  <si>
    <t>Date de siganture du contrat</t>
  </si>
  <si>
    <t>DÉPENSES OPÉRATIONNELLES  (DO)</t>
  </si>
  <si>
    <t>Process Number:</t>
  </si>
  <si>
    <t>Date de lancememt du marché</t>
  </si>
  <si>
    <r>
      <rPr>
        <b/>
        <sz val="8"/>
        <rFont val="Calibri"/>
        <family val="2"/>
        <scheme val="minor"/>
      </rPr>
      <t xml:space="preserve">(1) LE NUMERO DE REFERENCE </t>
    </r>
    <r>
      <rPr>
        <sz val="8"/>
        <rFont val="Calibri"/>
        <family val="2"/>
        <scheme val="minor"/>
      </rPr>
      <t xml:space="preserve"> doit inclure les informations suivantes : Le numéro de l'opération; l'unité d'exécution; le type de marché (B, T, S, CF, CI,DO); la méthode de sélection; la séquence; l'année. </t>
    </r>
  </si>
  <si>
    <r>
      <rPr>
        <b/>
        <sz val="8"/>
        <rFont val="Calibri"/>
        <family val="2"/>
        <scheme val="minor"/>
      </rPr>
      <t>(2) METHODE DE PDM</t>
    </r>
    <r>
      <rPr>
        <sz val="8"/>
        <rFont val="Calibri"/>
        <family val="2"/>
        <scheme val="minor"/>
      </rPr>
      <t>- Biens et Travaux: AOI - Appel d'Offres International; AOIR - Appel d'Offres International Restreint; AON - Appel d'Offres National; CP - Comparaison de Prix; ED - Entente Directe; FA - Force Account (En régie); Bureaux de Services Conseils :  SFQC - Sélection fondée sur la qualité et le coût; SFQ - Sélection fondée sur la qualité; SCBD - Sélection dans le cadre d'un budget déterminé; SMC - Sélection au « moindre coût »; QC - Sélection fondée sur les qualifications des consultants; SED - Sélection par entente directe; Services de Consultants Individuels: QCNI - Sélection fondée sur les qualifications des consultants individuels nationaux; QCII - Sélection fondée sur les qualifications des consultants individuels internationaux.</t>
    </r>
  </si>
  <si>
    <r>
      <rPr>
        <b/>
        <sz val="8"/>
        <rFont val="Calibri"/>
        <family val="2"/>
        <scheme val="minor"/>
      </rPr>
      <t>(3) ENTENTE DIRECTE</t>
    </r>
    <r>
      <rPr>
        <sz val="8"/>
        <rFont val="Calibri"/>
        <family val="2"/>
        <scheme val="minor"/>
      </rPr>
      <t xml:space="preserve"> - Chaque contrat dans le quel la methode d'entente direct est proposée inclue le numero de la clause et l'alinea correspondant aux Politiques de Passation des Marches de la BID. Réferences: 3.6 (a) ou (b) ou (c) ou (d) des GN-2349-9 pour Biens, Services et Travaux; 3.10 (a) ou (b) ou (c) ou (d) des GN-2350-9 pour Firmes de Consultation; et 5.4 (a) ou (b) ou (c) ou (d) des GN-2350-9 pour Consultants Individuels.</t>
    </r>
  </si>
  <si>
    <r>
      <rPr>
        <b/>
        <sz val="8"/>
        <rFont val="Calibri"/>
        <family val="2"/>
        <scheme val="minor"/>
      </rPr>
      <t>(4) STATUT</t>
    </r>
    <r>
      <rPr>
        <sz val="8"/>
        <rFont val="Calibri"/>
        <family val="2"/>
        <scheme val="minor"/>
      </rPr>
      <t>: En attente - Processus pas encore commencé ; En cours - Processus de passation des marchés en cours ; Adjugé non-objection de la Banque obtenue pour l'adjudication ; Annulé - Processus annulé ; Clôturé - Contrat dûment exécuté - dernier paiement exécuté</t>
    </r>
  </si>
  <si>
    <t>Unité d'exécution</t>
  </si>
  <si>
    <t>Nom du Programme</t>
  </si>
  <si>
    <t>Numéro programme</t>
  </si>
  <si>
    <t>Numéro d'opération</t>
  </si>
  <si>
    <t>Date de préparation</t>
  </si>
  <si>
    <t>Ex Ante</t>
  </si>
  <si>
    <t>Recrutement d'un Intermédiaire financier</t>
  </si>
  <si>
    <t>Recrutement d'une firme pour le Systeme d'information</t>
  </si>
  <si>
    <t>Recrutement d'un consultant pour la Formation des fournisseurs</t>
  </si>
  <si>
    <t>AON</t>
  </si>
  <si>
    <t>AOI</t>
  </si>
  <si>
    <t xml:space="preserve">Ex Ante </t>
  </si>
  <si>
    <t xml:space="preserve"> </t>
  </si>
  <si>
    <t>QCII</t>
  </si>
  <si>
    <t>Recrutement d'un consultant pour l'Etude eau/pompage</t>
  </si>
  <si>
    <t>QCIN</t>
  </si>
  <si>
    <t>Recrutement d'un responsable environnemental</t>
  </si>
  <si>
    <t>Composante 2, Produit 4</t>
  </si>
  <si>
    <t>Recrutement d'un consultant pour l'Etude especes invasives</t>
  </si>
  <si>
    <t>En attente</t>
  </si>
  <si>
    <t>Recrutement des Opérateurs assistance technique (meme que gestion des incitations)</t>
  </si>
  <si>
    <t>Composante 2, Produit 5</t>
  </si>
  <si>
    <t>Recrutement d'une firme pou l'Audit technique incitations</t>
  </si>
  <si>
    <t xml:space="preserve">Recrutement d'une firme pour l'audit du programme </t>
  </si>
  <si>
    <t xml:space="preserve">Audit </t>
  </si>
  <si>
    <t xml:space="preserve">Recrutement d'un Coordonnateur de la Direction de l'Innovation </t>
  </si>
  <si>
    <t>Recrutement de 3 Superviseurs de programme recherche</t>
  </si>
  <si>
    <t>Recrutement d'un consultant pour l'Assistance technique mise en oeuvre composante</t>
  </si>
  <si>
    <t>Composante 1, Produit 3</t>
  </si>
  <si>
    <t>Recrutement d'entites pour la mise en oeuvre de projet de recherche (Riz)</t>
  </si>
  <si>
    <t>Recrutement d'entites pour la mise en oeuvre de projet de recherche (Musacées)</t>
  </si>
  <si>
    <t>Recrutement d'entites pour la mise en oeuvre de projet de recherche (Maraichage)</t>
  </si>
  <si>
    <t>Recrutement d'entites pour la mise en oeuvre de projet de recherche : Agroforesterie (avocat, arbre a pain, cocotier, agrumes, mangue, autres)</t>
  </si>
  <si>
    <t>Recrutement d'entites pour la mise en oeuvre de projet de recherche : Agroforesterie (café, cacao)</t>
  </si>
  <si>
    <t>Recrutement d'entites pour la mise en oeuvre de projet de recherche : Agroforesterie (especes forestieres)</t>
  </si>
  <si>
    <t>Recrutement d'entites pour la mise en oeuvre de projet de recherche : Tubercules (igname, patate douce, manioc, malanga)</t>
  </si>
  <si>
    <t>Recrutement d'entites pour la mise en oeuvre de projet de recherche : Légumineuses (haricots, pois, pois congo, arachide)</t>
  </si>
  <si>
    <t>SFQ</t>
  </si>
  <si>
    <t>Composante 1, Produit 1</t>
  </si>
  <si>
    <t xml:space="preserve">Achat d'Equipement pour la Direction de l'Innovation </t>
  </si>
  <si>
    <t xml:space="preserve">Achat de 4 Véhicules por la Direction de l'Innovation </t>
  </si>
  <si>
    <t>CP</t>
  </si>
  <si>
    <t xml:space="preserve">Recrutement de 8 peronnels d'appui </t>
  </si>
  <si>
    <t xml:space="preserve">Frais de fonctionnement pour la Direction de l'Innovation </t>
  </si>
  <si>
    <t>Composante 2, Produit 3</t>
  </si>
  <si>
    <t>Composante</t>
  </si>
  <si>
    <t>Produits</t>
  </si>
  <si>
    <t>Activités</t>
  </si>
  <si>
    <t>Responsable</t>
  </si>
  <si>
    <t>Total (durée projet)</t>
  </si>
  <si>
    <t>Composante 1</t>
  </si>
  <si>
    <t>USD</t>
  </si>
  <si>
    <t>Composante 2</t>
  </si>
  <si>
    <t>Evaluation</t>
  </si>
  <si>
    <t>Imprévus</t>
  </si>
  <si>
    <t>P</t>
  </si>
  <si>
    <t>C</t>
  </si>
  <si>
    <t>Rédiger TDR programme de recherche/formation</t>
  </si>
  <si>
    <t>Lancement avis de manifestation d'intérêt</t>
  </si>
  <si>
    <t>Pré-sélection entités (consortium)</t>
  </si>
  <si>
    <t>Soumission des projets de recherche</t>
  </si>
  <si>
    <t>Selection</t>
  </si>
  <si>
    <t>Signature contrats</t>
  </si>
  <si>
    <t>Lancement activités</t>
  </si>
  <si>
    <t>Audit</t>
  </si>
  <si>
    <t>Achat d'Equipement</t>
  </si>
  <si>
    <t>Achat de Véhicules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</si>
  <si>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</si>
  <si>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</si>
  <si>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</si>
  <si>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</si>
  <si>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</si>
  <si>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</si>
  <si>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</si>
  <si>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</si>
  <si>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</si>
  <si>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</si>
  <si>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</si>
  <si>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</si>
  <si>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 Annee 1</t>
  </si>
  <si>
    <t>Redaction TDRs pour Etudes et appui renforcement institutionnel</t>
  </si>
  <si>
    <t>Recrutement firme pour Etudes et appui renforcement institutionnel</t>
  </si>
  <si>
    <t>Realisation de Etudes et appui renforcement institutionnel</t>
  </si>
  <si>
    <t>Redaction TDRs pour Etude especes invasives</t>
  </si>
  <si>
    <t>Recrutement firme pour Etude especes invasives</t>
  </si>
  <si>
    <t>Realisation de Etude especes invasives</t>
  </si>
  <si>
    <t>Redaction TDRs pour Etude eau/pompage</t>
  </si>
  <si>
    <t>Recrutement firme pour Etude eau/pompage</t>
  </si>
  <si>
    <t xml:space="preserve">Redaction TDRs </t>
  </si>
  <si>
    <t>Realisation Actvite</t>
  </si>
  <si>
    <t xml:space="preserve">Recrutement firme </t>
  </si>
  <si>
    <t>Realisation Etude eau/pompage</t>
  </si>
  <si>
    <t>Recrutement operateurs</t>
  </si>
  <si>
    <t>Realisation activites</t>
  </si>
  <si>
    <t>Homme</t>
  </si>
  <si>
    <t>PTTA</t>
  </si>
  <si>
    <t>HA-L1107</t>
  </si>
  <si>
    <t>Fevrier 2017</t>
  </si>
  <si>
    <t xml:space="preserve">Technology Transfer to Small Farmers II </t>
  </si>
  <si>
    <t>Recrutement firme pour audit externe</t>
  </si>
  <si>
    <t xml:space="preserve">Realisation des activites d'audit </t>
  </si>
  <si>
    <t xml:space="preserve">A detailler </t>
  </si>
  <si>
    <t xml:space="preserve">Realistion activites </t>
  </si>
  <si>
    <t xml:space="preserve">AON </t>
  </si>
  <si>
    <t>MARNDR</t>
  </si>
  <si>
    <t xml:space="preserve">UEP - PTTA </t>
  </si>
  <si>
    <t>Technologies Transfer to Small Farmesr II (HA-L1107)</t>
  </si>
  <si>
    <t>2017-2021</t>
  </si>
  <si>
    <t xml:space="preserve">Fevrier 2017 </t>
  </si>
  <si>
    <t>Autres projets ouverts (ex:céréales, petit équipement agricole ou autres)</t>
  </si>
  <si>
    <t>Lancement appels</t>
  </si>
  <si>
    <t>Personnel et frais de fonctionnement (a detailler)</t>
  </si>
  <si>
    <t>Commentaires</t>
  </si>
  <si>
    <t>3 marchés</t>
  </si>
  <si>
    <t>Recrutement de consultants pour les Etudes et appui renforcement institutionnel</t>
  </si>
  <si>
    <t>Plusieurs contrats</t>
  </si>
  <si>
    <t>Recrutement consultants Autres activités environnementales</t>
  </si>
  <si>
    <t>Recrutement personnel technique et administratif de projet</t>
  </si>
  <si>
    <t>QCNI</t>
  </si>
  <si>
    <t>IFAD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</si>
</sst>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44" fontId="10" fillId="0" borderId="0" applyFont="0" applyFill="0" applyBorder="0" applyAlignment="0" applyProtection="0"/>
  </cellStyleXfs>
  <cellXfs count="27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3" fontId="0" fillId="0" borderId="0" xfId="0" applyNumberFormat="1"/>
    <xf numFmtId="0" fontId="2" fillId="0" borderId="0" xfId="0" applyFont="1"/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left" indent="1"/>
    </xf>
    <xf numFmtId="3" fontId="7" fillId="0" borderId="0" xfId="0" applyNumberFormat="1" applyFont="1"/>
    <xf numFmtId="3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1" fillId="4" borderId="1" xfId="0" applyFont="1" applyFill="1" applyBorder="1"/>
    <xf numFmtId="3" fontId="1" fillId="4" borderId="1" xfId="0" applyNumberFormat="1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0" fontId="0" fillId="4" borderId="1" xfId="0" applyFont="1" applyFill="1" applyBorder="1"/>
    <xf numFmtId="3" fontId="0" fillId="5" borderId="1" xfId="0" applyNumberFormat="1" applyFill="1" applyBorder="1"/>
    <xf numFmtId="3" fontId="1" fillId="2" borderId="1" xfId="0" applyNumberFormat="1" applyFont="1" applyFill="1" applyBorder="1"/>
    <xf numFmtId="0" fontId="0" fillId="0" borderId="1" xfId="0" applyBorder="1" applyAlignment="1">
      <alignment horizontal="left" indent="3"/>
    </xf>
    <xf numFmtId="3" fontId="0" fillId="2" borderId="1" xfId="0" applyNumberFormat="1" applyFill="1" applyBorder="1"/>
    <xf numFmtId="3" fontId="0" fillId="2" borderId="1" xfId="0" applyNumberFormat="1" applyFont="1" applyFill="1" applyBorder="1"/>
    <xf numFmtId="0" fontId="0" fillId="2" borderId="1" xfId="0" applyFill="1" applyBorder="1"/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/>
    <xf numFmtId="3" fontId="0" fillId="6" borderId="1" xfId="0" applyNumberFormat="1" applyFont="1" applyFill="1" applyBorder="1"/>
    <xf numFmtId="0" fontId="0" fillId="5" borderId="1" xfId="0" applyFill="1" applyBorder="1"/>
    <xf numFmtId="3" fontId="1" fillId="5" borderId="1" xfId="0" applyNumberFormat="1" applyFont="1" applyFill="1" applyBorder="1"/>
    <xf numFmtId="0" fontId="0" fillId="5" borderId="1" xfId="0" applyFill="1" applyBorder="1" applyAlignment="1">
      <alignment horizontal="left" indent="1"/>
    </xf>
    <xf numFmtId="3" fontId="0" fillId="5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indent="1"/>
    </xf>
    <xf numFmtId="41" fontId="0" fillId="0" borderId="0" xfId="0" applyNumberFormat="1"/>
    <xf numFmtId="41" fontId="0" fillId="0" borderId="0" xfId="0" applyNumberFormat="1" applyAlignment="1">
      <alignment horizontal="center" vertical="center" wrapText="1"/>
    </xf>
    <xf numFmtId="41" fontId="1" fillId="2" borderId="3" xfId="0" applyNumberFormat="1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1" fillId="2" borderId="4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/>
    <xf numFmtId="41" fontId="2" fillId="0" borderId="1" xfId="0" applyNumberFormat="1" applyFont="1" applyBorder="1"/>
    <xf numFmtId="41" fontId="1" fillId="0" borderId="1" xfId="0" applyNumberFormat="1" applyFont="1" applyBorder="1"/>
    <xf numFmtId="41" fontId="8" fillId="0" borderId="1" xfId="0" applyNumberFormat="1" applyFont="1" applyBorder="1"/>
    <xf numFmtId="0" fontId="9" fillId="0" borderId="1" xfId="0" applyNumberFormat="1" applyFont="1" applyBorder="1"/>
    <xf numFmtId="41" fontId="1" fillId="7" borderId="1" xfId="0" applyNumberFormat="1" applyFont="1" applyFill="1" applyBorder="1"/>
    <xf numFmtId="41" fontId="0" fillId="9" borderId="0" xfId="0" applyNumberFormat="1" applyFill="1"/>
    <xf numFmtId="41" fontId="1" fillId="9" borderId="1" xfId="0" applyNumberFormat="1" applyFont="1" applyFill="1" applyBorder="1"/>
    <xf numFmtId="41" fontId="0" fillId="4" borderId="0" xfId="0" applyNumberFormat="1" applyFill="1"/>
    <xf numFmtId="41" fontId="1" fillId="4" borderId="1" xfId="0" applyNumberFormat="1" applyFont="1" applyFill="1" applyBorder="1"/>
    <xf numFmtId="41" fontId="0" fillId="7" borderId="0" xfId="0" applyNumberFormat="1" applyFill="1"/>
    <xf numFmtId="43" fontId="0" fillId="0" borderId="0" xfId="0" applyNumberFormat="1" applyAlignment="1">
      <alignment horizontal="center" vertical="center" wrapText="1"/>
    </xf>
    <xf numFmtId="43" fontId="0" fillId="0" borderId="0" xfId="0" applyNumberFormat="1"/>
    <xf numFmtId="41" fontId="1" fillId="0" borderId="1" xfId="0" applyNumberFormat="1" applyFont="1" applyBorder="1" applyAlignment="1">
      <alignment horizontal="center"/>
    </xf>
    <xf numFmtId="0" fontId="11" fillId="10" borderId="1" xfId="0" applyFont="1" applyFill="1" applyBorder="1"/>
    <xf numFmtId="0" fontId="13" fillId="0" borderId="0" xfId="0" applyNumberFormat="1" applyFont="1" applyAlignment="1">
      <alignment horizontal="justify" vertical="distributed"/>
    </xf>
    <xf numFmtId="0" fontId="13" fillId="0" borderId="0" xfId="0" applyNumberFormat="1" applyFont="1" applyBorder="1" applyAlignment="1">
      <alignment horizontal="justify" vertical="distributed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justify" vertical="distributed"/>
    </xf>
    <xf numFmtId="0" fontId="13" fillId="0" borderId="0" xfId="0" applyNumberFormat="1" applyFont="1" applyFill="1" applyBorder="1" applyAlignment="1">
      <alignment vertical="distributed"/>
    </xf>
    <xf numFmtId="0" fontId="13" fillId="0" borderId="0" xfId="0" applyNumberFormat="1" applyFont="1" applyFill="1" applyBorder="1" applyAlignment="1">
      <alignment horizontal="justify" vertical="distributed"/>
    </xf>
    <xf numFmtId="0" fontId="11" fillId="10" borderId="1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distributed"/>
    </xf>
    <xf numFmtId="0" fontId="14" fillId="0" borderId="0" xfId="0" applyNumberFormat="1" applyFont="1" applyFill="1" applyBorder="1" applyAlignment="1">
      <alignment horizontal="justify" vertical="distributed"/>
    </xf>
    <xf numFmtId="0" fontId="15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distributed"/>
    </xf>
    <xf numFmtId="0" fontId="3" fillId="12" borderId="1" xfId="3" applyFill="1" applyBorder="1"/>
    <xf numFmtId="0" fontId="15" fillId="0" borderId="0" xfId="0" applyNumberFormat="1" applyFont="1" applyFill="1" applyBorder="1" applyAlignment="1">
      <alignment horizontal="justify" vertical="distributed"/>
    </xf>
    <xf numFmtId="0" fontId="17" fillId="11" borderId="1" xfId="3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justify" vertical="distributed"/>
    </xf>
    <xf numFmtId="0" fontId="21" fillId="0" borderId="13" xfId="3" applyFont="1" applyFill="1" applyBorder="1" applyAlignment="1">
      <alignment vertical="center" wrapText="1"/>
    </xf>
    <xf numFmtId="0" fontId="21" fillId="0" borderId="1" xfId="3" applyFont="1" applyFill="1" applyBorder="1" applyAlignment="1">
      <alignment vertical="center" wrapText="1"/>
    </xf>
    <xf numFmtId="0" fontId="21" fillId="0" borderId="3" xfId="3" applyFont="1" applyFill="1" applyBorder="1" applyAlignment="1">
      <alignment vertical="center" wrapText="1"/>
    </xf>
    <xf numFmtId="0" fontId="3" fillId="0" borderId="1" xfId="3" applyBorder="1"/>
    <xf numFmtId="0" fontId="22" fillId="0" borderId="0" xfId="0" applyNumberFormat="1" applyFont="1" applyFill="1" applyBorder="1" applyAlignment="1">
      <alignment horizontal="center" vertical="distributed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justify" vertical="distributed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0" fillId="0" borderId="8" xfId="0" applyBorder="1"/>
    <xf numFmtId="0" fontId="21" fillId="0" borderId="17" xfId="3" applyFont="1" applyFill="1" applyBorder="1" applyAlignment="1">
      <alignment vertical="center" wrapText="1"/>
    </xf>
    <xf numFmtId="0" fontId="21" fillId="0" borderId="9" xfId="3" applyFont="1" applyFill="1" applyBorder="1" applyAlignment="1">
      <alignment vertical="center" wrapText="1"/>
    </xf>
    <xf numFmtId="0" fontId="21" fillId="0" borderId="18" xfId="3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distributed"/>
    </xf>
    <xf numFmtId="0" fontId="23" fillId="0" borderId="0" xfId="0" applyNumberFormat="1" applyFont="1" applyFill="1" applyBorder="1" applyAlignment="1">
      <alignment vertical="distributed"/>
    </xf>
    <xf numFmtId="0" fontId="21" fillId="0" borderId="22" xfId="3" applyFont="1" applyFill="1" applyBorder="1" applyAlignment="1">
      <alignment vertical="center" wrapText="1"/>
    </xf>
    <xf numFmtId="0" fontId="21" fillId="0" borderId="5" xfId="3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justify" vertical="distributed"/>
    </xf>
    <xf numFmtId="0" fontId="17" fillId="11" borderId="3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26" fillId="13" borderId="0" xfId="3" applyFont="1" applyFill="1" applyBorder="1" applyAlignment="1">
      <alignment vertical="center" wrapText="1"/>
    </xf>
    <xf numFmtId="0" fontId="28" fillId="13" borderId="0" xfId="0" applyFont="1" applyFill="1"/>
    <xf numFmtId="0" fontId="24" fillId="13" borderId="3" xfId="3" applyFont="1" applyFill="1" applyBorder="1" applyAlignment="1">
      <alignment vertical="center" wrapText="1"/>
    </xf>
    <xf numFmtId="0" fontId="24" fillId="13" borderId="5" xfId="3" applyFont="1" applyFill="1" applyBorder="1" applyAlignment="1">
      <alignment vertical="center" wrapText="1"/>
    </xf>
    <xf numFmtId="0" fontId="24" fillId="13" borderId="4" xfId="3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2" applyFont="1"/>
    <xf numFmtId="43" fontId="17" fillId="11" borderId="9" xfId="2" applyFont="1" applyFill="1" applyBorder="1" applyAlignment="1">
      <alignment horizontal="center" vertical="center" wrapText="1"/>
    </xf>
    <xf numFmtId="43" fontId="21" fillId="0" borderId="1" xfId="2" applyFont="1" applyFill="1" applyBorder="1" applyAlignment="1">
      <alignment vertical="center" wrapText="1"/>
    </xf>
    <xf numFmtId="43" fontId="21" fillId="0" borderId="9" xfId="2" applyFont="1" applyFill="1" applyBorder="1" applyAlignment="1">
      <alignment vertical="center" wrapText="1"/>
    </xf>
    <xf numFmtId="43" fontId="17" fillId="0" borderId="0" xfId="2" applyFont="1" applyFill="1" applyBorder="1" applyAlignment="1">
      <alignment horizontal="center" vertical="center" wrapText="1"/>
    </xf>
    <xf numFmtId="43" fontId="26" fillId="13" borderId="0" xfId="2" applyFont="1" applyFill="1" applyBorder="1" applyAlignment="1">
      <alignment vertical="center" wrapText="1"/>
    </xf>
    <xf numFmtId="43" fontId="20" fillId="0" borderId="0" xfId="2" applyFont="1" applyAlignment="1">
      <alignment horizontal="justify" vertical="distributed"/>
    </xf>
    <xf numFmtId="0" fontId="0" fillId="0" borderId="1" xfId="0" applyBorder="1" applyAlignment="1">
      <alignment vertical="center"/>
    </xf>
    <xf numFmtId="0" fontId="3" fillId="0" borderId="1" xfId="3" applyBorder="1" applyAlignment="1">
      <alignment vertical="center"/>
    </xf>
    <xf numFmtId="0" fontId="20" fillId="0" borderId="0" xfId="0" applyNumberFormat="1" applyFont="1" applyAlignment="1">
      <alignment horizontal="justify" vertical="center"/>
    </xf>
    <xf numFmtId="0" fontId="1" fillId="13" borderId="3" xfId="0" applyFont="1" applyFill="1" applyBorder="1" applyAlignment="1"/>
    <xf numFmtId="0" fontId="1" fillId="13" borderId="5" xfId="0" applyFont="1" applyFill="1" applyBorder="1" applyAlignment="1"/>
    <xf numFmtId="0" fontId="1" fillId="13" borderId="4" xfId="0" applyFont="1" applyFill="1" applyBorder="1" applyAlignment="1"/>
    <xf numFmtId="43" fontId="1" fillId="13" borderId="5" xfId="0" applyNumberFormat="1" applyFont="1" applyFill="1" applyBorder="1" applyAlignment="1"/>
    <xf numFmtId="0" fontId="15" fillId="13" borderId="5" xfId="3" applyFont="1" applyFill="1" applyBorder="1" applyAlignment="1">
      <alignment vertical="center" wrapText="1"/>
    </xf>
    <xf numFmtId="43" fontId="15" fillId="13" borderId="5" xfId="3" applyNumberFormat="1" applyFont="1" applyFill="1" applyBorder="1" applyAlignment="1">
      <alignment vertical="center" wrapText="1"/>
    </xf>
    <xf numFmtId="0" fontId="15" fillId="13" borderId="4" xfId="3" applyFont="1" applyFill="1" applyBorder="1" applyAlignment="1">
      <alignment vertical="center" wrapText="1"/>
    </xf>
    <xf numFmtId="0" fontId="18" fillId="0" borderId="0" xfId="0" applyNumberFormat="1" applyFont="1" applyAlignment="1">
      <alignment horizontal="justify" vertical="distributed"/>
    </xf>
    <xf numFmtId="43" fontId="24" fillId="13" borderId="5" xfId="3" applyNumberFormat="1" applyFont="1" applyFill="1" applyBorder="1" applyAlignment="1">
      <alignment vertical="center" wrapText="1"/>
    </xf>
    <xf numFmtId="0" fontId="24" fillId="13" borderId="23" xfId="3" applyFont="1" applyFill="1" applyBorder="1" applyAlignment="1">
      <alignment vertical="center" wrapText="1"/>
    </xf>
    <xf numFmtId="0" fontId="24" fillId="13" borderId="24" xfId="3" applyFont="1" applyFill="1" applyBorder="1" applyAlignment="1">
      <alignment vertical="center" wrapText="1"/>
    </xf>
    <xf numFmtId="0" fontId="24" fillId="13" borderId="25" xfId="3" applyFont="1" applyFill="1" applyBorder="1" applyAlignment="1">
      <alignment vertical="center" wrapText="1"/>
    </xf>
    <xf numFmtId="43" fontId="24" fillId="13" borderId="24" xfId="3" applyNumberFormat="1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/>
    </xf>
    <xf numFmtId="0" fontId="29" fillId="10" borderId="3" xfId="3" applyFont="1" applyFill="1" applyBorder="1" applyAlignment="1">
      <alignment vertical="center" wrapText="1"/>
    </xf>
    <xf numFmtId="0" fontId="29" fillId="10" borderId="5" xfId="3" applyFont="1" applyFill="1" applyBorder="1" applyAlignment="1">
      <alignment vertical="center" wrapText="1"/>
    </xf>
    <xf numFmtId="0" fontId="29" fillId="10" borderId="4" xfId="3" applyFont="1" applyFill="1" applyBorder="1" applyAlignment="1">
      <alignment vertical="center" wrapText="1"/>
    </xf>
    <xf numFmtId="43" fontId="24" fillId="10" borderId="5" xfId="3" applyNumberFormat="1" applyFont="1" applyFill="1" applyBorder="1" applyAlignment="1">
      <alignment vertical="center" wrapText="1"/>
    </xf>
    <xf numFmtId="41" fontId="1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/>
    <xf numFmtId="41" fontId="20" fillId="0" borderId="0" xfId="0" applyNumberFormat="1" applyFont="1" applyAlignment="1"/>
    <xf numFmtId="41" fontId="20" fillId="0" borderId="0" xfId="0" applyNumberFormat="1" applyFont="1" applyAlignment="1">
      <alignment horizontal="center"/>
    </xf>
    <xf numFmtId="41" fontId="13" fillId="0" borderId="0" xfId="0" applyNumberFormat="1" applyFont="1" applyAlignment="1"/>
    <xf numFmtId="41" fontId="13" fillId="0" borderId="0" xfId="0" applyNumberFormat="1" applyFont="1" applyAlignment="1">
      <alignment horizontal="center"/>
    </xf>
    <xf numFmtId="41" fontId="28" fillId="0" borderId="0" xfId="0" applyNumberFormat="1" applyFont="1"/>
    <xf numFmtId="41" fontId="32" fillId="14" borderId="1" xfId="0" applyNumberFormat="1" applyFont="1" applyFill="1" applyBorder="1" applyAlignment="1">
      <alignment horizontal="center" vertical="center" wrapText="1"/>
    </xf>
    <xf numFmtId="41" fontId="11" fillId="14" borderId="1" xfId="0" applyNumberFormat="1" applyFont="1" applyFill="1" applyBorder="1" applyAlignment="1">
      <alignment horizontal="center" vertical="center" wrapText="1"/>
    </xf>
    <xf numFmtId="41" fontId="11" fillId="14" borderId="1" xfId="0" applyNumberFormat="1" applyFont="1" applyFill="1" applyBorder="1" applyAlignment="1">
      <alignment horizontal="center" vertical="center"/>
    </xf>
    <xf numFmtId="41" fontId="13" fillId="14" borderId="1" xfId="0" applyNumberFormat="1" applyFont="1" applyFill="1" applyBorder="1" applyAlignment="1">
      <alignment horizontal="center" vertical="center"/>
    </xf>
    <xf numFmtId="41" fontId="33" fillId="15" borderId="1" xfId="0" applyNumberFormat="1" applyFont="1" applyFill="1" applyBorder="1" applyAlignment="1" applyProtection="1">
      <protection locked="0"/>
    </xf>
    <xf numFmtId="41" fontId="31" fillId="15" borderId="1" xfId="0" applyNumberFormat="1" applyFont="1" applyFill="1" applyBorder="1" applyAlignment="1" applyProtection="1">
      <protection locked="0"/>
    </xf>
    <xf numFmtId="41" fontId="31" fillId="15" borderId="1" xfId="0" applyNumberFormat="1" applyFont="1" applyFill="1" applyBorder="1" applyAlignment="1" applyProtection="1">
      <alignment horizontal="center"/>
      <protection locked="0"/>
    </xf>
    <xf numFmtId="41" fontId="13" fillId="0" borderId="1" xfId="0" applyNumberFormat="1" applyFont="1" applyBorder="1" applyAlignment="1" applyProtection="1">
      <alignment horizontal="right" wrapText="1"/>
      <protection locked="0"/>
    </xf>
    <xf numFmtId="41" fontId="13" fillId="0" borderId="1" xfId="0" applyNumberFormat="1" applyFont="1" applyBorder="1" applyAlignment="1" applyProtection="1">
      <alignment wrapText="1"/>
      <protection locked="0"/>
    </xf>
    <xf numFmtId="41" fontId="13" fillId="0" borderId="0" xfId="0" applyNumberFormat="1" applyFont="1" applyFill="1"/>
    <xf numFmtId="41" fontId="34" fillId="0" borderId="1" xfId="0" applyNumberFormat="1" applyFont="1" applyFill="1" applyBorder="1" applyAlignment="1" applyProtection="1">
      <protection locked="0"/>
    </xf>
    <xf numFmtId="41" fontId="13" fillId="0" borderId="1" xfId="0" applyNumberFormat="1" applyFont="1" applyFill="1" applyBorder="1" applyAlignment="1" applyProtection="1">
      <protection locked="0"/>
    </xf>
    <xf numFmtId="41" fontId="11" fillId="0" borderId="1" xfId="0" applyNumberFormat="1" applyFont="1" applyFill="1" applyBorder="1" applyAlignment="1" applyProtection="1">
      <alignment horizontal="center" wrapText="1"/>
      <protection locked="0"/>
    </xf>
    <xf numFmtId="41" fontId="11" fillId="0" borderId="1" xfId="0" applyNumberFormat="1" applyFont="1" applyFill="1" applyBorder="1" applyAlignment="1" applyProtection="1">
      <alignment horizontal="right" wrapText="1"/>
      <protection locked="0"/>
    </xf>
    <xf numFmtId="41" fontId="13" fillId="0" borderId="0" xfId="0" applyNumberFormat="1" applyFont="1" applyFill="1" applyBorder="1"/>
    <xf numFmtId="41" fontId="13" fillId="0" borderId="1" xfId="0" applyNumberFormat="1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 applyProtection="1">
      <alignment horizontal="center" wrapText="1"/>
      <protection locked="0"/>
    </xf>
    <xf numFmtId="41" fontId="13" fillId="0" borderId="1" xfId="0" applyNumberFormat="1" applyFont="1" applyFill="1" applyBorder="1" applyAlignment="1" applyProtection="1">
      <alignment wrapText="1"/>
      <protection locked="0"/>
    </xf>
    <xf numFmtId="41" fontId="13" fillId="0" borderId="27" xfId="0" applyNumberFormat="1" applyFont="1" applyFill="1" applyBorder="1"/>
    <xf numFmtId="41" fontId="13" fillId="0" borderId="0" xfId="0" applyNumberFormat="1" applyFont="1" applyBorder="1"/>
    <xf numFmtId="41" fontId="30" fillId="15" borderId="1" xfId="0" applyNumberFormat="1" applyFont="1" applyFill="1" applyBorder="1" applyAlignment="1" applyProtection="1">
      <protection locked="0"/>
    </xf>
    <xf numFmtId="41" fontId="32" fillId="5" borderId="1" xfId="0" applyNumberFormat="1" applyFont="1" applyFill="1" applyBorder="1" applyAlignment="1" applyProtection="1">
      <alignment vertical="top"/>
      <protection locked="0"/>
    </xf>
    <xf numFmtId="41" fontId="11" fillId="2" borderId="1" xfId="0" applyNumberFormat="1" applyFont="1" applyFill="1" applyBorder="1" applyAlignment="1" applyProtection="1">
      <alignment vertical="top"/>
      <protection locked="0"/>
    </xf>
    <xf numFmtId="41" fontId="13" fillId="2" borderId="1" xfId="0" applyNumberFormat="1" applyFont="1" applyFill="1" applyBorder="1" applyAlignment="1" applyProtection="1">
      <alignment vertical="top" wrapText="1"/>
      <protection locked="0"/>
    </xf>
    <xf numFmtId="41" fontId="13" fillId="2" borderId="1" xfId="0" applyNumberFormat="1" applyFont="1" applyFill="1" applyBorder="1" applyAlignment="1" applyProtection="1">
      <alignment vertical="top"/>
      <protection locked="0"/>
    </xf>
    <xf numFmtId="41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1" fontId="13" fillId="5" borderId="0" xfId="0" applyNumberFormat="1" applyFont="1" applyFill="1" applyAlignment="1">
      <alignment vertical="top"/>
    </xf>
    <xf numFmtId="41" fontId="32" fillId="5" borderId="1" xfId="0" applyNumberFormat="1" applyFont="1" applyFill="1" applyBorder="1" applyAlignment="1" applyProtection="1">
      <protection locked="0"/>
    </xf>
    <xf numFmtId="41" fontId="11" fillId="2" borderId="1" xfId="0" applyNumberFormat="1" applyFont="1" applyFill="1" applyBorder="1" applyAlignment="1" applyProtection="1">
      <protection locked="0"/>
    </xf>
    <xf numFmtId="41" fontId="13" fillId="2" borderId="1" xfId="0" applyNumberFormat="1" applyFont="1" applyFill="1" applyBorder="1" applyAlignment="1" applyProtection="1">
      <alignment wrapText="1"/>
      <protection locked="0"/>
    </xf>
    <xf numFmtId="41" fontId="13" fillId="2" borderId="1" xfId="0" applyNumberFormat="1" applyFont="1" applyFill="1" applyBorder="1" applyAlignment="1" applyProtection="1">
      <protection locked="0"/>
    </xf>
    <xf numFmtId="41" fontId="13" fillId="2" borderId="1" xfId="0" applyNumberFormat="1" applyFont="1" applyFill="1" applyBorder="1" applyAlignment="1" applyProtection="1">
      <alignment horizontal="center" wrapText="1"/>
      <protection locked="0"/>
    </xf>
    <xf numFmtId="41" fontId="13" fillId="5" borderId="0" xfId="0" applyNumberFormat="1" applyFont="1" applyFill="1"/>
    <xf numFmtId="41" fontId="13" fillId="5" borderId="1" xfId="0" applyNumberFormat="1" applyFont="1" applyFill="1" applyBorder="1" applyAlignment="1" applyProtection="1">
      <protection locked="0"/>
    </xf>
    <xf numFmtId="41" fontId="13" fillId="5" borderId="1" xfId="0" applyNumberFormat="1" applyFont="1" applyFill="1" applyBorder="1" applyAlignment="1">
      <alignment horizontal="left" indent="1"/>
    </xf>
    <xf numFmtId="41" fontId="13" fillId="5" borderId="1" xfId="0" applyNumberFormat="1" applyFont="1" applyFill="1" applyBorder="1" applyAlignment="1" applyProtection="1">
      <alignment horizontal="center"/>
      <protection locked="0"/>
    </xf>
    <xf numFmtId="41" fontId="13" fillId="14" borderId="1" xfId="0" applyNumberFormat="1" applyFont="1" applyFill="1" applyBorder="1" applyAlignment="1" applyProtection="1">
      <protection locked="0"/>
    </xf>
    <xf numFmtId="41" fontId="13" fillId="5" borderId="0" xfId="0" applyNumberFormat="1" applyFont="1" applyFill="1" applyAlignment="1"/>
    <xf numFmtId="41" fontId="13" fillId="5" borderId="1" xfId="0" applyNumberFormat="1" applyFont="1" applyFill="1" applyBorder="1" applyAlignment="1" applyProtection="1">
      <alignment wrapText="1"/>
      <protection locked="0"/>
    </xf>
    <xf numFmtId="41" fontId="0" fillId="0" borderId="1" xfId="0" applyNumberFormat="1" applyBorder="1" applyAlignment="1">
      <alignment horizontal="left" indent="1"/>
    </xf>
    <xf numFmtId="41" fontId="13" fillId="2" borderId="1" xfId="0" applyNumberFormat="1" applyFont="1" applyFill="1" applyBorder="1" applyAlignment="1" applyProtection="1">
      <alignment horizontal="center"/>
      <protection locked="0"/>
    </xf>
    <xf numFmtId="41" fontId="12" fillId="5" borderId="1" xfId="0" applyNumberFormat="1" applyFont="1" applyFill="1" applyBorder="1" applyAlignment="1" applyProtection="1">
      <alignment horizontal="left" indent="4"/>
      <protection locked="0"/>
    </xf>
    <xf numFmtId="41" fontId="12" fillId="5" borderId="1" xfId="0" applyNumberFormat="1" applyFont="1" applyFill="1" applyBorder="1" applyAlignment="1">
      <alignment horizontal="left" indent="4"/>
    </xf>
    <xf numFmtId="41" fontId="13" fillId="5" borderId="1" xfId="0" applyNumberFormat="1" applyFont="1" applyFill="1" applyBorder="1" applyAlignment="1"/>
    <xf numFmtId="41" fontId="35" fillId="5" borderId="1" xfId="0" applyNumberFormat="1" applyFont="1" applyFill="1" applyBorder="1" applyAlignment="1" applyProtection="1">
      <protection locked="0"/>
    </xf>
    <xf numFmtId="41" fontId="36" fillId="5" borderId="1" xfId="0" applyNumberFormat="1" applyFont="1" applyFill="1" applyBorder="1" applyAlignment="1" applyProtection="1">
      <protection locked="0"/>
    </xf>
    <xf numFmtId="41" fontId="21" fillId="5" borderId="1" xfId="0" applyNumberFormat="1" applyFont="1" applyFill="1" applyBorder="1" applyAlignment="1" applyProtection="1">
      <protection locked="0"/>
    </xf>
    <xf numFmtId="41" fontId="21" fillId="5" borderId="1" xfId="0" applyNumberFormat="1" applyFont="1" applyFill="1" applyBorder="1" applyAlignment="1" applyProtection="1">
      <alignment horizontal="center"/>
      <protection locked="0"/>
    </xf>
    <xf numFmtId="41" fontId="36" fillId="5" borderId="0" xfId="0" applyNumberFormat="1" applyFont="1" applyFill="1" applyAlignment="1"/>
    <xf numFmtId="41" fontId="13" fillId="0" borderId="1" xfId="0" applyNumberFormat="1" applyFont="1" applyBorder="1" applyAlignment="1">
      <alignment horizontal="center"/>
    </xf>
    <xf numFmtId="41" fontId="13" fillId="0" borderId="1" xfId="2" applyNumberFormat="1" applyFont="1" applyBorder="1" applyAlignment="1">
      <alignment horizontal="center"/>
    </xf>
    <xf numFmtId="41" fontId="0" fillId="5" borderId="1" xfId="0" applyNumberFormat="1" applyFill="1" applyBorder="1" applyAlignment="1">
      <alignment horizontal="left" indent="3"/>
    </xf>
    <xf numFmtId="41" fontId="0" fillId="5" borderId="1" xfId="0" applyNumberFormat="1" applyFill="1" applyBorder="1" applyAlignment="1">
      <alignment horizontal="left" indent="1"/>
    </xf>
    <xf numFmtId="41" fontId="21" fillId="5" borderId="0" xfId="0" applyNumberFormat="1" applyFont="1" applyFill="1" applyAlignment="1"/>
    <xf numFmtId="0" fontId="0" fillId="16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1" fontId="13" fillId="2" borderId="1" xfId="0" applyNumberFormat="1" applyFont="1" applyFill="1" applyBorder="1" applyAlignment="1" applyProtection="1">
      <alignment horizontal="left" wrapText="1"/>
      <protection locked="0"/>
    </xf>
    <xf numFmtId="41" fontId="0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left" vertical="center"/>
    </xf>
    <xf numFmtId="0" fontId="17" fillId="11" borderId="1" xfId="3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6" fillId="11" borderId="1" xfId="3" applyFont="1" applyFill="1" applyBorder="1" applyAlignment="1">
      <alignment horizontal="left" vertical="center" wrapText="1"/>
    </xf>
    <xf numFmtId="0" fontId="16" fillId="11" borderId="3" xfId="3" applyFont="1" applyFill="1" applyBorder="1" applyAlignment="1">
      <alignment horizontal="left" vertical="center" wrapText="1"/>
    </xf>
    <xf numFmtId="0" fontId="17" fillId="11" borderId="10" xfId="3" applyFont="1" applyFill="1" applyBorder="1" applyAlignment="1">
      <alignment horizontal="center" vertical="center" wrapText="1"/>
    </xf>
    <xf numFmtId="0" fontId="17" fillId="11" borderId="13" xfId="3" applyFont="1" applyFill="1" applyBorder="1" applyAlignment="1">
      <alignment horizontal="center" vertical="center" wrapText="1"/>
    </xf>
    <xf numFmtId="0" fontId="17" fillId="11" borderId="8" xfId="3" applyFont="1" applyFill="1" applyBorder="1" applyAlignment="1">
      <alignment horizontal="center" vertical="center" wrapText="1"/>
    </xf>
    <xf numFmtId="0" fontId="17" fillId="11" borderId="7" xfId="3" applyFont="1" applyFill="1" applyBorder="1" applyAlignment="1">
      <alignment horizontal="center" vertical="center" wrapText="1"/>
    </xf>
    <xf numFmtId="0" fontId="17" fillId="11" borderId="6" xfId="3" applyFont="1" applyFill="1" applyBorder="1" applyAlignment="1">
      <alignment horizontal="center" vertical="center" wrapText="1"/>
    </xf>
    <xf numFmtId="0" fontId="17" fillId="11" borderId="2" xfId="3" applyFont="1" applyFill="1" applyBorder="1" applyAlignment="1">
      <alignment horizontal="center" vertical="center"/>
    </xf>
    <xf numFmtId="0" fontId="17" fillId="11" borderId="11" xfId="3" applyFont="1" applyFill="1" applyBorder="1" applyAlignment="1">
      <alignment horizontal="center" vertical="center"/>
    </xf>
    <xf numFmtId="0" fontId="17" fillId="11" borderId="3" xfId="3" applyFont="1" applyFill="1" applyBorder="1" applyAlignment="1">
      <alignment horizontal="center" vertical="center" wrapText="1"/>
    </xf>
    <xf numFmtId="0" fontId="17" fillId="11" borderId="12" xfId="3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distributed"/>
    </xf>
    <xf numFmtId="0" fontId="22" fillId="0" borderId="0" xfId="0" applyNumberFormat="1" applyFont="1" applyFill="1" applyBorder="1" applyAlignment="1">
      <alignment horizontal="center" vertical="center" wrapText="1"/>
    </xf>
    <xf numFmtId="0" fontId="16" fillId="11" borderId="14" xfId="3" applyFont="1" applyFill="1" applyBorder="1" applyAlignment="1">
      <alignment horizontal="left" vertical="center" wrapText="1"/>
    </xf>
    <xf numFmtId="0" fontId="16" fillId="11" borderId="15" xfId="3" applyFont="1" applyFill="1" applyBorder="1" applyAlignment="1">
      <alignment horizontal="left" vertical="center" wrapText="1"/>
    </xf>
    <xf numFmtId="0" fontId="16" fillId="11" borderId="16" xfId="3" applyFont="1" applyFill="1" applyBorder="1" applyAlignment="1">
      <alignment horizontal="left" vertical="center" wrapText="1"/>
    </xf>
    <xf numFmtId="0" fontId="17" fillId="11" borderId="5" xfId="3" applyFont="1" applyFill="1" applyBorder="1" applyAlignment="1">
      <alignment horizontal="center" vertical="center"/>
    </xf>
    <xf numFmtId="0" fontId="17" fillId="11" borderId="4" xfId="3" applyFont="1" applyFill="1" applyBorder="1" applyAlignment="1">
      <alignment horizontal="center" vertical="center"/>
    </xf>
    <xf numFmtId="0" fontId="16" fillId="11" borderId="19" xfId="3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top"/>
    </xf>
    <xf numFmtId="0" fontId="16" fillId="11" borderId="5" xfId="3" applyFont="1" applyFill="1" applyBorder="1" applyAlignment="1">
      <alignment horizontal="left" vertical="center" wrapText="1"/>
    </xf>
    <xf numFmtId="0" fontId="16" fillId="11" borderId="4" xfId="3" applyFont="1" applyFill="1" applyBorder="1" applyAlignment="1">
      <alignment horizontal="left" vertical="center" wrapText="1"/>
    </xf>
    <xf numFmtId="0" fontId="16" fillId="11" borderId="20" xfId="3" applyFont="1" applyFill="1" applyBorder="1" applyAlignment="1">
      <alignment horizontal="left" vertical="center" wrapText="1"/>
    </xf>
    <xf numFmtId="0" fontId="16" fillId="11" borderId="21" xfId="3" applyFont="1" applyFill="1" applyBorder="1" applyAlignment="1">
      <alignment horizontal="left" vertical="center" wrapText="1"/>
    </xf>
    <xf numFmtId="0" fontId="16" fillId="11" borderId="26" xfId="3" applyFont="1" applyFill="1" applyBorder="1" applyAlignment="1">
      <alignment horizontal="left" vertical="center" wrapText="1"/>
    </xf>
    <xf numFmtId="0" fontId="17" fillId="11" borderId="3" xfId="3" applyFont="1" applyFill="1" applyBorder="1" applyAlignment="1">
      <alignment horizontal="center" vertical="center"/>
    </xf>
    <xf numFmtId="0" fontId="17" fillId="11" borderId="6" xfId="3" applyFont="1" applyFill="1" applyBorder="1" applyAlignment="1">
      <alignment horizontal="center" vertical="center"/>
    </xf>
    <xf numFmtId="0" fontId="26" fillId="13" borderId="3" xfId="3" applyFont="1" applyFill="1" applyBorder="1" applyAlignment="1">
      <alignment horizontal="left" vertical="center" wrapText="1"/>
    </xf>
    <xf numFmtId="0" fontId="26" fillId="13" borderId="5" xfId="3" applyFont="1" applyFill="1" applyBorder="1" applyAlignment="1">
      <alignment horizontal="left" vertical="center" wrapText="1"/>
    </xf>
    <xf numFmtId="0" fontId="26" fillId="13" borderId="4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26" fillId="13" borderId="3" xfId="3" applyFont="1" applyFill="1" applyBorder="1" applyAlignment="1">
      <alignment horizontal="center" vertical="center" wrapText="1"/>
    </xf>
    <xf numFmtId="0" fontId="26" fillId="13" borderId="5" xfId="3" applyFont="1" applyFill="1" applyBorder="1" applyAlignment="1">
      <alignment horizontal="center" vertical="center" wrapText="1"/>
    </xf>
    <xf numFmtId="0" fontId="26" fillId="13" borderId="4" xfId="3" applyFont="1" applyFill="1" applyBorder="1" applyAlignment="1">
      <alignment horizontal="center" vertical="center" wrapText="1"/>
    </xf>
    <xf numFmtId="0" fontId="26" fillId="13" borderId="3" xfId="3" applyFont="1" applyFill="1" applyBorder="1" applyAlignment="1">
      <alignment vertical="center" wrapText="1"/>
    </xf>
    <xf numFmtId="0" fontId="26" fillId="13" borderId="5" xfId="3" applyFont="1" applyFill="1" applyBorder="1" applyAlignment="1">
      <alignment vertical="center" wrapText="1"/>
    </xf>
    <xf numFmtId="0" fontId="26" fillId="13" borderId="4" xfId="3" applyFont="1" applyFill="1" applyBorder="1" applyAlignment="1">
      <alignment vertical="center" wrapText="1"/>
    </xf>
    <xf numFmtId="41" fontId="1" fillId="7" borderId="9" xfId="0" applyNumberFormat="1" applyFont="1" applyFill="1" applyBorder="1" applyAlignment="1">
      <alignment horizontal="left" vertical="center" wrapText="1"/>
    </xf>
    <xf numFmtId="41" fontId="1" fillId="7" borderId="7" xfId="0" applyNumberFormat="1" applyFont="1" applyFill="1" applyBorder="1" applyAlignment="1">
      <alignment horizontal="left" vertical="center" wrapText="1"/>
    </xf>
    <xf numFmtId="41" fontId="1" fillId="7" borderId="8" xfId="0" applyNumberFormat="1" applyFont="1" applyFill="1" applyBorder="1" applyAlignment="1">
      <alignment horizontal="left" vertical="center" wrapText="1"/>
    </xf>
    <xf numFmtId="41" fontId="1" fillId="0" borderId="9" xfId="0" applyNumberFormat="1" applyFont="1" applyBorder="1" applyAlignment="1">
      <alignment horizontal="left" vertical="center" wrapText="1"/>
    </xf>
    <xf numFmtId="41" fontId="1" fillId="0" borderId="7" xfId="0" applyNumberFormat="1" applyFont="1" applyBorder="1" applyAlignment="1">
      <alignment horizontal="left" vertical="center" wrapText="1"/>
    </xf>
    <xf numFmtId="41" fontId="1" fillId="0" borderId="8" xfId="0" applyNumberFormat="1" applyFont="1" applyBorder="1" applyAlignment="1">
      <alignment horizontal="left" vertical="center" wrapText="1"/>
    </xf>
    <xf numFmtId="41" fontId="1" fillId="8" borderId="3" xfId="0" applyNumberFormat="1" applyFont="1" applyFill="1" applyBorder="1" applyAlignment="1">
      <alignment horizontal="left"/>
    </xf>
    <xf numFmtId="41" fontId="1" fillId="8" borderId="4" xfId="0" applyNumberFormat="1" applyFont="1" applyFill="1" applyBorder="1" applyAlignment="1">
      <alignment horizontal="left"/>
    </xf>
    <xf numFmtId="41" fontId="1" fillId="4" borderId="9" xfId="0" applyNumberFormat="1" applyFont="1" applyFill="1" applyBorder="1" applyAlignment="1">
      <alignment horizontal="left" vertical="center" wrapText="1"/>
    </xf>
    <xf numFmtId="41" fontId="1" fillId="4" borderId="7" xfId="0" applyNumberFormat="1" applyFont="1" applyFill="1" applyBorder="1" applyAlignment="1">
      <alignment horizontal="left" vertical="center" wrapText="1"/>
    </xf>
    <xf numFmtId="41" fontId="1" fillId="9" borderId="9" xfId="0" applyNumberFormat="1" applyFont="1" applyFill="1" applyBorder="1" applyAlignment="1">
      <alignment horizontal="left" vertical="center" wrapText="1"/>
    </xf>
    <xf numFmtId="41" fontId="1" fillId="9" borderId="7" xfId="0" applyNumberFormat="1" applyFont="1" applyFill="1" applyBorder="1" applyAlignment="1">
      <alignment horizontal="left" vertical="center" wrapText="1"/>
    </xf>
    <xf numFmtId="41" fontId="1" fillId="0" borderId="3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left"/>
    </xf>
  </cellXfs>
  <cellStyles count="6">
    <cellStyle name="Comma" xfId="2" builtinId="3"/>
    <cellStyle name="Currency 4" xfId="5"/>
    <cellStyle name="Normal" xfId="0" builtinId="0"/>
    <cellStyle name="Normal 11" xfId="4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444499</xdr:colOff>
      <xdr:row>52</xdr:row>
      <xdr:rowOff>9070</xdr:rowOff>
    </xdr:from>
    <xdr:to>
      <xdr:col>21</xdr:col>
      <xdr:colOff>299356</xdr:colOff>
      <xdr:row>76</xdr:row>
      <xdr:rowOff>9070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535713" y="6613070"/>
          <a:ext cx="11021786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rgbClr val="FF0000"/>
              </a:solidFill>
            </a:rPr>
            <a:t>DRAFT</a:t>
          </a:r>
          <a:r>
            <a:rPr lang="en-US" sz="2800" b="1" baseline="0">
              <a:solidFill>
                <a:srgbClr val="FF0000"/>
              </a:solidFill>
            </a:rPr>
            <a:t> - TO BE DETAILED</a:t>
          </a:r>
          <a:endParaRPr lang="en-US" sz="28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afontant/AppData/Local/Microsoft/Windows/Temporary%20Internet%20Files/Content.Outlook/U0CV40RI/Copy%20of%20COMMENTAIRES%20AU%20POA-PPM-PMDN2%20Octobre%202016%20rev.%20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ésultats"/>
      <sheetName val="PEP"/>
      <sheetName val="POA"/>
      <sheetName val="PPM"/>
      <sheetName val="PT"/>
      <sheetName val="Detail ouvrages amont"/>
      <sheetName val="Detail ouvrages aval"/>
      <sheetName val="Detail SAP"/>
      <sheetName val="Budget"/>
      <sheetName val="Evaluation"/>
      <sheetName val="Suivi-evaluation"/>
      <sheetName val="Gestion"/>
      <sheetName val="FAMV"/>
      <sheetName val="Sheet1"/>
    </sheetNames>
    <sheetDataSet>
      <sheetData sheetId="0"/>
      <sheetData sheetId="1"/>
      <sheetData sheetId="2">
        <row r="22">
          <cell r="D22" t="str">
            <v>Gestion</v>
          </cell>
        </row>
        <row r="24">
          <cell r="D24" t="str">
            <v>Evaluation</v>
          </cell>
        </row>
      </sheetData>
      <sheetData sheetId="3">
        <row r="5">
          <cell r="B5" t="str">
            <v>Composante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G13"/>
  <sheetViews>
    <sheetView zoomScale="110" zoomScaleNormal="110" workbookViewId="0">
      <selection activeCell="H13" sqref="H13"/>
    </sheetView>
  </sheetViews>
  <sheetFormatPr defaultRowHeight="14.4" x14ac:dyDescent="0.3"/>
  <cols>
    <col min="1" max="1" width="3.6640625" customWidth="1"/>
    <col min="2" max="2" width="45.6640625" bestFit="1" customWidth="1"/>
    <col min="3" max="7" width="10" customWidth="1"/>
  </cols>
  <sheetData>
    <row r="1" spans="2:7" x14ac:dyDescent="0.3">
      <c r="B1" s="36" t="s">
        <v>408</v>
      </c>
      <c r="C1" s="36" t="s">
        <v>410</v>
      </c>
      <c r="D1" s="36" t="s">
        <v>401</v>
      </c>
      <c r="E1" s="36" t="s">
        <v>592</v>
      </c>
      <c r="F1" s="36" t="s">
        <v>409</v>
      </c>
      <c r="G1" s="36" t="s">
        <v>346</v>
      </c>
    </row>
    <row r="2" spans="2:7" x14ac:dyDescent="0.3">
      <c r="B2" s="207" t="s">
        <v>411</v>
      </c>
      <c r="C2" s="208"/>
      <c r="D2" s="208"/>
      <c r="E2" s="208"/>
      <c r="F2" s="208"/>
      <c r="G2" s="209"/>
    </row>
    <row r="3" spans="2:7" x14ac:dyDescent="0.3">
      <c r="B3" s="34" t="s">
        <v>418</v>
      </c>
      <c r="C3" s="23">
        <f>'PEP-Budget par produit'!Q3</f>
        <v>14600000</v>
      </c>
      <c r="D3" s="32"/>
      <c r="E3" s="32"/>
      <c r="F3" s="35"/>
      <c r="G3" s="23">
        <f>SUM(C3:F3)</f>
        <v>14600000</v>
      </c>
    </row>
    <row r="4" spans="2:7" x14ac:dyDescent="0.3">
      <c r="B4" s="34" t="s">
        <v>412</v>
      </c>
      <c r="C4" s="23">
        <f>'PEP-Budget par produit'!Q26</f>
        <v>35050000</v>
      </c>
      <c r="D4" s="23">
        <f>'PEP-Budget par produit'!R26</f>
        <v>10000000</v>
      </c>
      <c r="E4" s="23">
        <f>'PEP-Budget par produit'!S49</f>
        <v>10859305</v>
      </c>
      <c r="F4" s="32"/>
      <c r="G4" s="23">
        <f>SUM(C4:F4)</f>
        <v>55909305</v>
      </c>
    </row>
    <row r="5" spans="2:7" x14ac:dyDescent="0.3">
      <c r="B5" s="207" t="s">
        <v>413</v>
      </c>
      <c r="C5" s="208"/>
      <c r="D5" s="208"/>
      <c r="E5" s="208"/>
      <c r="F5" s="208"/>
      <c r="G5" s="209"/>
    </row>
    <row r="6" spans="2:7" x14ac:dyDescent="0.3">
      <c r="B6" s="34" t="s">
        <v>414</v>
      </c>
      <c r="C6" s="35">
        <f>'PEP-Budget par produit'!Q45</f>
        <v>4000000</v>
      </c>
      <c r="D6" s="35"/>
      <c r="E6" s="35"/>
      <c r="F6" s="35">
        <v>1000000</v>
      </c>
      <c r="G6" s="23">
        <f>SUM(C6:F6)</f>
        <v>5000000</v>
      </c>
    </row>
    <row r="7" spans="2:7" x14ac:dyDescent="0.3">
      <c r="B7" s="34" t="s">
        <v>399</v>
      </c>
      <c r="C7" s="35">
        <f>'PEP-Budget par produit'!Q46</f>
        <v>150000</v>
      </c>
      <c r="D7" s="35"/>
      <c r="E7" s="35"/>
      <c r="F7" s="35"/>
      <c r="G7" s="23">
        <f>SUM(C7:F7)</f>
        <v>150000</v>
      </c>
    </row>
    <row r="8" spans="2:7" x14ac:dyDescent="0.3">
      <c r="B8" s="34" t="s">
        <v>415</v>
      </c>
      <c r="C8" s="35">
        <f>'PEP-Budget par produit'!Q47</f>
        <v>700000</v>
      </c>
      <c r="D8" s="35"/>
      <c r="E8" s="35"/>
      <c r="F8" s="35"/>
      <c r="G8" s="23">
        <f t="shared" ref="G8:G10" si="0">SUM(C8:F8)</f>
        <v>700000</v>
      </c>
    </row>
    <row r="9" spans="2:7" x14ac:dyDescent="0.3">
      <c r="B9" s="34" t="s">
        <v>416</v>
      </c>
      <c r="C9" s="35">
        <f>'PEP-Budget par produit'!Q48</f>
        <v>500000</v>
      </c>
      <c r="D9" s="35"/>
      <c r="E9" s="35"/>
      <c r="F9" s="35"/>
      <c r="G9" s="23">
        <f t="shared" si="0"/>
        <v>500000</v>
      </c>
    </row>
    <row r="10" spans="2:7" x14ac:dyDescent="0.3">
      <c r="B10" s="37" t="s">
        <v>12</v>
      </c>
      <c r="C10" s="33">
        <f>C9+C8+C7+C6+C4+C3</f>
        <v>55000000</v>
      </c>
      <c r="D10" s="33">
        <f>D9+D8+D7+D6+D4+D3</f>
        <v>10000000</v>
      </c>
      <c r="E10" s="33">
        <f>E9+E8+E7+E6+E4+E3</f>
        <v>10859305</v>
      </c>
      <c r="F10" s="33">
        <f>F9+F8+F7+F6+F4+F3</f>
        <v>1000000</v>
      </c>
      <c r="G10" s="33">
        <f t="shared" si="0"/>
        <v>76859305</v>
      </c>
    </row>
    <row r="11" spans="2:7" x14ac:dyDescent="0.3">
      <c r="C11" s="14"/>
      <c r="D11" s="14"/>
      <c r="E11" s="14"/>
      <c r="F11" s="14"/>
      <c r="G11" s="14"/>
    </row>
    <row r="13" spans="2:7" x14ac:dyDescent="0.3">
      <c r="C13" s="10"/>
      <c r="D13" s="10"/>
      <c r="E13" s="10"/>
      <c r="F13" s="10"/>
      <c r="G13" s="10"/>
    </row>
  </sheetData>
  <mergeCells count="2">
    <mergeCell ref="B2:G2"/>
    <mergeCell ref="B5:G5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53"/>
  <sheetViews>
    <sheetView zoomScale="80" zoomScaleNormal="80" workbookViewId="0">
      <pane ySplit="2" topLeftCell="A3" activePane="bottomLeft" state="frozen"/>
      <selection pane="bottomLeft" activeCell="Q17" sqref="Q17"/>
    </sheetView>
  </sheetViews>
  <sheetFormatPr defaultRowHeight="14.4" outlineLevelRow="1" x14ac:dyDescent="0.3"/>
  <cols>
    <col min="1" max="1" width="3.6640625" customWidth="1"/>
    <col min="2" max="2" width="65.109375" bestFit="1" customWidth="1"/>
    <col min="3" max="3" width="12.6640625" bestFit="1" customWidth="1"/>
    <col min="4" max="4" width="14.33203125" customWidth="1"/>
    <col min="5" max="11" width="10" customWidth="1"/>
    <col min="12" max="12" width="9.88671875" bestFit="1" customWidth="1"/>
    <col min="13" max="15" width="10.88671875" bestFit="1" customWidth="1"/>
    <col min="16" max="16" width="11.44140625" customWidth="1"/>
    <col min="17" max="17" width="14.33203125" customWidth="1"/>
    <col min="18" max="19" width="12.5546875" customWidth="1"/>
    <col min="20" max="20" width="10" customWidth="1"/>
    <col min="21" max="21" width="10.88671875" bestFit="1" customWidth="1"/>
  </cols>
  <sheetData>
    <row r="1" spans="1:20" x14ac:dyDescent="0.3">
      <c r="A1" s="1"/>
      <c r="B1" s="1"/>
      <c r="C1" s="1"/>
      <c r="D1" s="1"/>
      <c r="E1" s="210" t="s">
        <v>13</v>
      </c>
      <c r="F1" s="210"/>
      <c r="G1" s="210"/>
      <c r="H1" s="210"/>
      <c r="I1" s="210"/>
      <c r="J1" s="210"/>
      <c r="K1" s="210" t="s">
        <v>14</v>
      </c>
      <c r="L1" s="210"/>
      <c r="M1" s="210"/>
      <c r="N1" s="210"/>
      <c r="O1" s="210"/>
      <c r="P1" s="210"/>
      <c r="Q1" s="29" t="s">
        <v>400</v>
      </c>
      <c r="R1" s="29" t="s">
        <v>401</v>
      </c>
      <c r="S1" s="29" t="s">
        <v>592</v>
      </c>
      <c r="T1" s="29" t="s">
        <v>417</v>
      </c>
    </row>
    <row r="2" spans="1:20" x14ac:dyDescent="0.3">
      <c r="A2" s="1"/>
      <c r="B2" s="1"/>
      <c r="C2" s="5" t="s">
        <v>336</v>
      </c>
      <c r="D2" s="5" t="s">
        <v>335</v>
      </c>
      <c r="E2" s="5" t="s">
        <v>365</v>
      </c>
      <c r="F2" s="5" t="s">
        <v>366</v>
      </c>
      <c r="G2" s="5" t="s">
        <v>367</v>
      </c>
      <c r="H2" s="5" t="s">
        <v>368</v>
      </c>
      <c r="I2" s="5" t="s">
        <v>369</v>
      </c>
      <c r="J2" s="5" t="s">
        <v>346</v>
      </c>
      <c r="K2" s="5" t="s">
        <v>365</v>
      </c>
      <c r="L2" s="5" t="s">
        <v>366</v>
      </c>
      <c r="M2" s="5" t="s">
        <v>367</v>
      </c>
      <c r="N2" s="5" t="s">
        <v>368</v>
      </c>
      <c r="O2" s="5" t="s">
        <v>369</v>
      </c>
      <c r="P2" s="5" t="s">
        <v>12</v>
      </c>
      <c r="Q2" s="29"/>
      <c r="R2" s="29"/>
      <c r="S2" s="29"/>
      <c r="T2" s="29"/>
    </row>
    <row r="3" spans="1:20" x14ac:dyDescent="0.3">
      <c r="A3" s="1"/>
      <c r="B3" s="3" t="s">
        <v>422</v>
      </c>
      <c r="C3" s="3"/>
      <c r="D3" s="3"/>
      <c r="E3" s="3"/>
      <c r="F3" s="3"/>
      <c r="G3" s="3"/>
      <c r="H3" s="3"/>
      <c r="I3" s="3"/>
      <c r="J3" s="3"/>
      <c r="K3" s="24">
        <f>K5+K16+K17</f>
        <v>1071400</v>
      </c>
      <c r="L3" s="24">
        <f>L5+L16+L17</f>
        <v>2046300</v>
      </c>
      <c r="M3" s="24">
        <f>M5+M16+M17</f>
        <v>3754500</v>
      </c>
      <c r="N3" s="24">
        <f>N5+N16+N17</f>
        <v>4006900</v>
      </c>
      <c r="O3" s="24">
        <f>O5+O16+O17</f>
        <v>3720900</v>
      </c>
      <c r="P3" s="24">
        <f>SUM(K3:O3)</f>
        <v>14600000</v>
      </c>
      <c r="Q3" s="30">
        <f>P3</f>
        <v>14600000</v>
      </c>
      <c r="R3" s="30"/>
      <c r="S3" s="30"/>
      <c r="T3" s="30"/>
    </row>
    <row r="4" spans="1:20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1">
        <v>0.05</v>
      </c>
      <c r="L4" s="1">
        <v>0.1</v>
      </c>
      <c r="M4" s="1">
        <v>0.25</v>
      </c>
      <c r="N4" s="1">
        <v>0.3</v>
      </c>
      <c r="O4" s="1">
        <v>0.3</v>
      </c>
      <c r="P4" s="1">
        <f>SUM(K4:O4)</f>
        <v>1</v>
      </c>
      <c r="Q4" s="1">
        <f t="shared" ref="Q4:Q48" si="0">P4</f>
        <v>1</v>
      </c>
      <c r="R4" s="1"/>
      <c r="S4" s="1"/>
      <c r="T4" s="1"/>
    </row>
    <row r="5" spans="1:20" x14ac:dyDescent="0.3">
      <c r="A5" s="1"/>
      <c r="B5" s="18" t="s">
        <v>377</v>
      </c>
      <c r="C5" s="18" t="s">
        <v>379</v>
      </c>
      <c r="D5" s="19"/>
      <c r="E5" s="19">
        <f t="shared" ref="E5:P5" si="1">SUM(E6:E15)</f>
        <v>0</v>
      </c>
      <c r="F5" s="19">
        <f t="shared" si="1"/>
        <v>2</v>
      </c>
      <c r="G5" s="19">
        <f t="shared" si="1"/>
        <v>2</v>
      </c>
      <c r="H5" s="19">
        <f t="shared" si="1"/>
        <v>6</v>
      </c>
      <c r="I5" s="19">
        <f t="shared" si="1"/>
        <v>5</v>
      </c>
      <c r="J5" s="19">
        <f t="shared" si="1"/>
        <v>15</v>
      </c>
      <c r="K5" s="19">
        <f t="shared" si="1"/>
        <v>547400</v>
      </c>
      <c r="L5" s="19">
        <f t="shared" si="1"/>
        <v>1594800</v>
      </c>
      <c r="M5" s="19">
        <f t="shared" si="1"/>
        <v>3237000</v>
      </c>
      <c r="N5" s="19">
        <f t="shared" si="1"/>
        <v>3534400</v>
      </c>
      <c r="O5" s="19">
        <f t="shared" si="1"/>
        <v>3284400</v>
      </c>
      <c r="P5" s="19">
        <f t="shared" si="1"/>
        <v>12198000</v>
      </c>
      <c r="Q5" s="19">
        <f t="shared" si="0"/>
        <v>12198000</v>
      </c>
      <c r="R5" s="19"/>
      <c r="S5" s="19"/>
      <c r="T5" s="19"/>
    </row>
    <row r="6" spans="1:20" outlineLevel="1" x14ac:dyDescent="0.3">
      <c r="A6" s="1"/>
      <c r="B6" s="13" t="s">
        <v>355</v>
      </c>
      <c r="C6" s="1"/>
      <c r="D6" s="4">
        <v>1528000</v>
      </c>
      <c r="E6" s="4"/>
      <c r="F6" s="4"/>
      <c r="G6" s="4"/>
      <c r="H6" s="4">
        <v>1</v>
      </c>
      <c r="I6" s="4"/>
      <c r="J6" s="4">
        <f>SUM(E6:I6)</f>
        <v>1</v>
      </c>
      <c r="K6" s="4">
        <f>K$4*$D6</f>
        <v>76400</v>
      </c>
      <c r="L6" s="4">
        <f t="shared" ref="L6:O6" si="2">L$4*$D6</f>
        <v>152800</v>
      </c>
      <c r="M6" s="4">
        <f t="shared" si="2"/>
        <v>382000</v>
      </c>
      <c r="N6" s="4">
        <f t="shared" si="2"/>
        <v>458400</v>
      </c>
      <c r="O6" s="4">
        <f t="shared" si="2"/>
        <v>458400</v>
      </c>
      <c r="P6" s="4">
        <f>SUM(K6:O6)</f>
        <v>1528000</v>
      </c>
      <c r="Q6" s="4">
        <f t="shared" si="0"/>
        <v>1528000</v>
      </c>
      <c r="R6" s="4"/>
      <c r="S6" s="4"/>
      <c r="T6" s="4"/>
    </row>
    <row r="7" spans="1:20" outlineLevel="1" x14ac:dyDescent="0.3">
      <c r="A7" s="1"/>
      <c r="B7" s="13" t="s">
        <v>370</v>
      </c>
      <c r="C7" s="1"/>
      <c r="D7" s="4">
        <v>1490000</v>
      </c>
      <c r="E7" s="4"/>
      <c r="F7" s="4"/>
      <c r="G7" s="4"/>
      <c r="H7" s="4">
        <v>1</v>
      </c>
      <c r="I7" s="4"/>
      <c r="J7" s="4">
        <f t="shared" ref="J7:J40" si="3">SUM(E7:I7)</f>
        <v>1</v>
      </c>
      <c r="K7" s="4">
        <f t="shared" ref="K7:K13" si="4">K$4*$D7</f>
        <v>74500</v>
      </c>
      <c r="L7" s="4">
        <f t="shared" ref="L7:O13" si="5">L$4*$D7</f>
        <v>149000</v>
      </c>
      <c r="M7" s="4">
        <f t="shared" si="5"/>
        <v>372500</v>
      </c>
      <c r="N7" s="4">
        <f t="shared" si="5"/>
        <v>447000</v>
      </c>
      <c r="O7" s="4">
        <f t="shared" si="5"/>
        <v>447000</v>
      </c>
      <c r="P7" s="4">
        <f t="shared" ref="P7:P9" si="6">SUM(K7:O7)</f>
        <v>1490000</v>
      </c>
      <c r="Q7" s="4">
        <f t="shared" si="0"/>
        <v>1490000</v>
      </c>
      <c r="R7" s="4"/>
      <c r="S7" s="4"/>
      <c r="T7" s="4"/>
    </row>
    <row r="8" spans="1:20" outlineLevel="1" x14ac:dyDescent="0.3">
      <c r="A8" s="1"/>
      <c r="B8" s="13" t="s">
        <v>356</v>
      </c>
      <c r="C8" s="1"/>
      <c r="D8" s="4">
        <v>1350000</v>
      </c>
      <c r="E8" s="4"/>
      <c r="F8" s="4"/>
      <c r="G8" s="4"/>
      <c r="H8" s="4">
        <v>1</v>
      </c>
      <c r="I8" s="4"/>
      <c r="J8" s="4">
        <f t="shared" si="3"/>
        <v>1</v>
      </c>
      <c r="K8" s="4">
        <f t="shared" si="4"/>
        <v>67500</v>
      </c>
      <c r="L8" s="4">
        <f t="shared" si="5"/>
        <v>135000</v>
      </c>
      <c r="M8" s="4">
        <f t="shared" si="5"/>
        <v>337500</v>
      </c>
      <c r="N8" s="4">
        <f t="shared" si="5"/>
        <v>405000</v>
      </c>
      <c r="O8" s="4">
        <f t="shared" si="5"/>
        <v>405000</v>
      </c>
      <c r="P8" s="4">
        <f t="shared" si="6"/>
        <v>1350000</v>
      </c>
      <c r="Q8" s="4">
        <f t="shared" si="0"/>
        <v>1350000</v>
      </c>
      <c r="R8" s="4"/>
      <c r="S8" s="4"/>
      <c r="T8" s="4"/>
    </row>
    <row r="9" spans="1:20" outlineLevel="1" x14ac:dyDescent="0.3">
      <c r="A9" s="1"/>
      <c r="B9" s="13" t="s">
        <v>371</v>
      </c>
      <c r="C9" s="1"/>
      <c r="D9" s="4">
        <v>1000000</v>
      </c>
      <c r="E9" s="4"/>
      <c r="F9" s="4"/>
      <c r="G9" s="4"/>
      <c r="H9" s="4"/>
      <c r="I9" s="4">
        <v>1</v>
      </c>
      <c r="J9" s="4">
        <f t="shared" si="3"/>
        <v>1</v>
      </c>
      <c r="K9" s="4">
        <f t="shared" si="4"/>
        <v>50000</v>
      </c>
      <c r="L9" s="4">
        <f t="shared" si="5"/>
        <v>100000</v>
      </c>
      <c r="M9" s="4">
        <f t="shared" si="5"/>
        <v>250000</v>
      </c>
      <c r="N9" s="4">
        <f t="shared" si="5"/>
        <v>300000</v>
      </c>
      <c r="O9" s="4">
        <f t="shared" si="5"/>
        <v>300000</v>
      </c>
      <c r="P9" s="4">
        <f t="shared" si="6"/>
        <v>1000000</v>
      </c>
      <c r="Q9" s="4">
        <f t="shared" si="0"/>
        <v>1000000</v>
      </c>
      <c r="R9" s="4"/>
      <c r="S9" s="4"/>
      <c r="T9" s="4"/>
    </row>
    <row r="10" spans="1:20" outlineLevel="1" x14ac:dyDescent="0.3">
      <c r="A10" s="1"/>
      <c r="B10" s="13" t="s">
        <v>372</v>
      </c>
      <c r="C10" s="1"/>
      <c r="D10" s="4">
        <v>1000000</v>
      </c>
      <c r="E10" s="4"/>
      <c r="F10" s="4"/>
      <c r="G10" s="4"/>
      <c r="H10" s="4"/>
      <c r="I10" s="4">
        <v>1</v>
      </c>
      <c r="J10" s="4">
        <f t="shared" si="3"/>
        <v>1</v>
      </c>
      <c r="K10" s="4">
        <f t="shared" si="4"/>
        <v>50000</v>
      </c>
      <c r="L10" s="4">
        <f t="shared" si="5"/>
        <v>100000</v>
      </c>
      <c r="M10" s="4">
        <f t="shared" si="5"/>
        <v>250000</v>
      </c>
      <c r="N10" s="4">
        <f t="shared" si="5"/>
        <v>300000</v>
      </c>
      <c r="O10" s="4">
        <f t="shared" si="5"/>
        <v>300000</v>
      </c>
      <c r="P10" s="4">
        <f t="shared" ref="P10:P14" si="7">SUM(K10:O10)</f>
        <v>1000000</v>
      </c>
      <c r="Q10" s="4">
        <f t="shared" si="0"/>
        <v>1000000</v>
      </c>
      <c r="R10" s="4"/>
      <c r="S10" s="4"/>
      <c r="T10" s="4"/>
    </row>
    <row r="11" spans="1:20" outlineLevel="1" x14ac:dyDescent="0.3">
      <c r="A11" s="1"/>
      <c r="B11" s="13" t="s">
        <v>373</v>
      </c>
      <c r="C11" s="1"/>
      <c r="D11" s="4">
        <v>750000</v>
      </c>
      <c r="E11" s="4"/>
      <c r="F11" s="4"/>
      <c r="G11" s="4"/>
      <c r="H11" s="4"/>
      <c r="I11" s="4">
        <v>1</v>
      </c>
      <c r="J11" s="4">
        <f t="shared" si="3"/>
        <v>1</v>
      </c>
      <c r="K11" s="4">
        <f t="shared" si="4"/>
        <v>37500</v>
      </c>
      <c r="L11" s="4">
        <f t="shared" si="5"/>
        <v>75000</v>
      </c>
      <c r="M11" s="4">
        <f t="shared" si="5"/>
        <v>187500</v>
      </c>
      <c r="N11" s="4">
        <f t="shared" si="5"/>
        <v>225000</v>
      </c>
      <c r="O11" s="4">
        <f t="shared" si="5"/>
        <v>225000</v>
      </c>
      <c r="P11" s="4">
        <f t="shared" si="7"/>
        <v>750000</v>
      </c>
      <c r="Q11" s="4">
        <f t="shared" si="0"/>
        <v>750000</v>
      </c>
      <c r="R11" s="4"/>
      <c r="S11" s="4"/>
      <c r="T11" s="4"/>
    </row>
    <row r="12" spans="1:20" outlineLevel="1" x14ac:dyDescent="0.3">
      <c r="A12" s="1"/>
      <c r="B12" s="13" t="s">
        <v>374</v>
      </c>
      <c r="C12" s="1"/>
      <c r="D12" s="4">
        <v>1200000</v>
      </c>
      <c r="E12" s="4"/>
      <c r="F12" s="4"/>
      <c r="G12" s="4"/>
      <c r="H12" s="4">
        <v>1</v>
      </c>
      <c r="I12" s="4"/>
      <c r="J12" s="4">
        <f t="shared" si="3"/>
        <v>1</v>
      </c>
      <c r="K12" s="4">
        <f t="shared" si="4"/>
        <v>60000</v>
      </c>
      <c r="L12" s="4">
        <f t="shared" si="5"/>
        <v>120000</v>
      </c>
      <c r="M12" s="4">
        <f t="shared" si="5"/>
        <v>300000</v>
      </c>
      <c r="N12" s="4">
        <f t="shared" si="5"/>
        <v>360000</v>
      </c>
      <c r="O12" s="4">
        <f t="shared" si="5"/>
        <v>360000</v>
      </c>
      <c r="P12" s="4">
        <f t="shared" si="7"/>
        <v>1200000</v>
      </c>
      <c r="Q12" s="4">
        <f t="shared" si="0"/>
        <v>1200000</v>
      </c>
      <c r="R12" s="4"/>
      <c r="S12" s="4"/>
      <c r="T12" s="4"/>
    </row>
    <row r="13" spans="1:20" outlineLevel="1" x14ac:dyDescent="0.3">
      <c r="A13" s="1"/>
      <c r="B13" s="13" t="s">
        <v>375</v>
      </c>
      <c r="C13" s="1"/>
      <c r="D13" s="4">
        <v>800000</v>
      </c>
      <c r="E13" s="4"/>
      <c r="F13" s="4"/>
      <c r="G13" s="4"/>
      <c r="H13" s="4">
        <v>1</v>
      </c>
      <c r="I13" s="4"/>
      <c r="J13" s="4">
        <f t="shared" si="3"/>
        <v>1</v>
      </c>
      <c r="K13" s="4">
        <f t="shared" si="4"/>
        <v>40000</v>
      </c>
      <c r="L13" s="4">
        <f t="shared" si="5"/>
        <v>80000</v>
      </c>
      <c r="M13" s="4">
        <f t="shared" si="5"/>
        <v>200000</v>
      </c>
      <c r="N13" s="4">
        <f t="shared" si="5"/>
        <v>240000</v>
      </c>
      <c r="O13" s="4">
        <f t="shared" si="5"/>
        <v>240000</v>
      </c>
      <c r="P13" s="4">
        <f t="shared" si="7"/>
        <v>800000</v>
      </c>
      <c r="Q13" s="4">
        <f t="shared" si="0"/>
        <v>800000</v>
      </c>
      <c r="R13" s="4"/>
      <c r="S13" s="4"/>
      <c r="T13" s="4"/>
    </row>
    <row r="14" spans="1:20" outlineLevel="1" x14ac:dyDescent="0.3">
      <c r="A14" s="1"/>
      <c r="B14" s="13" t="s">
        <v>582</v>
      </c>
      <c r="C14" s="1"/>
      <c r="D14" s="4">
        <v>915000</v>
      </c>
      <c r="E14" s="4"/>
      <c r="F14" s="4"/>
      <c r="G14" s="4"/>
      <c r="H14" s="4"/>
      <c r="I14" s="4">
        <v>2</v>
      </c>
      <c r="J14" s="4">
        <f t="shared" si="3"/>
        <v>2</v>
      </c>
      <c r="K14" s="4">
        <f>K$4*$D14*$I$14</f>
        <v>91500</v>
      </c>
      <c r="L14" s="4">
        <f>L$4*$D14*$I$14</f>
        <v>183000</v>
      </c>
      <c r="M14" s="4">
        <f>M$4*$D14*$I$14</f>
        <v>457500</v>
      </c>
      <c r="N14" s="4">
        <f>N$4*$D14*$I$14</f>
        <v>549000</v>
      </c>
      <c r="O14" s="4">
        <f>O$4*$D14*$I$14</f>
        <v>549000</v>
      </c>
      <c r="P14" s="4">
        <f t="shared" si="7"/>
        <v>1830000</v>
      </c>
      <c r="Q14" s="4">
        <f t="shared" si="0"/>
        <v>1830000</v>
      </c>
      <c r="R14" s="4"/>
      <c r="S14" s="4"/>
      <c r="T14" s="4"/>
    </row>
    <row r="15" spans="1:20" s="17" customFormat="1" outlineLevel="1" x14ac:dyDescent="0.3">
      <c r="A15" s="16"/>
      <c r="B15" s="13" t="s">
        <v>376</v>
      </c>
      <c r="C15" s="16"/>
      <c r="D15" s="15">
        <v>250000</v>
      </c>
      <c r="E15" s="15"/>
      <c r="F15" s="15">
        <v>2</v>
      </c>
      <c r="G15" s="15">
        <v>2</v>
      </c>
      <c r="H15" s="15">
        <v>1</v>
      </c>
      <c r="I15" s="15"/>
      <c r="J15" s="15">
        <f t="shared" si="3"/>
        <v>5</v>
      </c>
      <c r="K15" s="15">
        <f>$D$15*E15</f>
        <v>0</v>
      </c>
      <c r="L15" s="15">
        <f>$D$15*F15</f>
        <v>500000</v>
      </c>
      <c r="M15" s="15">
        <f>$D$15*G15</f>
        <v>500000</v>
      </c>
      <c r="N15" s="15">
        <f>$D$15*H15</f>
        <v>250000</v>
      </c>
      <c r="O15" s="15">
        <f>$D$15*I15</f>
        <v>0</v>
      </c>
      <c r="P15" s="15">
        <f t="shared" ref="P15" si="8">SUM(K15:O15)</f>
        <v>1250000</v>
      </c>
      <c r="Q15" s="15">
        <f t="shared" si="0"/>
        <v>1250000</v>
      </c>
      <c r="R15" s="15"/>
      <c r="S15" s="15"/>
      <c r="T15" s="15"/>
    </row>
    <row r="16" spans="1:20" x14ac:dyDescent="0.3">
      <c r="A16" s="1"/>
      <c r="B16" s="18" t="s">
        <v>378</v>
      </c>
      <c r="C16" s="21" t="s">
        <v>337</v>
      </c>
      <c r="D16" s="20">
        <v>36000</v>
      </c>
      <c r="E16" s="19">
        <v>0</v>
      </c>
      <c r="F16" s="19">
        <v>2</v>
      </c>
      <c r="G16" s="19">
        <v>3</v>
      </c>
      <c r="H16" s="19">
        <v>3</v>
      </c>
      <c r="I16" s="19">
        <v>2</v>
      </c>
      <c r="J16" s="19">
        <f t="shared" si="3"/>
        <v>10</v>
      </c>
      <c r="K16" s="19">
        <f>$D$16*E16</f>
        <v>0</v>
      </c>
      <c r="L16" s="19">
        <f>$D$16*F16</f>
        <v>72000</v>
      </c>
      <c r="M16" s="19">
        <f>$D$16*G16</f>
        <v>108000</v>
      </c>
      <c r="N16" s="19">
        <f>$D$16*H16</f>
        <v>108000</v>
      </c>
      <c r="O16" s="19">
        <f>$D$16*I16</f>
        <v>72000</v>
      </c>
      <c r="P16" s="19">
        <f>SUM(K16:O16)</f>
        <v>360000</v>
      </c>
      <c r="Q16" s="19">
        <f t="shared" si="0"/>
        <v>360000</v>
      </c>
      <c r="R16" s="19"/>
      <c r="S16" s="19"/>
      <c r="T16" s="19"/>
    </row>
    <row r="17" spans="1:21" x14ac:dyDescent="0.3">
      <c r="A17" s="1"/>
      <c r="B17" s="18" t="s">
        <v>380</v>
      </c>
      <c r="C17" s="22" t="s">
        <v>381</v>
      </c>
      <c r="D17" s="18"/>
      <c r="E17" s="19">
        <v>0</v>
      </c>
      <c r="F17" s="19">
        <v>0</v>
      </c>
      <c r="G17" s="19">
        <v>0</v>
      </c>
      <c r="H17" s="19">
        <v>0</v>
      </c>
      <c r="I17" s="18">
        <v>1</v>
      </c>
      <c r="J17" s="19">
        <f t="shared" si="3"/>
        <v>1</v>
      </c>
      <c r="K17" s="19">
        <f>SUM(K18:K25)</f>
        <v>524000</v>
      </c>
      <c r="L17" s="19">
        <f t="shared" ref="L17:P17" si="9">SUM(L18:L25)</f>
        <v>379500</v>
      </c>
      <c r="M17" s="19">
        <f t="shared" si="9"/>
        <v>409500</v>
      </c>
      <c r="N17" s="19">
        <f t="shared" si="9"/>
        <v>364500</v>
      </c>
      <c r="O17" s="19">
        <f t="shared" si="9"/>
        <v>364500</v>
      </c>
      <c r="P17" s="19">
        <f t="shared" si="9"/>
        <v>2042000</v>
      </c>
      <c r="Q17" s="19">
        <f t="shared" si="0"/>
        <v>2042000</v>
      </c>
      <c r="R17" s="19"/>
      <c r="S17" s="19"/>
      <c r="T17" s="19"/>
    </row>
    <row r="18" spans="1:21" outlineLevel="1" x14ac:dyDescent="0.3">
      <c r="A18" s="1"/>
      <c r="B18" s="13" t="s">
        <v>357</v>
      </c>
      <c r="C18" s="1" t="s">
        <v>338</v>
      </c>
      <c r="D18" s="4">
        <v>3000</v>
      </c>
      <c r="E18" s="4">
        <v>13</v>
      </c>
      <c r="F18" s="4">
        <v>13</v>
      </c>
      <c r="G18" s="4">
        <v>13</v>
      </c>
      <c r="H18" s="4">
        <v>13</v>
      </c>
      <c r="I18" s="4">
        <v>13</v>
      </c>
      <c r="J18" s="23">
        <f t="shared" si="3"/>
        <v>65</v>
      </c>
      <c r="K18" s="4">
        <f>E18*$D$18</f>
        <v>39000</v>
      </c>
      <c r="L18" s="4">
        <f>F18*$D$18</f>
        <v>39000</v>
      </c>
      <c r="M18" s="4">
        <f>G18*$D$18</f>
        <v>39000</v>
      </c>
      <c r="N18" s="4">
        <f>H18*$D$18</f>
        <v>39000</v>
      </c>
      <c r="O18" s="4">
        <f>I18*$D$18</f>
        <v>39000</v>
      </c>
      <c r="P18" s="4">
        <f t="shared" ref="P18" si="10">SUM(K18:O18)</f>
        <v>195000</v>
      </c>
      <c r="Q18" s="4">
        <f t="shared" si="0"/>
        <v>195000</v>
      </c>
      <c r="R18" s="4"/>
      <c r="S18" s="4"/>
      <c r="T18" s="4"/>
    </row>
    <row r="19" spans="1:21" outlineLevel="1" x14ac:dyDescent="0.3">
      <c r="A19" s="1"/>
      <c r="B19" s="13" t="s">
        <v>407</v>
      </c>
      <c r="C19" s="1" t="s">
        <v>338</v>
      </c>
      <c r="D19" s="4">
        <v>2500</v>
      </c>
      <c r="E19" s="4">
        <f>3*13</f>
        <v>39</v>
      </c>
      <c r="F19" s="4">
        <f t="shared" ref="F19:I19" si="11">3*13</f>
        <v>39</v>
      </c>
      <c r="G19" s="4">
        <f t="shared" si="11"/>
        <v>39</v>
      </c>
      <c r="H19" s="4">
        <f t="shared" si="11"/>
        <v>39</v>
      </c>
      <c r="I19" s="4">
        <f t="shared" si="11"/>
        <v>39</v>
      </c>
      <c r="J19" s="23">
        <f t="shared" si="3"/>
        <v>195</v>
      </c>
      <c r="K19" s="4">
        <f>$D$19*E19</f>
        <v>97500</v>
      </c>
      <c r="L19" s="4">
        <f>$D$19*F19</f>
        <v>97500</v>
      </c>
      <c r="M19" s="4">
        <f>$D$19*G19</f>
        <v>97500</v>
      </c>
      <c r="N19" s="4">
        <f>$D$19*H19</f>
        <v>97500</v>
      </c>
      <c r="O19" s="4">
        <f>$D$19*I19</f>
        <v>97500</v>
      </c>
      <c r="P19" s="4">
        <f t="shared" ref="P19:P25" si="12">SUM(K19:O19)</f>
        <v>487500</v>
      </c>
      <c r="Q19" s="4">
        <f t="shared" si="0"/>
        <v>487500</v>
      </c>
      <c r="R19" s="4"/>
      <c r="S19" s="4"/>
      <c r="T19" s="4"/>
    </row>
    <row r="20" spans="1:21" outlineLevel="1" x14ac:dyDescent="0.3">
      <c r="A20" s="1"/>
      <c r="B20" s="13" t="s">
        <v>0</v>
      </c>
      <c r="C20" s="1" t="s">
        <v>339</v>
      </c>
      <c r="D20" s="4">
        <v>300000</v>
      </c>
      <c r="E20" s="4"/>
      <c r="F20" s="4"/>
      <c r="G20" s="4"/>
      <c r="H20" s="4"/>
      <c r="I20" s="4"/>
      <c r="J20" s="23">
        <f t="shared" si="3"/>
        <v>0</v>
      </c>
      <c r="K20" s="4">
        <f>$D$20*K4</f>
        <v>15000</v>
      </c>
      <c r="L20" s="4">
        <f>$D$20*L4</f>
        <v>30000</v>
      </c>
      <c r="M20" s="4">
        <f>$D$20*M4</f>
        <v>75000</v>
      </c>
      <c r="N20" s="4">
        <f>$D$20*N4</f>
        <v>90000</v>
      </c>
      <c r="O20" s="4">
        <f>$D$20*O4</f>
        <v>90000</v>
      </c>
      <c r="P20" s="4">
        <f t="shared" si="12"/>
        <v>300000</v>
      </c>
      <c r="Q20" s="4">
        <f t="shared" si="0"/>
        <v>300000</v>
      </c>
      <c r="R20" s="4"/>
      <c r="S20" s="4"/>
      <c r="T20" s="4"/>
    </row>
    <row r="21" spans="1:21" outlineLevel="1" x14ac:dyDescent="0.3">
      <c r="A21" s="1"/>
      <c r="B21" s="13" t="s">
        <v>15</v>
      </c>
      <c r="C21" s="1" t="s">
        <v>338</v>
      </c>
      <c r="D21" s="4">
        <v>9000</v>
      </c>
      <c r="E21" s="4">
        <v>12</v>
      </c>
      <c r="F21" s="4">
        <v>12</v>
      </c>
      <c r="G21" s="4">
        <v>12</v>
      </c>
      <c r="H21" s="4">
        <v>12</v>
      </c>
      <c r="I21" s="4">
        <v>12</v>
      </c>
      <c r="J21" s="23">
        <f t="shared" si="3"/>
        <v>60</v>
      </c>
      <c r="K21" s="4">
        <f>$D$21*E21</f>
        <v>108000</v>
      </c>
      <c r="L21" s="4">
        <f>$D$21*F21</f>
        <v>108000</v>
      </c>
      <c r="M21" s="4">
        <f>$D$21*G21</f>
        <v>108000</v>
      </c>
      <c r="N21" s="4">
        <f>$D$21*H21</f>
        <v>108000</v>
      </c>
      <c r="O21" s="4">
        <f>$D$21*I21</f>
        <v>108000</v>
      </c>
      <c r="P21" s="4">
        <f t="shared" si="12"/>
        <v>540000</v>
      </c>
      <c r="Q21" s="4">
        <f t="shared" si="0"/>
        <v>540000</v>
      </c>
      <c r="R21" s="4"/>
      <c r="S21" s="4"/>
      <c r="T21" s="4"/>
    </row>
    <row r="22" spans="1:21" outlineLevel="1" x14ac:dyDescent="0.3">
      <c r="A22" s="1"/>
      <c r="B22" s="13" t="s">
        <v>358</v>
      </c>
      <c r="C22" s="1" t="s">
        <v>339</v>
      </c>
      <c r="D22" s="4">
        <v>150000</v>
      </c>
      <c r="E22" s="4"/>
      <c r="F22" s="4"/>
      <c r="G22" s="4"/>
      <c r="H22" s="4"/>
      <c r="I22" s="4"/>
      <c r="J22" s="23">
        <f t="shared" si="3"/>
        <v>0</v>
      </c>
      <c r="K22" s="4">
        <v>15000</v>
      </c>
      <c r="L22" s="4">
        <v>75000</v>
      </c>
      <c r="M22" s="4">
        <v>60000</v>
      </c>
      <c r="N22" s="4"/>
      <c r="O22" s="4"/>
      <c r="P22" s="4">
        <f t="shared" si="12"/>
        <v>150000</v>
      </c>
      <c r="Q22" s="4">
        <f t="shared" si="0"/>
        <v>150000</v>
      </c>
      <c r="R22" s="4"/>
      <c r="S22" s="4"/>
      <c r="T22" s="4"/>
    </row>
    <row r="23" spans="1:21" outlineLevel="1" x14ac:dyDescent="0.3">
      <c r="A23" s="1"/>
      <c r="B23" s="13" t="s">
        <v>359</v>
      </c>
      <c r="C23" s="1" t="s">
        <v>339</v>
      </c>
      <c r="D23" s="4">
        <v>150000</v>
      </c>
      <c r="E23" s="4"/>
      <c r="F23" s="4"/>
      <c r="G23" s="4"/>
      <c r="H23" s="4"/>
      <c r="I23" s="4"/>
      <c r="J23" s="23">
        <f t="shared" si="3"/>
        <v>0</v>
      </c>
      <c r="K23" s="4">
        <v>30000</v>
      </c>
      <c r="L23" s="4">
        <v>30000</v>
      </c>
      <c r="M23" s="4">
        <v>30000</v>
      </c>
      <c r="N23" s="4">
        <v>30000</v>
      </c>
      <c r="O23" s="4">
        <v>30000</v>
      </c>
      <c r="P23" s="4">
        <f t="shared" si="12"/>
        <v>150000</v>
      </c>
      <c r="Q23" s="4">
        <f t="shared" si="0"/>
        <v>150000</v>
      </c>
      <c r="R23" s="4"/>
      <c r="S23" s="4"/>
      <c r="T23" s="4"/>
    </row>
    <row r="24" spans="1:21" outlineLevel="1" x14ac:dyDescent="0.3">
      <c r="A24" s="1"/>
      <c r="B24" s="13" t="s">
        <v>402</v>
      </c>
      <c r="C24" s="1" t="s">
        <v>339</v>
      </c>
      <c r="D24" s="4">
        <v>79500</v>
      </c>
      <c r="E24" s="4"/>
      <c r="F24" s="4"/>
      <c r="G24" s="4"/>
      <c r="H24" s="4"/>
      <c r="I24" s="4"/>
      <c r="J24" s="23">
        <f t="shared" si="3"/>
        <v>0</v>
      </c>
      <c r="K24" s="4">
        <f>D24</f>
        <v>79500</v>
      </c>
      <c r="L24" s="4"/>
      <c r="M24" s="4"/>
      <c r="N24" s="4"/>
      <c r="O24" s="4"/>
      <c r="P24" s="4">
        <f t="shared" si="12"/>
        <v>79500</v>
      </c>
      <c r="Q24" s="4">
        <f t="shared" si="0"/>
        <v>79500</v>
      </c>
      <c r="R24" s="4"/>
      <c r="S24" s="4"/>
      <c r="T24" s="4"/>
    </row>
    <row r="25" spans="1:21" outlineLevel="1" x14ac:dyDescent="0.3">
      <c r="A25" s="1"/>
      <c r="B25" s="13" t="s">
        <v>403</v>
      </c>
      <c r="C25" s="1" t="s">
        <v>404</v>
      </c>
      <c r="D25" s="4">
        <v>35000</v>
      </c>
      <c r="E25" s="4">
        <v>4</v>
      </c>
      <c r="F25" s="4"/>
      <c r="G25" s="4"/>
      <c r="H25" s="4"/>
      <c r="I25" s="4"/>
      <c r="J25" s="23">
        <f t="shared" si="3"/>
        <v>4</v>
      </c>
      <c r="K25" s="4">
        <f>D25*E25</f>
        <v>140000</v>
      </c>
      <c r="L25" s="4"/>
      <c r="M25" s="4"/>
      <c r="N25" s="4"/>
      <c r="O25" s="4"/>
      <c r="P25" s="4">
        <f t="shared" si="12"/>
        <v>140000</v>
      </c>
      <c r="Q25" s="4">
        <f t="shared" si="0"/>
        <v>140000</v>
      </c>
      <c r="R25" s="4"/>
      <c r="S25" s="4"/>
      <c r="T25" s="4"/>
    </row>
    <row r="26" spans="1:21" x14ac:dyDescent="0.3">
      <c r="A26" s="1"/>
      <c r="B26" s="3" t="s">
        <v>423</v>
      </c>
      <c r="C26" s="3"/>
      <c r="D26" s="3"/>
      <c r="E26" s="3"/>
      <c r="F26" s="3"/>
      <c r="G26" s="3"/>
      <c r="H26" s="3"/>
      <c r="I26" s="3"/>
      <c r="J26" s="3"/>
      <c r="K26" s="24">
        <f>K27+K43</f>
        <v>3122465.25</v>
      </c>
      <c r="L26" s="24">
        <f t="shared" ref="L26:O26" si="13">L27+L43</f>
        <v>5983930.5</v>
      </c>
      <c r="M26" s="24">
        <f t="shared" si="13"/>
        <v>15881336.75</v>
      </c>
      <c r="N26" s="24">
        <f t="shared" si="13"/>
        <v>16484791.5</v>
      </c>
      <c r="O26" s="24">
        <f t="shared" si="13"/>
        <v>14436781</v>
      </c>
      <c r="P26" s="24">
        <f>SUM(K26:O26)</f>
        <v>55909305</v>
      </c>
      <c r="Q26" s="30">
        <f>Q27+Q43</f>
        <v>35050000</v>
      </c>
      <c r="R26" s="30">
        <f>R27+R43</f>
        <v>10000000</v>
      </c>
      <c r="S26" s="30">
        <f>S27+S43</f>
        <v>10859305</v>
      </c>
      <c r="T26" s="30"/>
    </row>
    <row r="27" spans="1:21" x14ac:dyDescent="0.3">
      <c r="A27" s="1"/>
      <c r="B27" s="18" t="s">
        <v>382</v>
      </c>
      <c r="C27" s="18" t="s">
        <v>340</v>
      </c>
      <c r="D27" s="18"/>
      <c r="E27" s="19">
        <f>E28</f>
        <v>3252.4</v>
      </c>
      <c r="F27" s="19">
        <f t="shared" ref="F27:I27" si="14">F28</f>
        <v>6504.8</v>
      </c>
      <c r="G27" s="19">
        <f t="shared" si="14"/>
        <v>19514.400000000001</v>
      </c>
      <c r="H27" s="19">
        <f t="shared" si="14"/>
        <v>19514.400000000001</v>
      </c>
      <c r="I27" s="19">
        <f t="shared" si="14"/>
        <v>16262</v>
      </c>
      <c r="J27" s="19">
        <f t="shared" si="3"/>
        <v>65048</v>
      </c>
      <c r="K27" s="19">
        <f>SUM(K28:K42)</f>
        <v>2822465.25</v>
      </c>
      <c r="L27" s="19">
        <f t="shared" ref="L27:P27" si="15">SUM(L28:L42)</f>
        <v>5383930.5</v>
      </c>
      <c r="M27" s="19">
        <f t="shared" si="15"/>
        <v>14381336.75</v>
      </c>
      <c r="N27" s="19">
        <f t="shared" si="15"/>
        <v>14684791.5</v>
      </c>
      <c r="O27" s="19">
        <f t="shared" si="15"/>
        <v>12636781</v>
      </c>
      <c r="P27" s="19">
        <f t="shared" si="15"/>
        <v>49909305</v>
      </c>
      <c r="Q27" s="19">
        <f>SUM(Q28:Q42)</f>
        <v>30550000</v>
      </c>
      <c r="R27" s="19">
        <f>SUM(R28:R42)</f>
        <v>10000000</v>
      </c>
      <c r="S27" s="19">
        <f>SUM(S28:S42)</f>
        <v>9359305</v>
      </c>
      <c r="T27" s="19"/>
    </row>
    <row r="28" spans="1:21" outlineLevel="1" x14ac:dyDescent="0.3">
      <c r="A28" s="1"/>
      <c r="B28" s="13" t="s">
        <v>1</v>
      </c>
      <c r="C28" s="1" t="s">
        <v>340</v>
      </c>
      <c r="D28" s="1"/>
      <c r="E28" s="4">
        <f>'Total Incitations + AT'!J42</f>
        <v>3252.4</v>
      </c>
      <c r="F28" s="4">
        <f>'Total Incitations + AT'!K42</f>
        <v>6504.8</v>
      </c>
      <c r="G28" s="4">
        <f>'Total Incitations + AT'!L42</f>
        <v>19514.400000000001</v>
      </c>
      <c r="H28" s="4">
        <f>'Total Incitations + AT'!M42</f>
        <v>19514.400000000001</v>
      </c>
      <c r="I28" s="4">
        <f>'Total Incitations + AT'!N42</f>
        <v>16262</v>
      </c>
      <c r="J28" s="23">
        <f>SUM(E28:I28)</f>
        <v>65048</v>
      </c>
      <c r="K28" s="4">
        <f>'Total Incitations + AT'!P42</f>
        <v>2048010.5</v>
      </c>
      <c r="L28" s="4">
        <f>'Total Incitations + AT'!Q42</f>
        <v>4096021</v>
      </c>
      <c r="M28" s="4">
        <f>'Total Incitations + AT'!R42</f>
        <v>12288063</v>
      </c>
      <c r="N28" s="4">
        <f>'Total Incitations + AT'!S42</f>
        <v>12288063</v>
      </c>
      <c r="O28" s="4">
        <f>'Total Incitations + AT'!T42</f>
        <v>10240052.5</v>
      </c>
      <c r="P28" s="4">
        <f>'Total Incitations + AT'!U42</f>
        <v>40960210</v>
      </c>
      <c r="Q28" s="4">
        <f>P28-R28-S28</f>
        <v>21600905</v>
      </c>
      <c r="R28" s="4">
        <v>10000000</v>
      </c>
      <c r="S28" s="4">
        <v>9359305</v>
      </c>
      <c r="T28" s="4"/>
      <c r="U28" s="10">
        <f>SUM(Q28:S28)</f>
        <v>40960210</v>
      </c>
    </row>
    <row r="29" spans="1:21" outlineLevel="1" x14ac:dyDescent="0.3">
      <c r="A29" s="1"/>
      <c r="B29" s="13" t="s">
        <v>398</v>
      </c>
      <c r="C29" s="1" t="s">
        <v>347</v>
      </c>
      <c r="D29" s="4">
        <f>3*1750000</f>
        <v>5250000</v>
      </c>
      <c r="E29" s="4"/>
      <c r="F29" s="4"/>
      <c r="G29" s="4"/>
      <c r="H29" s="4"/>
      <c r="I29" s="4"/>
      <c r="J29" s="23">
        <f t="shared" si="3"/>
        <v>0</v>
      </c>
      <c r="K29" s="4">
        <f>$D$29*K4</f>
        <v>262500</v>
      </c>
      <c r="L29" s="4">
        <f>$D$29*L4</f>
        <v>525000</v>
      </c>
      <c r="M29" s="4">
        <f>$D$29*M4</f>
        <v>1312500</v>
      </c>
      <c r="N29" s="4">
        <f>$D$29*N4</f>
        <v>1575000</v>
      </c>
      <c r="O29" s="4">
        <f>$D$29*O4</f>
        <v>1575000</v>
      </c>
      <c r="P29" s="4">
        <f>SUM(K29:O29)</f>
        <v>5250000</v>
      </c>
      <c r="Q29" s="4">
        <f t="shared" si="0"/>
        <v>5250000</v>
      </c>
      <c r="R29" s="4"/>
      <c r="S29" s="4"/>
      <c r="T29" s="4"/>
    </row>
    <row r="30" spans="1:21" outlineLevel="1" x14ac:dyDescent="0.3">
      <c r="A30" s="1"/>
      <c r="B30" s="13" t="s">
        <v>348</v>
      </c>
      <c r="C30" s="1" t="s">
        <v>347</v>
      </c>
      <c r="D30" s="4">
        <v>520000</v>
      </c>
      <c r="E30" s="1"/>
      <c r="F30" s="1"/>
      <c r="G30" s="1"/>
      <c r="H30" s="1"/>
      <c r="I30" s="1"/>
      <c r="J30" s="23">
        <f t="shared" si="3"/>
        <v>0</v>
      </c>
      <c r="K30" s="4">
        <v>0</v>
      </c>
      <c r="L30" s="4">
        <v>100000</v>
      </c>
      <c r="M30" s="4">
        <v>140000</v>
      </c>
      <c r="N30" s="4">
        <v>140000</v>
      </c>
      <c r="O30" s="4">
        <v>140000</v>
      </c>
      <c r="P30" s="4">
        <f t="shared" ref="P30:P48" si="16">SUM(K30:O30)</f>
        <v>520000</v>
      </c>
      <c r="Q30" s="4">
        <f t="shared" si="0"/>
        <v>520000</v>
      </c>
      <c r="R30" s="4"/>
      <c r="S30" s="4"/>
      <c r="T30" s="4"/>
    </row>
    <row r="31" spans="1:21" outlineLevel="1" x14ac:dyDescent="0.3">
      <c r="A31" s="1"/>
      <c r="B31" s="13" t="s">
        <v>349</v>
      </c>
      <c r="C31" s="1" t="s">
        <v>347</v>
      </c>
      <c r="D31" s="4">
        <v>380000</v>
      </c>
      <c r="E31" s="1"/>
      <c r="F31" s="1"/>
      <c r="G31" s="1"/>
      <c r="H31" s="1"/>
      <c r="I31" s="1"/>
      <c r="J31" s="23">
        <f t="shared" si="3"/>
        <v>0</v>
      </c>
      <c r="K31" s="4">
        <v>50000</v>
      </c>
      <c r="L31" s="4">
        <v>200000</v>
      </c>
      <c r="M31" s="4">
        <v>50000</v>
      </c>
      <c r="N31" s="4">
        <v>40000</v>
      </c>
      <c r="O31" s="4">
        <v>40000</v>
      </c>
      <c r="P31" s="4">
        <f t="shared" si="16"/>
        <v>380000</v>
      </c>
      <c r="Q31" s="4">
        <f t="shared" si="0"/>
        <v>380000</v>
      </c>
      <c r="R31" s="4"/>
      <c r="S31" s="4"/>
      <c r="T31" s="4"/>
    </row>
    <row r="32" spans="1:21" outlineLevel="1" x14ac:dyDescent="0.3">
      <c r="A32" s="1"/>
      <c r="B32" s="13" t="s">
        <v>350</v>
      </c>
      <c r="C32" s="1" t="s">
        <v>347</v>
      </c>
      <c r="D32" s="4">
        <v>400000</v>
      </c>
      <c r="E32" s="4"/>
      <c r="F32" s="4"/>
      <c r="G32" s="4"/>
      <c r="H32" s="4"/>
      <c r="I32" s="4"/>
      <c r="J32" s="23">
        <f t="shared" si="3"/>
        <v>0</v>
      </c>
      <c r="K32" s="4">
        <f>$D$32*K4</f>
        <v>20000</v>
      </c>
      <c r="L32" s="4">
        <f>$D$32*L4</f>
        <v>40000</v>
      </c>
      <c r="M32" s="4">
        <f>$D$32*M4</f>
        <v>100000</v>
      </c>
      <c r="N32" s="4">
        <f>$D$32*N4</f>
        <v>120000</v>
      </c>
      <c r="O32" s="4">
        <f>$D$32*O4</f>
        <v>120000</v>
      </c>
      <c r="P32" s="4">
        <f t="shared" si="16"/>
        <v>400000</v>
      </c>
      <c r="Q32" s="4">
        <f t="shared" si="0"/>
        <v>400000</v>
      </c>
      <c r="R32" s="4"/>
      <c r="S32" s="4"/>
      <c r="T32" s="4"/>
    </row>
    <row r="33" spans="1:20" outlineLevel="1" x14ac:dyDescent="0.3">
      <c r="A33" s="1"/>
      <c r="B33" s="13" t="s">
        <v>364</v>
      </c>
      <c r="C33" s="1" t="s">
        <v>347</v>
      </c>
      <c r="D33" s="4">
        <v>200000</v>
      </c>
      <c r="E33" s="4"/>
      <c r="F33" s="4"/>
      <c r="G33" s="4"/>
      <c r="H33" s="4"/>
      <c r="I33" s="4"/>
      <c r="J33" s="23">
        <f>SUM(E33:I33)</f>
        <v>0</v>
      </c>
      <c r="K33" s="4">
        <f>$D$33*K4</f>
        <v>10000</v>
      </c>
      <c r="L33" s="4">
        <f>$D$33*L4</f>
        <v>20000</v>
      </c>
      <c r="M33" s="4">
        <f>$D$33*M4</f>
        <v>50000</v>
      </c>
      <c r="N33" s="4">
        <f>$D$33*N4</f>
        <v>60000</v>
      </c>
      <c r="O33" s="4">
        <f>$D$33*O4</f>
        <v>60000</v>
      </c>
      <c r="P33" s="4">
        <f>SUM(K33:O33)</f>
        <v>200000</v>
      </c>
      <c r="Q33" s="4">
        <f t="shared" si="0"/>
        <v>200000</v>
      </c>
      <c r="R33" s="4"/>
      <c r="S33" s="4"/>
      <c r="T33" s="4"/>
    </row>
    <row r="34" spans="1:20" outlineLevel="1" x14ac:dyDescent="0.3">
      <c r="A34" s="1"/>
      <c r="B34" s="13" t="s">
        <v>351</v>
      </c>
      <c r="C34" s="1" t="s">
        <v>338</v>
      </c>
      <c r="D34" s="4">
        <v>2500</v>
      </c>
      <c r="E34" s="4">
        <f>8*13</f>
        <v>104</v>
      </c>
      <c r="F34" s="4">
        <f t="shared" ref="F34:I34" si="17">8*13</f>
        <v>104</v>
      </c>
      <c r="G34" s="4">
        <f t="shared" si="17"/>
        <v>104</v>
      </c>
      <c r="H34" s="4">
        <f t="shared" si="17"/>
        <v>104</v>
      </c>
      <c r="I34" s="4">
        <f t="shared" si="17"/>
        <v>104</v>
      </c>
      <c r="J34" s="23">
        <f>SUM(E34:I34)</f>
        <v>520</v>
      </c>
      <c r="K34" s="4">
        <f>E34*$D$34</f>
        <v>260000</v>
      </c>
      <c r="L34" s="4">
        <f>F34*$D$34</f>
        <v>260000</v>
      </c>
      <c r="M34" s="4">
        <f>G34*$D$34</f>
        <v>260000</v>
      </c>
      <c r="N34" s="4">
        <f>H34*$D$34</f>
        <v>260000</v>
      </c>
      <c r="O34" s="4">
        <f>I34*$D$34</f>
        <v>260000</v>
      </c>
      <c r="P34" s="4">
        <f>SUM(K34:O34)</f>
        <v>1300000</v>
      </c>
      <c r="Q34" s="4">
        <f t="shared" si="0"/>
        <v>1300000</v>
      </c>
      <c r="R34" s="4"/>
      <c r="S34" s="4"/>
      <c r="T34" s="4"/>
    </row>
    <row r="35" spans="1:20" outlineLevel="1" x14ac:dyDescent="0.3">
      <c r="A35" s="1"/>
      <c r="B35" s="13" t="s">
        <v>359</v>
      </c>
      <c r="C35" s="1" t="s">
        <v>339</v>
      </c>
      <c r="D35" s="4">
        <v>150000</v>
      </c>
      <c r="E35" s="4"/>
      <c r="F35" s="4"/>
      <c r="G35" s="4"/>
      <c r="H35" s="4"/>
      <c r="I35" s="4"/>
      <c r="J35" s="23">
        <f t="shared" ref="J35" si="18">SUM(E35:I35)</f>
        <v>0</v>
      </c>
      <c r="K35" s="4">
        <f>$D$35*K4</f>
        <v>7500</v>
      </c>
      <c r="L35" s="4">
        <f>$D$35*L4</f>
        <v>15000</v>
      </c>
      <c r="M35" s="4">
        <f>$D$35*M4</f>
        <v>37500</v>
      </c>
      <c r="N35" s="4">
        <f>$D$35*N4</f>
        <v>45000</v>
      </c>
      <c r="O35" s="4">
        <f>$D$35*O4</f>
        <v>45000</v>
      </c>
      <c r="P35" s="4">
        <f>SUM(K35:O35)</f>
        <v>150000</v>
      </c>
      <c r="Q35" s="4">
        <f t="shared" si="0"/>
        <v>150000</v>
      </c>
      <c r="R35" s="4"/>
      <c r="S35" s="4"/>
      <c r="T35" s="4"/>
    </row>
    <row r="36" spans="1:20" outlineLevel="1" x14ac:dyDescent="0.3">
      <c r="A36" s="1"/>
      <c r="B36" s="13" t="s">
        <v>360</v>
      </c>
      <c r="C36" s="1"/>
      <c r="D36" s="4"/>
      <c r="E36" s="4"/>
      <c r="F36" s="4"/>
      <c r="G36" s="4"/>
      <c r="H36" s="4"/>
      <c r="I36" s="4"/>
      <c r="J36" s="23">
        <f t="shared" si="3"/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outlineLevel="1" x14ac:dyDescent="0.3">
      <c r="A37" s="1"/>
      <c r="B37" s="25" t="s">
        <v>394</v>
      </c>
      <c r="C37" s="1" t="s">
        <v>395</v>
      </c>
      <c r="D37" s="4">
        <v>50000</v>
      </c>
      <c r="E37" s="4"/>
      <c r="F37" s="4"/>
      <c r="G37" s="4"/>
      <c r="H37" s="4"/>
      <c r="I37" s="4"/>
      <c r="J37" s="23">
        <f t="shared" si="3"/>
        <v>0</v>
      </c>
      <c r="K37" s="4">
        <v>50000</v>
      </c>
      <c r="L37" s="4"/>
      <c r="M37" s="4"/>
      <c r="N37" s="4"/>
      <c r="O37" s="4"/>
      <c r="P37" s="4">
        <f t="shared" si="16"/>
        <v>50000</v>
      </c>
      <c r="Q37" s="4">
        <f t="shared" si="0"/>
        <v>50000</v>
      </c>
      <c r="R37" s="4"/>
      <c r="S37" s="4"/>
      <c r="T37" s="4"/>
    </row>
    <row r="38" spans="1:20" outlineLevel="1" x14ac:dyDescent="0.3">
      <c r="A38" s="1"/>
      <c r="B38" s="25" t="s">
        <v>361</v>
      </c>
      <c r="C38" s="1" t="s">
        <v>338</v>
      </c>
      <c r="D38" s="4">
        <v>2000</v>
      </c>
      <c r="E38" s="4">
        <v>13</v>
      </c>
      <c r="F38" s="4">
        <v>13</v>
      </c>
      <c r="G38" s="4">
        <v>13</v>
      </c>
      <c r="H38" s="4">
        <v>13</v>
      </c>
      <c r="I38" s="4">
        <v>13</v>
      </c>
      <c r="J38" s="23">
        <f t="shared" si="3"/>
        <v>65</v>
      </c>
      <c r="K38" s="4">
        <f>$D$38*E38</f>
        <v>26000</v>
      </c>
      <c r="L38" s="4">
        <f>$D$38*F38</f>
        <v>26000</v>
      </c>
      <c r="M38" s="4">
        <f>$D$38*G38</f>
        <v>26000</v>
      </c>
      <c r="N38" s="4">
        <f>$D$38*H38</f>
        <v>26000</v>
      </c>
      <c r="O38" s="4">
        <f>$D$38*I38</f>
        <v>26000</v>
      </c>
      <c r="P38" s="4">
        <f t="shared" si="16"/>
        <v>130000</v>
      </c>
      <c r="Q38" s="4">
        <f t="shared" si="0"/>
        <v>130000</v>
      </c>
      <c r="R38" s="4"/>
      <c r="S38" s="4"/>
      <c r="T38" s="4"/>
    </row>
    <row r="39" spans="1:20" outlineLevel="1" x14ac:dyDescent="0.3">
      <c r="A39" s="1"/>
      <c r="B39" s="25" t="s">
        <v>362</v>
      </c>
      <c r="C39" s="1" t="s">
        <v>347</v>
      </c>
      <c r="D39" s="4">
        <v>120000</v>
      </c>
      <c r="E39" s="4"/>
      <c r="F39" s="4"/>
      <c r="G39" s="4"/>
      <c r="H39" s="4"/>
      <c r="I39" s="4"/>
      <c r="J39" s="23">
        <f t="shared" si="3"/>
        <v>0</v>
      </c>
      <c r="K39" s="4">
        <f>$D$39*K4</f>
        <v>6000</v>
      </c>
      <c r="L39" s="4">
        <f>$D$39*L4</f>
        <v>12000</v>
      </c>
      <c r="M39" s="4">
        <f>$D$39*M4</f>
        <v>30000</v>
      </c>
      <c r="N39" s="4">
        <f>$D$39*N4</f>
        <v>36000</v>
      </c>
      <c r="O39" s="4">
        <f>$D$39*O4</f>
        <v>36000</v>
      </c>
      <c r="P39" s="4">
        <f t="shared" si="16"/>
        <v>120000</v>
      </c>
      <c r="Q39" s="4">
        <f t="shared" si="0"/>
        <v>120000</v>
      </c>
      <c r="R39" s="4"/>
      <c r="S39" s="4"/>
      <c r="T39" s="4"/>
    </row>
    <row r="40" spans="1:20" outlineLevel="1" x14ac:dyDescent="0.3">
      <c r="A40" s="1"/>
      <c r="B40" s="25" t="s">
        <v>363</v>
      </c>
      <c r="C40" s="1" t="s">
        <v>395</v>
      </c>
      <c r="D40" s="4">
        <v>50000</v>
      </c>
      <c r="E40" s="4"/>
      <c r="F40" s="4"/>
      <c r="G40" s="4"/>
      <c r="H40" s="4"/>
      <c r="I40" s="4"/>
      <c r="J40" s="23">
        <f t="shared" si="3"/>
        <v>0</v>
      </c>
      <c r="K40" s="4">
        <f>D40*0.5</f>
        <v>25000</v>
      </c>
      <c r="L40" s="4">
        <f>D40*0.5</f>
        <v>25000</v>
      </c>
      <c r="M40" s="4"/>
      <c r="N40" s="4"/>
      <c r="O40" s="4"/>
      <c r="P40" s="4">
        <f t="shared" si="16"/>
        <v>50000</v>
      </c>
      <c r="Q40" s="4">
        <f t="shared" si="0"/>
        <v>50000</v>
      </c>
      <c r="R40" s="4"/>
      <c r="S40" s="4"/>
      <c r="T40" s="4"/>
    </row>
    <row r="41" spans="1:20" outlineLevel="1" x14ac:dyDescent="0.3">
      <c r="A41" s="1"/>
      <c r="B41" s="25" t="s">
        <v>405</v>
      </c>
      <c r="C41" s="1" t="s">
        <v>406</v>
      </c>
      <c r="D41" s="4">
        <v>149095</v>
      </c>
      <c r="E41" s="4"/>
      <c r="F41" s="4"/>
      <c r="G41" s="4"/>
      <c r="H41" s="4"/>
      <c r="I41" s="4"/>
      <c r="J41" s="23"/>
      <c r="K41" s="4">
        <f>$D$41*K4</f>
        <v>7454.75</v>
      </c>
      <c r="L41" s="4">
        <f>$D$41*L4</f>
        <v>14909.5</v>
      </c>
      <c r="M41" s="4">
        <f>$D$41*M4</f>
        <v>37273.75</v>
      </c>
      <c r="N41" s="4">
        <f>$D$41*N4</f>
        <v>44728.5</v>
      </c>
      <c r="O41" s="4">
        <f>$D$41*O4</f>
        <v>44728.5</v>
      </c>
      <c r="P41" s="4">
        <f t="shared" si="16"/>
        <v>149095</v>
      </c>
      <c r="Q41" s="4">
        <f t="shared" si="0"/>
        <v>149095</v>
      </c>
      <c r="R41" s="4"/>
      <c r="S41" s="4"/>
      <c r="T41" s="4"/>
    </row>
    <row r="42" spans="1:20" outlineLevel="1" x14ac:dyDescent="0.3">
      <c r="A42" s="1"/>
      <c r="B42" s="13" t="s">
        <v>419</v>
      </c>
      <c r="C42" s="1" t="s">
        <v>347</v>
      </c>
      <c r="D42" s="4">
        <v>50000</v>
      </c>
      <c r="E42" s="4"/>
      <c r="F42" s="4"/>
      <c r="G42" s="4"/>
      <c r="H42" s="4"/>
      <c r="I42" s="4"/>
      <c r="J42" s="23"/>
      <c r="K42" s="4">
        <v>50000</v>
      </c>
      <c r="L42" s="4">
        <v>50000</v>
      </c>
      <c r="M42" s="4">
        <v>50000</v>
      </c>
      <c r="N42" s="4">
        <v>50000</v>
      </c>
      <c r="O42" s="4">
        <v>50000</v>
      </c>
      <c r="P42" s="4">
        <f t="shared" si="16"/>
        <v>250000</v>
      </c>
      <c r="Q42" s="4">
        <f t="shared" si="0"/>
        <v>250000</v>
      </c>
      <c r="R42" s="4"/>
      <c r="S42" s="4"/>
      <c r="T42" s="4"/>
    </row>
    <row r="43" spans="1:20" x14ac:dyDescent="0.3">
      <c r="A43" s="1"/>
      <c r="B43" s="18" t="s">
        <v>397</v>
      </c>
      <c r="C43" s="21"/>
      <c r="D43" s="20"/>
      <c r="E43" s="19">
        <f>'Total Incitations + AT'!D52</f>
        <v>2200</v>
      </c>
      <c r="F43" s="19">
        <f>'Total Incitations + AT'!E52</f>
        <v>4400</v>
      </c>
      <c r="G43" s="19">
        <f>'Total Incitations + AT'!F52</f>
        <v>13200</v>
      </c>
      <c r="H43" s="19">
        <f>'Total Incitations + AT'!G52</f>
        <v>13200</v>
      </c>
      <c r="I43" s="19">
        <f>'Total Incitations + AT'!H52</f>
        <v>11000</v>
      </c>
      <c r="J43" s="19">
        <f>SUM(E43:I43)</f>
        <v>44000</v>
      </c>
      <c r="K43" s="19">
        <f>SUM(K44)</f>
        <v>300000</v>
      </c>
      <c r="L43" s="19">
        <f t="shared" ref="L43:O43" si="19">SUM(L44)</f>
        <v>600000</v>
      </c>
      <c r="M43" s="19">
        <f t="shared" si="19"/>
        <v>1500000</v>
      </c>
      <c r="N43" s="19">
        <f t="shared" si="19"/>
        <v>1800000</v>
      </c>
      <c r="O43" s="19">
        <f t="shared" si="19"/>
        <v>1800000</v>
      </c>
      <c r="P43" s="19">
        <f>SUM(K43:O43)</f>
        <v>6000000</v>
      </c>
      <c r="Q43" s="19">
        <f>Q44</f>
        <v>4500000</v>
      </c>
      <c r="R43" s="19"/>
      <c r="S43" s="19">
        <f>S44</f>
        <v>1500000</v>
      </c>
      <c r="T43" s="19"/>
    </row>
    <row r="44" spans="1:20" outlineLevel="1" x14ac:dyDescent="0.3">
      <c r="A44" s="1"/>
      <c r="B44" s="13" t="s">
        <v>396</v>
      </c>
      <c r="C44" s="1" t="s">
        <v>347</v>
      </c>
      <c r="D44" s="4">
        <v>6000000</v>
      </c>
      <c r="E44" s="4"/>
      <c r="F44" s="4"/>
      <c r="G44" s="4"/>
      <c r="H44" s="4"/>
      <c r="I44" s="4"/>
      <c r="J44" s="23">
        <f t="shared" ref="J44" si="20">SUM(E44:I44)</f>
        <v>0</v>
      </c>
      <c r="K44" s="4">
        <f>$D$44*K4</f>
        <v>300000</v>
      </c>
      <c r="L44" s="4">
        <f>$D$44*L4</f>
        <v>600000</v>
      </c>
      <c r="M44" s="4">
        <f>$D$44*M4</f>
        <v>1500000</v>
      </c>
      <c r="N44" s="4">
        <f>$D$44*N4</f>
        <v>1800000</v>
      </c>
      <c r="O44" s="4">
        <f>$D$44*O4</f>
        <v>1800000</v>
      </c>
      <c r="P44" s="4">
        <f>SUM(K44:O44)</f>
        <v>6000000</v>
      </c>
      <c r="Q44" s="4">
        <v>4500000</v>
      </c>
      <c r="R44" s="4"/>
      <c r="S44" s="4">
        <v>1500000</v>
      </c>
      <c r="T44" s="4"/>
    </row>
    <row r="45" spans="1:20" x14ac:dyDescent="0.3">
      <c r="A45" s="1"/>
      <c r="B45" s="3" t="s">
        <v>9</v>
      </c>
      <c r="C45" s="3"/>
      <c r="D45" s="3"/>
      <c r="E45" s="3"/>
      <c r="F45" s="3"/>
      <c r="G45" s="3"/>
      <c r="H45" s="3"/>
      <c r="I45" s="3"/>
      <c r="J45" s="3"/>
      <c r="K45" s="26">
        <v>1000000</v>
      </c>
      <c r="L45" s="26">
        <v>1000000</v>
      </c>
      <c r="M45" s="26">
        <v>1000000</v>
      </c>
      <c r="N45" s="26">
        <v>1000000</v>
      </c>
      <c r="O45" s="26">
        <v>1000000</v>
      </c>
      <c r="P45" s="27">
        <f t="shared" si="16"/>
        <v>5000000</v>
      </c>
      <c r="Q45" s="31">
        <f>P45-T45</f>
        <v>4000000</v>
      </c>
      <c r="R45" s="31"/>
      <c r="S45" s="31"/>
      <c r="T45" s="31">
        <v>1000000</v>
      </c>
    </row>
    <row r="46" spans="1:20" x14ac:dyDescent="0.3">
      <c r="A46" s="1"/>
      <c r="B46" s="3" t="s">
        <v>399</v>
      </c>
      <c r="C46" s="3"/>
      <c r="D46" s="3"/>
      <c r="E46" s="3"/>
      <c r="F46" s="3"/>
      <c r="G46" s="3"/>
      <c r="H46" s="3"/>
      <c r="I46" s="3"/>
      <c r="J46" s="3"/>
      <c r="K46" s="26">
        <v>30000</v>
      </c>
      <c r="L46" s="26">
        <v>30000</v>
      </c>
      <c r="M46" s="26">
        <v>30000</v>
      </c>
      <c r="N46" s="26">
        <v>30000</v>
      </c>
      <c r="O46" s="26">
        <v>30000</v>
      </c>
      <c r="P46" s="27">
        <f t="shared" si="16"/>
        <v>150000</v>
      </c>
      <c r="Q46" s="31">
        <f t="shared" si="0"/>
        <v>150000</v>
      </c>
      <c r="R46" s="31"/>
      <c r="S46" s="31"/>
      <c r="T46" s="31"/>
    </row>
    <row r="47" spans="1:20" x14ac:dyDescent="0.3">
      <c r="A47" s="1"/>
      <c r="B47" s="3" t="s">
        <v>10</v>
      </c>
      <c r="C47" s="3"/>
      <c r="D47" s="3"/>
      <c r="E47" s="3"/>
      <c r="F47" s="3"/>
      <c r="G47" s="3"/>
      <c r="H47" s="3"/>
      <c r="I47" s="3"/>
      <c r="J47" s="3"/>
      <c r="K47" s="26">
        <v>100000</v>
      </c>
      <c r="L47" s="26">
        <v>150000</v>
      </c>
      <c r="M47" s="26">
        <v>150000</v>
      </c>
      <c r="N47" s="26">
        <v>150000</v>
      </c>
      <c r="O47" s="26">
        <v>150000</v>
      </c>
      <c r="P47" s="27">
        <f t="shared" si="16"/>
        <v>700000</v>
      </c>
      <c r="Q47" s="31">
        <f t="shared" si="0"/>
        <v>700000</v>
      </c>
      <c r="R47" s="31"/>
      <c r="S47" s="31"/>
      <c r="T47" s="31"/>
    </row>
    <row r="48" spans="1:20" x14ac:dyDescent="0.3">
      <c r="A48" s="1"/>
      <c r="B48" s="3" t="s">
        <v>11</v>
      </c>
      <c r="C48" s="3"/>
      <c r="D48" s="3"/>
      <c r="E48" s="3"/>
      <c r="F48" s="3"/>
      <c r="G48" s="3"/>
      <c r="H48" s="3"/>
      <c r="I48" s="3"/>
      <c r="J48" s="3"/>
      <c r="K48" s="28"/>
      <c r="L48" s="28"/>
      <c r="M48" s="28"/>
      <c r="N48" s="28"/>
      <c r="O48" s="26">
        <v>500000</v>
      </c>
      <c r="P48" s="27">
        <f t="shared" si="16"/>
        <v>500000</v>
      </c>
      <c r="Q48" s="31">
        <f t="shared" si="0"/>
        <v>500000</v>
      </c>
      <c r="R48" s="31"/>
      <c r="S48" s="31"/>
      <c r="T48" s="31"/>
    </row>
    <row r="49" spans="1:20" x14ac:dyDescent="0.3">
      <c r="A49" s="1"/>
      <c r="B49" s="3" t="s">
        <v>12</v>
      </c>
      <c r="C49" s="3"/>
      <c r="D49" s="3"/>
      <c r="E49" s="3"/>
      <c r="F49" s="3"/>
      <c r="G49" s="3"/>
      <c r="H49" s="3"/>
      <c r="I49" s="3"/>
      <c r="J49" s="3"/>
      <c r="K49" s="24">
        <f>K48+K47+K45+K43+K27+K17+K16+K5+K46</f>
        <v>5323865.25</v>
      </c>
      <c r="L49" s="24">
        <f>L48+L47+L45+L43+L27+L17+L16+L5+L46</f>
        <v>9210230.5</v>
      </c>
      <c r="M49" s="24">
        <f>M48+M47+M45+M43+M27+M17+M16+M5+M46</f>
        <v>20815836.75</v>
      </c>
      <c r="N49" s="24">
        <f>N48+N47+N45+N43+N27+N17+N16+N5+N46</f>
        <v>21671691.5</v>
      </c>
      <c r="O49" s="24">
        <f>O48+O47+O45+O43+O27+O17+O16+O5+O46</f>
        <v>19837681</v>
      </c>
      <c r="P49" s="24">
        <f>SUM(K49:O49)</f>
        <v>76859305</v>
      </c>
      <c r="Q49" s="30">
        <f>Q48+Q47+Q45+Q43+Q27+Q17+Q16+Q5+Q46</f>
        <v>55000000</v>
      </c>
      <c r="R49" s="30">
        <f>R48+R47+R45+R43+R27+R17+R16+R5+R46</f>
        <v>10000000</v>
      </c>
      <c r="S49" s="30">
        <f>S48+S47+S45+S43+S27+S17+S16+S5+S46</f>
        <v>10859305</v>
      </c>
      <c r="T49" s="30">
        <f>T48+T47+T45+T43+T27+T17+T16+T5+T46</f>
        <v>1000000</v>
      </c>
    </row>
    <row r="50" spans="1:20" x14ac:dyDescent="0.3">
      <c r="P50" s="10"/>
      <c r="Q50" s="10"/>
    </row>
    <row r="51" spans="1:20" x14ac:dyDescent="0.3">
      <c r="P51" s="14"/>
      <c r="Q51" s="14"/>
      <c r="R51" s="14"/>
      <c r="S51" s="14"/>
      <c r="T51" s="14"/>
    </row>
    <row r="53" spans="1:20" x14ac:dyDescent="0.3">
      <c r="K53" s="11">
        <v>0.1</v>
      </c>
      <c r="L53" s="11">
        <v>0.2</v>
      </c>
      <c r="M53" s="11"/>
      <c r="N53" s="11"/>
      <c r="O53" s="11"/>
      <c r="P53" s="10"/>
      <c r="Q53" s="10"/>
      <c r="R53" s="10"/>
      <c r="S53" s="10"/>
      <c r="T53" s="10"/>
    </row>
  </sheetData>
  <mergeCells count="2">
    <mergeCell ref="E1:J1"/>
    <mergeCell ref="K1:P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A67" zoomScale="70" zoomScaleNormal="70" workbookViewId="0">
      <selection activeCell="G42" sqref="G42"/>
    </sheetView>
  </sheetViews>
  <sheetFormatPr defaultColWidth="9.109375" defaultRowHeight="13.8" x14ac:dyDescent="0.3"/>
  <cols>
    <col min="1" max="1" width="3.88671875" style="145" customWidth="1"/>
    <col min="2" max="2" width="7.44140625" style="145" customWidth="1"/>
    <col min="3" max="3" width="13.88671875" style="145" customWidth="1"/>
    <col min="4" max="4" width="67.109375" style="148" customWidth="1"/>
    <col min="5" max="5" width="7.33203125" style="148" hidden="1" customWidth="1"/>
    <col min="6" max="6" width="12" style="149" customWidth="1"/>
    <col min="7" max="11" width="11" style="149" customWidth="1"/>
    <col min="12" max="13" width="11" style="145" customWidth="1"/>
    <col min="14" max="14" width="12" style="145" customWidth="1"/>
    <col min="15" max="20" width="11" style="145" customWidth="1"/>
    <col min="21" max="16384" width="9.109375" style="145"/>
  </cols>
  <sheetData>
    <row r="1" spans="1:20" s="38" customFormat="1" ht="24" customHeight="1" x14ac:dyDescent="0.3">
      <c r="C1" s="141" t="s">
        <v>473</v>
      </c>
      <c r="D1" s="212" t="s">
        <v>568</v>
      </c>
      <c r="E1" s="212"/>
      <c r="F1" s="212"/>
      <c r="G1" s="142"/>
      <c r="H1" s="143" t="s">
        <v>474</v>
      </c>
      <c r="I1" s="143"/>
      <c r="J1" s="143"/>
      <c r="K1" s="141"/>
      <c r="L1" s="213" t="s">
        <v>571</v>
      </c>
      <c r="M1" s="213"/>
      <c r="N1" s="213"/>
      <c r="O1" s="213"/>
      <c r="P1" s="213"/>
      <c r="Q1" s="213"/>
    </row>
    <row r="2" spans="1:20" s="38" customFormat="1" ht="22.5" customHeight="1" x14ac:dyDescent="0.3">
      <c r="C2" s="141" t="s">
        <v>475</v>
      </c>
      <c r="D2" s="212"/>
      <c r="E2" s="212"/>
      <c r="F2" s="212"/>
      <c r="G2" s="142"/>
      <c r="H2" s="143" t="s">
        <v>476</v>
      </c>
      <c r="I2" s="143"/>
      <c r="J2" s="143"/>
      <c r="K2" s="141"/>
      <c r="L2" s="213" t="s">
        <v>569</v>
      </c>
      <c r="M2" s="213"/>
      <c r="N2" s="213"/>
      <c r="O2" s="213"/>
      <c r="P2" s="213"/>
      <c r="Q2" s="213"/>
    </row>
    <row r="3" spans="1:20" s="38" customFormat="1" ht="24.75" customHeight="1" x14ac:dyDescent="0.3">
      <c r="C3" s="141" t="s">
        <v>477</v>
      </c>
      <c r="D3" s="212" t="s">
        <v>570</v>
      </c>
      <c r="E3" s="212"/>
      <c r="F3" s="212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20" ht="15.6" x14ac:dyDescent="0.3">
      <c r="D4" s="146"/>
      <c r="E4" s="146"/>
      <c r="F4" s="147"/>
      <c r="G4" s="147"/>
      <c r="H4" s="147"/>
      <c r="I4" s="147"/>
      <c r="J4" s="147"/>
      <c r="K4" s="147"/>
    </row>
    <row r="6" spans="1:20" s="150" customFormat="1" ht="41.4" x14ac:dyDescent="0.2">
      <c r="B6" s="151" t="s">
        <v>518</v>
      </c>
      <c r="C6" s="152" t="s">
        <v>519</v>
      </c>
      <c r="D6" s="153" t="s">
        <v>520</v>
      </c>
      <c r="E6" s="152" t="s">
        <v>521</v>
      </c>
      <c r="F6" s="154" t="s">
        <v>336</v>
      </c>
      <c r="G6" s="152" t="s">
        <v>522</v>
      </c>
      <c r="H6" s="152" t="s">
        <v>552</v>
      </c>
      <c r="I6" s="152" t="s">
        <v>540</v>
      </c>
      <c r="J6" s="152" t="s">
        <v>541</v>
      </c>
      <c r="K6" s="152" t="s">
        <v>542</v>
      </c>
      <c r="L6" s="152" t="s">
        <v>543</v>
      </c>
      <c r="M6" s="152" t="s">
        <v>544</v>
      </c>
      <c r="N6" s="152" t="s">
        <v>545</v>
      </c>
      <c r="O6" s="152" t="s">
        <v>546</v>
      </c>
      <c r="P6" s="152" t="s">
        <v>547</v>
      </c>
      <c r="Q6" s="152" t="s">
        <v>548</v>
      </c>
      <c r="R6" s="152" t="s">
        <v>549</v>
      </c>
      <c r="S6" s="152" t="s">
        <v>550</v>
      </c>
      <c r="T6" s="152" t="s">
        <v>551</v>
      </c>
    </row>
    <row r="7" spans="1:20" x14ac:dyDescent="0.3">
      <c r="B7" s="155" t="s">
        <v>523</v>
      </c>
      <c r="C7" s="156"/>
      <c r="D7" s="156"/>
      <c r="E7" s="156"/>
      <c r="F7" s="157" t="s">
        <v>524</v>
      </c>
      <c r="G7" s="158">
        <f>G16</f>
        <v>14600000</v>
      </c>
      <c r="H7" s="158">
        <f t="shared" ref="H7:H12" si="0">SUM(I7:T7)</f>
        <v>1071400</v>
      </c>
      <c r="I7" s="158">
        <f>I16</f>
        <v>22000</v>
      </c>
      <c r="J7" s="158">
        <f>J16</f>
        <v>22000</v>
      </c>
      <c r="K7" s="158">
        <f>K16</f>
        <v>22000</v>
      </c>
      <c r="L7" s="158">
        <f>L16</f>
        <v>22000</v>
      </c>
      <c r="M7" s="158">
        <f t="shared" ref="M7:T7" si="1">M16</f>
        <v>37000</v>
      </c>
      <c r="N7" s="158">
        <f t="shared" si="1"/>
        <v>162000</v>
      </c>
      <c r="O7" s="158">
        <f t="shared" si="1"/>
        <v>116500</v>
      </c>
      <c r="P7" s="158">
        <f t="shared" si="1"/>
        <v>22000</v>
      </c>
      <c r="Q7" s="158">
        <f t="shared" si="1"/>
        <v>22000</v>
      </c>
      <c r="R7" s="158">
        <f t="shared" si="1"/>
        <v>22000</v>
      </c>
      <c r="S7" s="158">
        <f t="shared" si="1"/>
        <v>22000</v>
      </c>
      <c r="T7" s="158">
        <f t="shared" si="1"/>
        <v>579900</v>
      </c>
    </row>
    <row r="8" spans="1:20" x14ac:dyDescent="0.3">
      <c r="B8" s="155" t="s">
        <v>525</v>
      </c>
      <c r="C8" s="156"/>
      <c r="D8" s="156"/>
      <c r="E8" s="156"/>
      <c r="F8" s="157" t="s">
        <v>524</v>
      </c>
      <c r="G8" s="158">
        <f>G39</f>
        <v>55909305</v>
      </c>
      <c r="H8" s="158">
        <f t="shared" si="0"/>
        <v>3029500</v>
      </c>
      <c r="I8" s="158">
        <f t="shared" ref="I8:T8" si="2">I39</f>
        <v>22625</v>
      </c>
      <c r="J8" s="158">
        <f t="shared" si="2"/>
        <v>22625</v>
      </c>
      <c r="K8" s="158">
        <f t="shared" si="2"/>
        <v>72625</v>
      </c>
      <c r="L8" s="158">
        <f t="shared" si="2"/>
        <v>22625</v>
      </c>
      <c r="M8" s="158">
        <f t="shared" si="2"/>
        <v>22625</v>
      </c>
      <c r="N8" s="158">
        <f t="shared" si="2"/>
        <v>22625</v>
      </c>
      <c r="O8" s="158">
        <f t="shared" si="2"/>
        <v>22625</v>
      </c>
      <c r="P8" s="158">
        <f t="shared" si="2"/>
        <v>57625</v>
      </c>
      <c r="Q8" s="158">
        <f t="shared" si="2"/>
        <v>130107.5</v>
      </c>
      <c r="R8" s="158">
        <f t="shared" si="2"/>
        <v>253625</v>
      </c>
      <c r="S8" s="158">
        <f t="shared" si="2"/>
        <v>22625</v>
      </c>
      <c r="T8" s="158">
        <f t="shared" si="2"/>
        <v>2357142.5</v>
      </c>
    </row>
    <row r="9" spans="1:20" x14ac:dyDescent="0.3">
      <c r="B9" s="155" t="s">
        <v>9</v>
      </c>
      <c r="C9" s="156"/>
      <c r="D9" s="156"/>
      <c r="E9" s="156"/>
      <c r="F9" s="157" t="s">
        <v>524</v>
      </c>
      <c r="G9" s="158">
        <f>G88</f>
        <v>5000000</v>
      </c>
      <c r="H9" s="158">
        <f t="shared" si="0"/>
        <v>1000000.0000000001</v>
      </c>
      <c r="I9" s="158">
        <f t="shared" ref="I9:T9" si="3">I88</f>
        <v>83333.333333333328</v>
      </c>
      <c r="J9" s="158">
        <f t="shared" si="3"/>
        <v>83333.333333333328</v>
      </c>
      <c r="K9" s="158">
        <f t="shared" si="3"/>
        <v>83333.333333333328</v>
      </c>
      <c r="L9" s="158">
        <f t="shared" si="3"/>
        <v>83333.333333333328</v>
      </c>
      <c r="M9" s="158">
        <f t="shared" si="3"/>
        <v>83333.333333333328</v>
      </c>
      <c r="N9" s="158">
        <f t="shared" si="3"/>
        <v>83333.333333333328</v>
      </c>
      <c r="O9" s="158">
        <f t="shared" si="3"/>
        <v>83333.333333333328</v>
      </c>
      <c r="P9" s="158">
        <f t="shared" si="3"/>
        <v>83333.333333333328</v>
      </c>
      <c r="Q9" s="158">
        <f t="shared" si="3"/>
        <v>83333.333333333328</v>
      </c>
      <c r="R9" s="158">
        <f t="shared" si="3"/>
        <v>83333.333333333328</v>
      </c>
      <c r="S9" s="158">
        <f t="shared" si="3"/>
        <v>83333.333333333328</v>
      </c>
      <c r="T9" s="158">
        <f t="shared" si="3"/>
        <v>83333.333333333328</v>
      </c>
    </row>
    <row r="10" spans="1:20" x14ac:dyDescent="0.3">
      <c r="B10" s="155" t="s">
        <v>399</v>
      </c>
      <c r="C10" s="156"/>
      <c r="D10" s="156"/>
      <c r="E10" s="156"/>
      <c r="F10" s="157" t="s">
        <v>524</v>
      </c>
      <c r="G10" s="159">
        <f>G90</f>
        <v>150000</v>
      </c>
      <c r="H10" s="159">
        <f t="shared" si="0"/>
        <v>30000</v>
      </c>
      <c r="I10" s="159">
        <f t="shared" ref="I10:T10" si="4">I90</f>
        <v>0</v>
      </c>
      <c r="J10" s="159">
        <f t="shared" si="4"/>
        <v>0</v>
      </c>
      <c r="K10" s="159">
        <f t="shared" si="4"/>
        <v>0</v>
      </c>
      <c r="L10" s="159">
        <f t="shared" si="4"/>
        <v>0</v>
      </c>
      <c r="M10" s="159">
        <f t="shared" si="4"/>
        <v>0</v>
      </c>
      <c r="N10" s="159">
        <f t="shared" si="4"/>
        <v>0</v>
      </c>
      <c r="O10" s="159">
        <f t="shared" si="4"/>
        <v>0</v>
      </c>
      <c r="P10" s="159">
        <f t="shared" si="4"/>
        <v>0</v>
      </c>
      <c r="Q10" s="159">
        <f t="shared" si="4"/>
        <v>0</v>
      </c>
      <c r="R10" s="159">
        <f t="shared" si="4"/>
        <v>0</v>
      </c>
      <c r="S10" s="159">
        <f t="shared" si="4"/>
        <v>0</v>
      </c>
      <c r="T10" s="159">
        <f t="shared" si="4"/>
        <v>30000</v>
      </c>
    </row>
    <row r="11" spans="1:20" x14ac:dyDescent="0.3">
      <c r="B11" s="155" t="s">
        <v>526</v>
      </c>
      <c r="C11" s="156"/>
      <c r="D11" s="156"/>
      <c r="E11" s="156"/>
      <c r="F11" s="157" t="s">
        <v>524</v>
      </c>
      <c r="G11" s="159">
        <f>G93</f>
        <v>700000</v>
      </c>
      <c r="H11" s="159">
        <f t="shared" si="0"/>
        <v>100000</v>
      </c>
      <c r="I11" s="159">
        <f t="shared" ref="I11:T11" si="5">I93</f>
        <v>0</v>
      </c>
      <c r="J11" s="159">
        <f t="shared" si="5"/>
        <v>0</v>
      </c>
      <c r="K11" s="159">
        <f t="shared" si="5"/>
        <v>0</v>
      </c>
      <c r="L11" s="159">
        <f t="shared" si="5"/>
        <v>0</v>
      </c>
      <c r="M11" s="159">
        <f t="shared" si="5"/>
        <v>0</v>
      </c>
      <c r="N11" s="159">
        <f t="shared" si="5"/>
        <v>0</v>
      </c>
      <c r="O11" s="159">
        <f t="shared" si="5"/>
        <v>100000</v>
      </c>
      <c r="P11" s="159">
        <f t="shared" si="5"/>
        <v>0</v>
      </c>
      <c r="Q11" s="159">
        <f t="shared" si="5"/>
        <v>0</v>
      </c>
      <c r="R11" s="159">
        <f t="shared" si="5"/>
        <v>0</v>
      </c>
      <c r="S11" s="159">
        <f t="shared" si="5"/>
        <v>0</v>
      </c>
      <c r="T11" s="159">
        <f t="shared" si="5"/>
        <v>0</v>
      </c>
    </row>
    <row r="12" spans="1:20" x14ac:dyDescent="0.3">
      <c r="B12" s="155" t="s">
        <v>527</v>
      </c>
      <c r="C12" s="156"/>
      <c r="D12" s="156"/>
      <c r="E12" s="156"/>
      <c r="F12" s="157" t="s">
        <v>524</v>
      </c>
      <c r="G12" s="159">
        <v>500000</v>
      </c>
      <c r="H12" s="159">
        <f t="shared" si="0"/>
        <v>0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1:20" s="160" customFormat="1" x14ac:dyDescent="0.3">
      <c r="B13" s="161"/>
      <c r="C13" s="162"/>
      <c r="D13" s="162"/>
      <c r="E13" s="162"/>
      <c r="F13" s="163" t="s">
        <v>12</v>
      </c>
      <c r="G13" s="164">
        <f t="shared" ref="G13:T13" si="6">SUM(G7:G12)</f>
        <v>76859305</v>
      </c>
      <c r="H13" s="164">
        <f t="shared" si="6"/>
        <v>5230900</v>
      </c>
      <c r="I13" s="164">
        <f t="shared" si="6"/>
        <v>127958.33333333333</v>
      </c>
      <c r="J13" s="164">
        <f t="shared" si="6"/>
        <v>127958.33333333333</v>
      </c>
      <c r="K13" s="164">
        <f t="shared" si="6"/>
        <v>177958.33333333331</v>
      </c>
      <c r="L13" s="164">
        <f t="shared" si="6"/>
        <v>127958.33333333333</v>
      </c>
      <c r="M13" s="164">
        <f t="shared" si="6"/>
        <v>142958.33333333331</v>
      </c>
      <c r="N13" s="164">
        <f t="shared" si="6"/>
        <v>267958.33333333331</v>
      </c>
      <c r="O13" s="164">
        <f t="shared" si="6"/>
        <v>322458.33333333331</v>
      </c>
      <c r="P13" s="164">
        <f t="shared" si="6"/>
        <v>162958.33333333331</v>
      </c>
      <c r="Q13" s="164">
        <f t="shared" si="6"/>
        <v>235440.83333333331</v>
      </c>
      <c r="R13" s="164">
        <f t="shared" si="6"/>
        <v>358958.33333333331</v>
      </c>
      <c r="S13" s="164">
        <f t="shared" si="6"/>
        <v>127958.33333333333</v>
      </c>
      <c r="T13" s="164">
        <f t="shared" si="6"/>
        <v>3050375.8333333335</v>
      </c>
    </row>
    <row r="14" spans="1:20" s="160" customFormat="1" x14ac:dyDescent="0.3">
      <c r="B14" s="161"/>
      <c r="C14" s="162"/>
      <c r="D14" s="162"/>
      <c r="E14" s="162"/>
      <c r="F14" s="163"/>
      <c r="G14" s="164"/>
      <c r="H14" s="164"/>
      <c r="I14" s="164"/>
      <c r="J14" s="164"/>
      <c r="K14" s="164">
        <f>I13+J13+K13</f>
        <v>433875</v>
      </c>
      <c r="L14" s="164"/>
      <c r="M14" s="164"/>
      <c r="N14" s="164"/>
      <c r="O14" s="164"/>
      <c r="P14" s="164"/>
      <c r="Q14" s="164"/>
      <c r="R14" s="164"/>
      <c r="S14" s="164"/>
      <c r="T14" s="164"/>
    </row>
    <row r="15" spans="1:20" s="169" customFormat="1" x14ac:dyDescent="0.3">
      <c r="A15" s="165"/>
      <c r="B15" s="161"/>
      <c r="C15" s="162"/>
      <c r="D15" s="162"/>
      <c r="E15" s="162"/>
      <c r="F15" s="166"/>
      <c r="G15" s="167"/>
      <c r="H15" s="167"/>
      <c r="I15" s="167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70" customFormat="1" x14ac:dyDescent="0.3">
      <c r="B16" s="155" t="str">
        <f>B7</f>
        <v>Composante 1</v>
      </c>
      <c r="C16" s="171"/>
      <c r="D16" s="171"/>
      <c r="E16" s="171"/>
      <c r="F16" s="171"/>
      <c r="G16" s="171">
        <f>+G18+G27+G30</f>
        <v>14600000</v>
      </c>
      <c r="H16" s="171">
        <f>+H18+H27+H30</f>
        <v>1071400</v>
      </c>
      <c r="I16" s="171">
        <f t="shared" ref="I16:R16" si="7">+I18+I27+I30</f>
        <v>22000</v>
      </c>
      <c r="J16" s="171">
        <f t="shared" si="7"/>
        <v>22000</v>
      </c>
      <c r="K16" s="171">
        <f t="shared" si="7"/>
        <v>22000</v>
      </c>
      <c r="L16" s="171">
        <f t="shared" si="7"/>
        <v>22000</v>
      </c>
      <c r="M16" s="171">
        <f t="shared" si="7"/>
        <v>37000</v>
      </c>
      <c r="N16" s="171">
        <f t="shared" si="7"/>
        <v>162000</v>
      </c>
      <c r="O16" s="171">
        <f t="shared" si="7"/>
        <v>116500</v>
      </c>
      <c r="P16" s="171">
        <f t="shared" si="7"/>
        <v>22000</v>
      </c>
      <c r="Q16" s="171">
        <f t="shared" si="7"/>
        <v>22000</v>
      </c>
      <c r="R16" s="171">
        <f t="shared" si="7"/>
        <v>22000</v>
      </c>
      <c r="S16" s="171">
        <f>+S18+S27+S30</f>
        <v>22000</v>
      </c>
      <c r="T16" s="171">
        <f>+T18+T27+T30</f>
        <v>579900</v>
      </c>
    </row>
    <row r="17" spans="2:20" s="177" customFormat="1" ht="15" customHeight="1" x14ac:dyDescent="0.3">
      <c r="B17" s="172" t="s">
        <v>528</v>
      </c>
      <c r="C17" s="173">
        <v>1</v>
      </c>
      <c r="D17" s="174" t="str">
        <f>'PEP-Budget par produit'!B5</f>
        <v>Produit 1: Projets recherche agricole définis et mis en oeuvre</v>
      </c>
      <c r="E17" s="175"/>
      <c r="F17" s="176" t="s">
        <v>379</v>
      </c>
      <c r="G17" s="174">
        <f>'PEP-Budget par produit'!J5</f>
        <v>15</v>
      </c>
      <c r="H17" s="174">
        <f>SUM(I17:N17)</f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s="183" customFormat="1" x14ac:dyDescent="0.3">
      <c r="B18" s="178" t="s">
        <v>529</v>
      </c>
      <c r="C18" s="179">
        <v>1</v>
      </c>
      <c r="D18" s="180" t="str">
        <f>D17</f>
        <v>Produit 1: Projets recherche agricole définis et mis en oeuvre</v>
      </c>
      <c r="E18" s="181"/>
      <c r="F18" s="182" t="s">
        <v>524</v>
      </c>
      <c r="G18" s="180">
        <f>'PEP-Budget par produit'!P5</f>
        <v>12198000</v>
      </c>
      <c r="H18" s="180">
        <f>SUM(I18:T18)</f>
        <v>547400</v>
      </c>
      <c r="I18" s="180">
        <f>SUM(I19:I25)</f>
        <v>0</v>
      </c>
      <c r="J18" s="180">
        <f t="shared" ref="J18:T18" si="8">SUM(J19:J25)</f>
        <v>0</v>
      </c>
      <c r="K18" s="180">
        <f t="shared" si="8"/>
        <v>0</v>
      </c>
      <c r="L18" s="180">
        <f t="shared" si="8"/>
        <v>0</v>
      </c>
      <c r="M18" s="180">
        <f t="shared" si="8"/>
        <v>0</v>
      </c>
      <c r="N18" s="180">
        <f t="shared" si="8"/>
        <v>0</v>
      </c>
      <c r="O18" s="180">
        <f t="shared" si="8"/>
        <v>0</v>
      </c>
      <c r="P18" s="180">
        <f t="shared" si="8"/>
        <v>0</v>
      </c>
      <c r="Q18" s="180">
        <f t="shared" si="8"/>
        <v>0</v>
      </c>
      <c r="R18" s="180">
        <f t="shared" si="8"/>
        <v>0</v>
      </c>
      <c r="S18" s="180">
        <f t="shared" si="8"/>
        <v>0</v>
      </c>
      <c r="T18" s="180">
        <f t="shared" si="8"/>
        <v>547400</v>
      </c>
    </row>
    <row r="19" spans="2:20" s="188" customFormat="1" ht="13.5" customHeight="1" x14ac:dyDescent="0.3">
      <c r="B19" s="178"/>
      <c r="C19" s="184"/>
      <c r="D19" s="185" t="s">
        <v>530</v>
      </c>
      <c r="E19" s="184"/>
      <c r="F19" s="186"/>
      <c r="G19" s="187"/>
      <c r="H19" s="187">
        <f>SUM(I19:N19)</f>
        <v>0</v>
      </c>
      <c r="I19" s="187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2:20" s="188" customFormat="1" ht="13.5" customHeight="1" x14ac:dyDescent="0.3">
      <c r="B20" s="178"/>
      <c r="C20" s="184"/>
      <c r="D20" s="185" t="s">
        <v>531</v>
      </c>
      <c r="E20" s="184"/>
      <c r="F20" s="186"/>
      <c r="G20" s="184"/>
      <c r="H20" s="184">
        <f>SUM(I20:N20)</f>
        <v>0</v>
      </c>
      <c r="I20" s="184"/>
      <c r="J20" s="187"/>
      <c r="K20" s="187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2:20" s="188" customFormat="1" ht="13.5" customHeight="1" x14ac:dyDescent="0.3">
      <c r="B21" s="178"/>
      <c r="C21" s="184"/>
      <c r="D21" s="185" t="s">
        <v>532</v>
      </c>
      <c r="E21" s="184"/>
      <c r="F21" s="186"/>
      <c r="G21" s="184"/>
      <c r="H21" s="184">
        <f>SUM(I21:N21)</f>
        <v>0</v>
      </c>
      <c r="I21" s="184"/>
      <c r="J21" s="184"/>
      <c r="K21" s="184"/>
      <c r="L21" s="187"/>
      <c r="M21" s="187"/>
      <c r="N21" s="184"/>
      <c r="P21" s="184"/>
      <c r="Q21" s="184"/>
      <c r="R21" s="184"/>
      <c r="S21" s="184"/>
      <c r="T21" s="184"/>
    </row>
    <row r="22" spans="2:20" s="188" customFormat="1" ht="13.5" customHeight="1" x14ac:dyDescent="0.3">
      <c r="B22" s="178"/>
      <c r="C22" s="184"/>
      <c r="D22" s="185" t="s">
        <v>533</v>
      </c>
      <c r="E22" s="184"/>
      <c r="F22" s="186"/>
      <c r="G22" s="184"/>
      <c r="H22" s="184">
        <f>SUM(I22:M22)</f>
        <v>0</v>
      </c>
      <c r="I22" s="184"/>
      <c r="J22" s="184"/>
      <c r="K22" s="184"/>
      <c r="L22" s="184"/>
      <c r="M22" s="184"/>
      <c r="N22" s="187"/>
      <c r="O22" s="187"/>
      <c r="P22" s="184"/>
      <c r="Q22" s="184"/>
      <c r="R22" s="184"/>
      <c r="S22" s="184"/>
      <c r="T22" s="184"/>
    </row>
    <row r="23" spans="2:20" s="188" customFormat="1" ht="13.5" customHeight="1" x14ac:dyDescent="0.3">
      <c r="B23" s="178"/>
      <c r="C23" s="184"/>
      <c r="D23" s="185" t="s">
        <v>534</v>
      </c>
      <c r="E23" s="184"/>
      <c r="F23" s="186"/>
      <c r="G23" s="184"/>
      <c r="H23" s="184">
        <f>SUM(I23:N23)</f>
        <v>0</v>
      </c>
      <c r="I23" s="184"/>
      <c r="J23" s="184"/>
      <c r="K23" s="184"/>
      <c r="L23" s="184"/>
      <c r="M23" s="184"/>
      <c r="N23" s="184"/>
      <c r="O23" s="184"/>
      <c r="P23" s="187"/>
      <c r="Q23" s="187"/>
      <c r="R23" s="184"/>
      <c r="S23" s="184"/>
      <c r="T23" s="184"/>
    </row>
    <row r="24" spans="2:20" s="188" customFormat="1" ht="13.5" customHeight="1" x14ac:dyDescent="0.3">
      <c r="B24" s="178"/>
      <c r="C24" s="184"/>
      <c r="D24" s="185" t="s">
        <v>535</v>
      </c>
      <c r="E24" s="184"/>
      <c r="F24" s="186"/>
      <c r="G24" s="184"/>
      <c r="H24" s="184">
        <f>SUM(I24:N24)</f>
        <v>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7"/>
      <c r="S24" s="184"/>
      <c r="T24" s="184"/>
    </row>
    <row r="25" spans="2:20" s="188" customFormat="1" ht="13.5" customHeight="1" x14ac:dyDescent="0.3">
      <c r="B25" s="178"/>
      <c r="C25" s="184"/>
      <c r="D25" s="185" t="s">
        <v>536</v>
      </c>
      <c r="E25" s="184"/>
      <c r="F25" s="186"/>
      <c r="G25" s="184"/>
      <c r="H25" s="184">
        <f>SUM(I25:N25)</f>
        <v>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7"/>
      <c r="T25" s="187">
        <f>'PEP-Budget par produit'!K5</f>
        <v>547400</v>
      </c>
    </row>
    <row r="26" spans="2:20" x14ac:dyDescent="0.3">
      <c r="B26" s="178" t="s">
        <v>528</v>
      </c>
      <c r="C26" s="179">
        <v>2</v>
      </c>
      <c r="D26" s="180" t="str">
        <f>'PEP-Budget par produit'!B16</f>
        <v>Produit 2: Bourses d'études complémentaires</v>
      </c>
      <c r="E26" s="181"/>
      <c r="F26" s="182"/>
      <c r="G26" s="180">
        <f>'PEP-Budget par produit'!J16</f>
        <v>10</v>
      </c>
      <c r="H26" s="180">
        <f>SUM(I26:N26)</f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2:20" x14ac:dyDescent="0.3">
      <c r="B27" s="178" t="s">
        <v>529</v>
      </c>
      <c r="C27" s="179">
        <v>2</v>
      </c>
      <c r="D27" s="180" t="str">
        <f>D26</f>
        <v>Produit 2: Bourses d'études complémentaires</v>
      </c>
      <c r="E27" s="181"/>
      <c r="F27" s="182" t="s">
        <v>524</v>
      </c>
      <c r="G27" s="180">
        <f>'PEP-Budget par produit'!P16</f>
        <v>360000</v>
      </c>
      <c r="H27" s="180">
        <f>SUM(I27:T27)</f>
        <v>0</v>
      </c>
      <c r="I27" s="180">
        <f t="shared" ref="I27:T27" si="9">SUM(I28:I28)</f>
        <v>0</v>
      </c>
      <c r="J27" s="180">
        <f t="shared" si="9"/>
        <v>0</v>
      </c>
      <c r="K27" s="180">
        <f t="shared" si="9"/>
        <v>0</v>
      </c>
      <c r="L27" s="180">
        <f t="shared" si="9"/>
        <v>0</v>
      </c>
      <c r="M27" s="180">
        <f t="shared" si="9"/>
        <v>0</v>
      </c>
      <c r="N27" s="180">
        <f t="shared" si="9"/>
        <v>0</v>
      </c>
      <c r="O27" s="180">
        <f t="shared" si="9"/>
        <v>0</v>
      </c>
      <c r="P27" s="180">
        <f t="shared" si="9"/>
        <v>0</v>
      </c>
      <c r="Q27" s="180">
        <f t="shared" si="9"/>
        <v>0</v>
      </c>
      <c r="R27" s="180">
        <f t="shared" si="9"/>
        <v>0</v>
      </c>
      <c r="S27" s="180">
        <f t="shared" si="9"/>
        <v>0</v>
      </c>
      <c r="T27" s="180">
        <f t="shared" si="9"/>
        <v>0</v>
      </c>
    </row>
    <row r="28" spans="2:20" x14ac:dyDescent="0.3">
      <c r="B28" s="178"/>
      <c r="C28" s="184"/>
      <c r="D28" s="189" t="s">
        <v>583</v>
      </c>
      <c r="E28" s="184"/>
      <c r="F28" s="186"/>
      <c r="G28" s="184"/>
      <c r="H28" s="184">
        <f>SUM(I28:N28)</f>
        <v>0</v>
      </c>
      <c r="I28" s="184"/>
      <c r="J28" s="184"/>
      <c r="K28" s="187"/>
      <c r="L28" s="187"/>
      <c r="M28" s="187"/>
      <c r="N28" s="187"/>
      <c r="O28" s="187"/>
      <c r="P28" s="187"/>
      <c r="Q28" s="187"/>
      <c r="R28" s="187"/>
      <c r="S28" s="187"/>
      <c r="T28" s="187"/>
    </row>
    <row r="29" spans="2:20" x14ac:dyDescent="0.3">
      <c r="B29" s="178" t="s">
        <v>528</v>
      </c>
      <c r="C29" s="179">
        <v>3</v>
      </c>
      <c r="D29" s="180" t="str">
        <f>'PEP-Budget par produit'!B17</f>
        <v>Produit 3: Direction de l'Innovation renforcée</v>
      </c>
      <c r="E29" s="181"/>
      <c r="F29" s="182" t="s">
        <v>381</v>
      </c>
      <c r="G29" s="180">
        <f>'PEP-Budget par produit'!J17</f>
        <v>1</v>
      </c>
      <c r="H29" s="180">
        <f>SUM(I29:N29)</f>
        <v>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2:20" x14ac:dyDescent="0.3">
      <c r="B30" s="178" t="s">
        <v>529</v>
      </c>
      <c r="C30" s="179">
        <v>3</v>
      </c>
      <c r="D30" s="180" t="str">
        <f>D29</f>
        <v>Produit 3: Direction de l'Innovation renforcée</v>
      </c>
      <c r="E30" s="181"/>
      <c r="F30" s="182" t="s">
        <v>524</v>
      </c>
      <c r="G30" s="180">
        <f>'PEP-Budget par produit'!P17</f>
        <v>2042000</v>
      </c>
      <c r="H30" s="180">
        <f>SUM(I30:T30)</f>
        <v>524000</v>
      </c>
      <c r="I30" s="180">
        <f>SUM(I31:I38)</f>
        <v>22000</v>
      </c>
      <c r="J30" s="180">
        <f t="shared" ref="J30:T30" si="10">SUM(J31:J38)</f>
        <v>22000</v>
      </c>
      <c r="K30" s="180">
        <f t="shared" si="10"/>
        <v>22000</v>
      </c>
      <c r="L30" s="180">
        <f t="shared" si="10"/>
        <v>22000</v>
      </c>
      <c r="M30" s="180">
        <f t="shared" si="10"/>
        <v>37000</v>
      </c>
      <c r="N30" s="180">
        <f t="shared" si="10"/>
        <v>162000</v>
      </c>
      <c r="O30" s="180">
        <f t="shared" si="10"/>
        <v>116500</v>
      </c>
      <c r="P30" s="180">
        <f t="shared" si="10"/>
        <v>22000</v>
      </c>
      <c r="Q30" s="180">
        <f t="shared" si="10"/>
        <v>22000</v>
      </c>
      <c r="R30" s="180">
        <f t="shared" si="10"/>
        <v>22000</v>
      </c>
      <c r="S30" s="180">
        <f t="shared" si="10"/>
        <v>22000</v>
      </c>
      <c r="T30" s="180">
        <f t="shared" si="10"/>
        <v>32500</v>
      </c>
    </row>
    <row r="31" spans="2:20" s="188" customFormat="1" ht="13.5" customHeight="1" x14ac:dyDescent="0.3">
      <c r="B31" s="178"/>
      <c r="C31" s="184"/>
      <c r="D31" s="190" t="s">
        <v>357</v>
      </c>
      <c r="E31" s="184"/>
      <c r="F31" s="186"/>
      <c r="G31" s="187">
        <f>'PEP-Budget par produit'!Q18</f>
        <v>195000</v>
      </c>
      <c r="H31" s="187">
        <f t="shared" ref="H31:H37" si="11">SUM(I31:T31)</f>
        <v>39000</v>
      </c>
      <c r="I31" s="187">
        <v>3000</v>
      </c>
      <c r="J31" s="187">
        <v>3000</v>
      </c>
      <c r="K31" s="187">
        <v>3000</v>
      </c>
      <c r="L31" s="187">
        <v>3000</v>
      </c>
      <c r="M31" s="187">
        <v>3000</v>
      </c>
      <c r="N31" s="187">
        <v>3000</v>
      </c>
      <c r="O31" s="187">
        <v>3000</v>
      </c>
      <c r="P31" s="187">
        <v>3000</v>
      </c>
      <c r="Q31" s="187">
        <v>3000</v>
      </c>
      <c r="R31" s="187">
        <v>3000</v>
      </c>
      <c r="S31" s="187">
        <v>3000</v>
      </c>
      <c r="T31" s="187">
        <f>3000*2</f>
        <v>6000</v>
      </c>
    </row>
    <row r="32" spans="2:20" s="188" customFormat="1" ht="13.5" customHeight="1" x14ac:dyDescent="0.3">
      <c r="B32" s="178"/>
      <c r="C32" s="184"/>
      <c r="D32" s="190" t="s">
        <v>407</v>
      </c>
      <c r="E32" s="184"/>
      <c r="F32" s="186"/>
      <c r="G32" s="187">
        <f>'PEP-Budget par produit'!Q19</f>
        <v>487500</v>
      </c>
      <c r="H32" s="187">
        <f>SUM(I32:T32)</f>
        <v>97500</v>
      </c>
      <c r="I32" s="187">
        <f>2500*3</f>
        <v>7500</v>
      </c>
      <c r="J32" s="187">
        <f t="shared" ref="J32:S32" si="12">2500*3</f>
        <v>7500</v>
      </c>
      <c r="K32" s="187">
        <f t="shared" si="12"/>
        <v>7500</v>
      </c>
      <c r="L32" s="187">
        <f t="shared" si="12"/>
        <v>7500</v>
      </c>
      <c r="M32" s="187">
        <f t="shared" si="12"/>
        <v>7500</v>
      </c>
      <c r="N32" s="187">
        <f t="shared" si="12"/>
        <v>7500</v>
      </c>
      <c r="O32" s="187">
        <f t="shared" si="12"/>
        <v>7500</v>
      </c>
      <c r="P32" s="187">
        <f t="shared" si="12"/>
        <v>7500</v>
      </c>
      <c r="Q32" s="187">
        <f t="shared" si="12"/>
        <v>7500</v>
      </c>
      <c r="R32" s="187">
        <f t="shared" si="12"/>
        <v>7500</v>
      </c>
      <c r="S32" s="187">
        <f t="shared" si="12"/>
        <v>7500</v>
      </c>
      <c r="T32" s="187">
        <f>2500*3*2</f>
        <v>15000</v>
      </c>
    </row>
    <row r="33" spans="2:20" s="188" customFormat="1" ht="13.5" customHeight="1" x14ac:dyDescent="0.3">
      <c r="B33" s="178"/>
      <c r="C33" s="184"/>
      <c r="D33" s="190" t="s">
        <v>0</v>
      </c>
      <c r="E33" s="184"/>
      <c r="F33" s="186"/>
      <c r="G33" s="43">
        <f>'PEP-Budget par produit'!Q20</f>
        <v>300000</v>
      </c>
      <c r="H33" s="43">
        <f t="shared" si="11"/>
        <v>15000</v>
      </c>
      <c r="I33" s="43"/>
      <c r="J33" s="184"/>
      <c r="K33" s="184"/>
      <c r="L33" s="184"/>
      <c r="M33" s="187">
        <v>15000</v>
      </c>
      <c r="N33" s="184"/>
      <c r="O33" s="184"/>
      <c r="P33" s="184"/>
      <c r="Q33" s="184"/>
      <c r="R33" s="184"/>
      <c r="S33" s="184"/>
      <c r="T33" s="184"/>
    </row>
    <row r="34" spans="2:20" s="188" customFormat="1" ht="13.5" customHeight="1" x14ac:dyDescent="0.3">
      <c r="B34" s="178"/>
      <c r="C34" s="184"/>
      <c r="D34" s="190" t="s">
        <v>15</v>
      </c>
      <c r="E34" s="184"/>
      <c r="F34" s="186"/>
      <c r="G34" s="187">
        <f>'PEP-Budget par produit'!Q21</f>
        <v>540000</v>
      </c>
      <c r="H34" s="187">
        <f t="shared" si="11"/>
        <v>108000</v>
      </c>
      <c r="I34" s="187">
        <v>9000</v>
      </c>
      <c r="J34" s="187">
        <v>9000</v>
      </c>
      <c r="K34" s="187">
        <v>9000</v>
      </c>
      <c r="L34" s="187">
        <v>9000</v>
      </c>
      <c r="M34" s="187">
        <v>9000</v>
      </c>
      <c r="N34" s="187">
        <v>9000</v>
      </c>
      <c r="O34" s="187">
        <v>9000</v>
      </c>
      <c r="P34" s="187">
        <v>9000</v>
      </c>
      <c r="Q34" s="187">
        <v>9000</v>
      </c>
      <c r="R34" s="187">
        <v>9000</v>
      </c>
      <c r="S34" s="187">
        <v>9000</v>
      </c>
      <c r="T34" s="187">
        <v>9000</v>
      </c>
    </row>
    <row r="35" spans="2:20" s="188" customFormat="1" ht="13.5" customHeight="1" x14ac:dyDescent="0.3">
      <c r="B35" s="178"/>
      <c r="C35" s="184"/>
      <c r="D35" s="190" t="s">
        <v>358</v>
      </c>
      <c r="E35" s="184"/>
      <c r="F35" s="186"/>
      <c r="G35" s="43">
        <f>'PEP-Budget par produit'!Q22</f>
        <v>150000</v>
      </c>
      <c r="H35" s="43">
        <f t="shared" si="11"/>
        <v>15000</v>
      </c>
      <c r="I35" s="43"/>
      <c r="J35" s="184"/>
      <c r="K35" s="184"/>
      <c r="L35" s="184"/>
      <c r="M35" s="184"/>
      <c r="N35" s="184"/>
      <c r="O35" s="187">
        <v>15000</v>
      </c>
      <c r="P35" s="184"/>
      <c r="Q35" s="184"/>
      <c r="R35" s="184"/>
      <c r="S35" s="184"/>
      <c r="T35" s="184"/>
    </row>
    <row r="36" spans="2:20" s="188" customFormat="1" ht="13.5" customHeight="1" x14ac:dyDescent="0.3">
      <c r="B36" s="178"/>
      <c r="C36" s="184"/>
      <c r="D36" s="190" t="s">
        <v>359</v>
      </c>
      <c r="E36" s="184"/>
      <c r="F36" s="186"/>
      <c r="G36" s="187">
        <f>'PEP-Budget par produit'!Q23</f>
        <v>150000</v>
      </c>
      <c r="H36" s="187">
        <f t="shared" si="11"/>
        <v>30000</v>
      </c>
      <c r="I36" s="187">
        <f>30000/12</f>
        <v>2500</v>
      </c>
      <c r="J36" s="187">
        <f t="shared" ref="J36:T36" si="13">30000/12</f>
        <v>2500</v>
      </c>
      <c r="K36" s="187">
        <f t="shared" si="13"/>
        <v>2500</v>
      </c>
      <c r="L36" s="187">
        <f t="shared" si="13"/>
        <v>2500</v>
      </c>
      <c r="M36" s="187">
        <f t="shared" si="13"/>
        <v>2500</v>
      </c>
      <c r="N36" s="187">
        <f t="shared" si="13"/>
        <v>2500</v>
      </c>
      <c r="O36" s="187">
        <f t="shared" si="13"/>
        <v>2500</v>
      </c>
      <c r="P36" s="187">
        <f t="shared" si="13"/>
        <v>2500</v>
      </c>
      <c r="Q36" s="187">
        <f t="shared" si="13"/>
        <v>2500</v>
      </c>
      <c r="R36" s="187">
        <f t="shared" si="13"/>
        <v>2500</v>
      </c>
      <c r="S36" s="187">
        <f t="shared" si="13"/>
        <v>2500</v>
      </c>
      <c r="T36" s="187">
        <f t="shared" si="13"/>
        <v>2500</v>
      </c>
    </row>
    <row r="37" spans="2:20" s="188" customFormat="1" ht="13.5" customHeight="1" x14ac:dyDescent="0.3">
      <c r="B37" s="178"/>
      <c r="C37" s="184"/>
      <c r="D37" s="190" t="s">
        <v>538</v>
      </c>
      <c r="E37" s="184"/>
      <c r="F37" s="186"/>
      <c r="G37" s="43">
        <f>'PEP-Budget par produit'!Q24</f>
        <v>79500</v>
      </c>
      <c r="H37" s="43">
        <f t="shared" si="11"/>
        <v>79500</v>
      </c>
      <c r="I37" s="43"/>
      <c r="J37" s="184"/>
      <c r="K37" s="184"/>
      <c r="L37" s="187"/>
      <c r="M37" s="187"/>
      <c r="N37" s="187"/>
      <c r="O37" s="187">
        <v>79500</v>
      </c>
      <c r="P37" s="184"/>
      <c r="Q37" s="184"/>
      <c r="R37" s="184"/>
      <c r="S37" s="184"/>
      <c r="T37" s="184"/>
    </row>
    <row r="38" spans="2:20" s="188" customFormat="1" ht="13.5" customHeight="1" x14ac:dyDescent="0.3">
      <c r="B38" s="178"/>
      <c r="C38" s="184"/>
      <c r="D38" s="190" t="s">
        <v>539</v>
      </c>
      <c r="E38" s="184"/>
      <c r="F38" s="186"/>
      <c r="G38" s="43">
        <f>'PEP-Budget par produit'!Q25</f>
        <v>140000</v>
      </c>
      <c r="H38" s="43">
        <f>SUM(I38:N38)</f>
        <v>140000</v>
      </c>
      <c r="I38" s="43"/>
      <c r="J38" s="184"/>
      <c r="K38" s="187"/>
      <c r="L38" s="187"/>
      <c r="M38" s="187"/>
      <c r="N38" s="187">
        <v>140000</v>
      </c>
      <c r="O38" s="184"/>
      <c r="P38" s="184"/>
      <c r="Q38" s="184"/>
      <c r="R38" s="184"/>
      <c r="S38" s="184"/>
      <c r="T38" s="184"/>
    </row>
    <row r="39" spans="2:20" s="170" customFormat="1" x14ac:dyDescent="0.3">
      <c r="B39" s="155" t="str">
        <f>[1]POA!B5</f>
        <v>Composante 2</v>
      </c>
      <c r="C39" s="171"/>
      <c r="D39" s="171"/>
      <c r="E39" s="171"/>
      <c r="F39" s="171"/>
      <c r="G39" s="171">
        <f>+G41+G83</f>
        <v>55909305</v>
      </c>
      <c r="H39" s="171">
        <f>SUM(I39:T39)</f>
        <v>3029500</v>
      </c>
      <c r="I39" s="171">
        <f t="shared" ref="I39:P39" si="14">+I41+I83</f>
        <v>22625</v>
      </c>
      <c r="J39" s="171">
        <f t="shared" si="14"/>
        <v>22625</v>
      </c>
      <c r="K39" s="171">
        <f t="shared" si="14"/>
        <v>72625</v>
      </c>
      <c r="L39" s="171">
        <f t="shared" si="14"/>
        <v>22625</v>
      </c>
      <c r="M39" s="171">
        <f t="shared" si="14"/>
        <v>22625</v>
      </c>
      <c r="N39" s="171">
        <f t="shared" si="14"/>
        <v>22625</v>
      </c>
      <c r="O39" s="171">
        <f t="shared" si="14"/>
        <v>22625</v>
      </c>
      <c r="P39" s="171">
        <f t="shared" si="14"/>
        <v>57625</v>
      </c>
      <c r="Q39" s="171">
        <f>+Q41+Q83</f>
        <v>130107.5</v>
      </c>
      <c r="R39" s="171">
        <f t="shared" ref="R39:S39" si="15">+R41+R83</f>
        <v>253625</v>
      </c>
      <c r="S39" s="171">
        <f t="shared" si="15"/>
        <v>22625</v>
      </c>
      <c r="T39" s="171">
        <f>+T41+T83</f>
        <v>2357142.5</v>
      </c>
    </row>
    <row r="40" spans="2:20" x14ac:dyDescent="0.3">
      <c r="B40" s="178" t="s">
        <v>528</v>
      </c>
      <c r="C40" s="181">
        <v>8</v>
      </c>
      <c r="D40" s="211" t="str">
        <f>'PEP-Budget par produit'!B27</f>
        <v>Produit 4: Agriculteurs ayant recu des incitations agricoles</v>
      </c>
      <c r="E40" s="211"/>
      <c r="F40" s="191" t="s">
        <v>340</v>
      </c>
      <c r="G40" s="180">
        <f>'PEP-Budget par produit'!J27</f>
        <v>65048</v>
      </c>
      <c r="H40" s="180">
        <f>SUM(I40:N40)</f>
        <v>0</v>
      </c>
      <c r="I40" s="180"/>
      <c r="J40" s="180"/>
      <c r="K40" s="180"/>
      <c r="L40" s="181"/>
      <c r="M40" s="181"/>
      <c r="N40" s="181"/>
      <c r="O40" s="181"/>
      <c r="P40" s="181"/>
      <c r="Q40" s="181"/>
      <c r="R40" s="181"/>
      <c r="S40" s="181"/>
      <c r="T40" s="181">
        <f>'PEP-Budget par produit'!E27</f>
        <v>3252.4</v>
      </c>
    </row>
    <row r="41" spans="2:20" x14ac:dyDescent="0.3">
      <c r="B41" s="178" t="s">
        <v>529</v>
      </c>
      <c r="C41" s="181">
        <v>8</v>
      </c>
      <c r="D41" s="211" t="str">
        <f>D40</f>
        <v>Produit 4: Agriculteurs ayant recu des incitations agricoles</v>
      </c>
      <c r="E41" s="211"/>
      <c r="F41" s="191" t="s">
        <v>524</v>
      </c>
      <c r="G41" s="181">
        <f>'PEP-Budget par produit'!P27</f>
        <v>49909305</v>
      </c>
      <c r="H41" s="181">
        <f>SUM(I41:T41)</f>
        <v>2804500</v>
      </c>
      <c r="I41" s="181">
        <f t="shared" ref="I41:J41" si="16">SUM(I42:I81)</f>
        <v>22625</v>
      </c>
      <c r="J41" s="181">
        <f t="shared" si="16"/>
        <v>22625</v>
      </c>
      <c r="K41" s="181">
        <f>SUM(K42:K81)</f>
        <v>72625</v>
      </c>
      <c r="L41" s="181">
        <f t="shared" ref="L41:P41" si="17">SUM(L42:L81)</f>
        <v>22625</v>
      </c>
      <c r="M41" s="181">
        <f t="shared" si="17"/>
        <v>22625</v>
      </c>
      <c r="N41" s="181">
        <f t="shared" si="17"/>
        <v>22625</v>
      </c>
      <c r="O41" s="181">
        <f t="shared" si="17"/>
        <v>22625</v>
      </c>
      <c r="P41" s="181">
        <f t="shared" si="17"/>
        <v>57625</v>
      </c>
      <c r="Q41" s="181">
        <f t="shared" ref="Q41" si="18">SUM(Q42:Q81)</f>
        <v>130107.5</v>
      </c>
      <c r="R41" s="181">
        <f t="shared" ref="R41" si="19">SUM(R42:R81)</f>
        <v>28625</v>
      </c>
      <c r="S41" s="181">
        <f t="shared" ref="S41" si="20">SUM(S42:S81)</f>
        <v>22625</v>
      </c>
      <c r="T41" s="181">
        <f>SUM(T42:T81)</f>
        <v>2357142.5</v>
      </c>
    </row>
    <row r="42" spans="2:20" s="188" customFormat="1" ht="14.4" x14ac:dyDescent="0.3">
      <c r="B42" s="178"/>
      <c r="C42" s="184"/>
      <c r="D42" s="190" t="s">
        <v>1</v>
      </c>
      <c r="E42" s="184"/>
      <c r="F42" s="186" t="str">
        <f>'PEP-Budget par produit'!C28</f>
        <v>Incitation</v>
      </c>
      <c r="G42" s="187"/>
      <c r="H42" s="187">
        <f>SUM(I42:N42)</f>
        <v>0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>
        <v>2030017.5</v>
      </c>
    </row>
    <row r="43" spans="2:20" s="188" customFormat="1" ht="14.4" x14ac:dyDescent="0.3">
      <c r="B43" s="178"/>
      <c r="C43" s="184"/>
      <c r="D43" s="190" t="s">
        <v>398</v>
      </c>
      <c r="E43" s="184"/>
      <c r="F43" s="186" t="str">
        <f>'PEP-Budget par produit'!C29</f>
        <v>Contrat</v>
      </c>
      <c r="G43" s="184"/>
      <c r="H43" s="184">
        <f t="shared" ref="H43:H77" si="21">SUM(I43:N43)</f>
        <v>0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</row>
    <row r="44" spans="2:20" s="188" customFormat="1" x14ac:dyDescent="0.3">
      <c r="B44" s="178"/>
      <c r="C44" s="184"/>
      <c r="D44" s="192" t="s">
        <v>561</v>
      </c>
      <c r="E44" s="184"/>
      <c r="F44" s="186"/>
      <c r="G44" s="187"/>
      <c r="H44" s="187">
        <f t="shared" si="21"/>
        <v>0</v>
      </c>
      <c r="I44" s="187"/>
      <c r="J44" s="187"/>
      <c r="K44" s="184"/>
      <c r="L44" s="184"/>
      <c r="M44" s="184"/>
      <c r="N44" s="184"/>
      <c r="O44" s="184"/>
      <c r="P44" s="184"/>
      <c r="Q44" s="184"/>
      <c r="R44" s="184"/>
      <c r="S44" s="184"/>
      <c r="T44" s="184"/>
    </row>
    <row r="45" spans="2:20" s="188" customFormat="1" x14ac:dyDescent="0.3">
      <c r="B45" s="178"/>
      <c r="C45" s="184"/>
      <c r="D45" s="193" t="s">
        <v>563</v>
      </c>
      <c r="E45" s="184"/>
      <c r="F45" s="186"/>
      <c r="G45" s="184"/>
      <c r="H45" s="184">
        <f t="shared" si="21"/>
        <v>0</v>
      </c>
      <c r="I45" s="184"/>
      <c r="J45" s="184"/>
      <c r="K45" s="187"/>
      <c r="L45" s="187"/>
      <c r="M45" s="187"/>
      <c r="N45" s="187"/>
      <c r="O45" s="187"/>
      <c r="P45" s="184"/>
      <c r="Q45" s="184"/>
      <c r="R45" s="184"/>
      <c r="S45" s="184"/>
      <c r="T45" s="184"/>
    </row>
    <row r="46" spans="2:20" s="188" customFormat="1" x14ac:dyDescent="0.3">
      <c r="B46" s="178"/>
      <c r="C46" s="184"/>
      <c r="D46" s="193" t="s">
        <v>562</v>
      </c>
      <c r="E46" s="184"/>
      <c r="F46" s="186"/>
      <c r="G46" s="184"/>
      <c r="H46" s="184">
        <f t="shared" si="21"/>
        <v>0</v>
      </c>
      <c r="I46" s="184"/>
      <c r="J46" s="184"/>
      <c r="K46" s="184"/>
      <c r="L46" s="184"/>
      <c r="M46" s="184"/>
      <c r="N46" s="184"/>
      <c r="O46" s="184"/>
      <c r="P46" s="187"/>
      <c r="Q46" s="187"/>
      <c r="R46" s="187"/>
      <c r="S46" s="187"/>
      <c r="T46" s="187">
        <v>262500</v>
      </c>
    </row>
    <row r="47" spans="2:20" s="188" customFormat="1" ht="14.4" x14ac:dyDescent="0.3">
      <c r="B47" s="178"/>
      <c r="C47" s="184"/>
      <c r="D47" s="190" t="s">
        <v>348</v>
      </c>
      <c r="E47" s="184"/>
      <c r="F47" s="186" t="str">
        <f>'PEP-Budget par produit'!C30</f>
        <v>Contrat</v>
      </c>
      <c r="G47" s="184"/>
      <c r="H47" s="184">
        <f t="shared" si="21"/>
        <v>0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</row>
    <row r="48" spans="2:20" s="188" customFormat="1" x14ac:dyDescent="0.3">
      <c r="B48" s="178"/>
      <c r="C48" s="184"/>
      <c r="D48" s="193" t="s">
        <v>563</v>
      </c>
      <c r="E48" s="184"/>
      <c r="F48" s="186"/>
      <c r="G48" s="184"/>
      <c r="H48" s="184">
        <f t="shared" si="21"/>
        <v>0</v>
      </c>
      <c r="I48" s="184"/>
      <c r="J48" s="184"/>
      <c r="K48" s="187"/>
      <c r="L48" s="187"/>
      <c r="M48" s="187"/>
      <c r="N48" s="187"/>
      <c r="O48" s="187"/>
      <c r="P48" s="184"/>
      <c r="Q48" s="184"/>
      <c r="R48" s="184"/>
      <c r="S48" s="184"/>
      <c r="T48" s="184"/>
    </row>
    <row r="49" spans="2:20" s="188" customFormat="1" x14ac:dyDescent="0.3">
      <c r="B49" s="178"/>
      <c r="C49" s="184"/>
      <c r="D49" s="193" t="s">
        <v>562</v>
      </c>
      <c r="E49" s="184"/>
      <c r="F49" s="186"/>
      <c r="G49" s="184"/>
      <c r="H49" s="184">
        <f t="shared" si="21"/>
        <v>0</v>
      </c>
      <c r="I49" s="184"/>
      <c r="J49" s="184"/>
      <c r="K49" s="184"/>
      <c r="L49" s="184"/>
      <c r="M49" s="184"/>
      <c r="N49" s="184"/>
      <c r="O49" s="184"/>
      <c r="P49" s="187"/>
      <c r="Q49" s="187"/>
      <c r="R49" s="187"/>
      <c r="S49" s="187"/>
      <c r="T49" s="187"/>
    </row>
    <row r="50" spans="2:20" s="188" customFormat="1" ht="14.4" x14ac:dyDescent="0.3">
      <c r="B50" s="178"/>
      <c r="C50" s="184"/>
      <c r="D50" s="190" t="s">
        <v>349</v>
      </c>
      <c r="E50" s="184"/>
      <c r="F50" s="186" t="str">
        <f>'PEP-Budget par produit'!C31</f>
        <v>Contrat</v>
      </c>
      <c r="G50" s="184"/>
      <c r="H50" s="184">
        <f t="shared" si="21"/>
        <v>50000</v>
      </c>
      <c r="I50" s="184"/>
      <c r="J50" s="184"/>
      <c r="K50" s="187">
        <v>50000</v>
      </c>
      <c r="L50" s="187"/>
      <c r="M50" s="187"/>
      <c r="N50" s="187"/>
      <c r="O50" s="187"/>
      <c r="P50" s="187"/>
      <c r="Q50" s="187"/>
      <c r="R50" s="187"/>
      <c r="S50" s="187"/>
      <c r="T50" s="187"/>
    </row>
    <row r="51" spans="2:20" s="188" customFormat="1" ht="14.4" x14ac:dyDescent="0.3">
      <c r="B51" s="178"/>
      <c r="C51" s="184"/>
      <c r="D51" s="190" t="s">
        <v>350</v>
      </c>
      <c r="E51" s="184"/>
      <c r="F51" s="186" t="str">
        <f>'PEP-Budget par produit'!C32</f>
        <v>Contrat</v>
      </c>
      <c r="G51" s="184"/>
      <c r="H51" s="184">
        <f t="shared" si="21"/>
        <v>0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</row>
    <row r="52" spans="2:20" s="188" customFormat="1" x14ac:dyDescent="0.3">
      <c r="B52" s="178"/>
      <c r="C52" s="184"/>
      <c r="D52" s="192" t="s">
        <v>561</v>
      </c>
      <c r="E52" s="184"/>
      <c r="F52" s="186"/>
      <c r="G52" s="187"/>
      <c r="H52" s="187">
        <f t="shared" si="21"/>
        <v>0</v>
      </c>
      <c r="I52" s="187"/>
      <c r="J52" s="187"/>
      <c r="K52" s="184"/>
      <c r="L52" s="184"/>
      <c r="M52" s="184"/>
      <c r="N52" s="184"/>
      <c r="O52" s="184"/>
      <c r="P52" s="184"/>
      <c r="Q52" s="184"/>
      <c r="R52" s="184"/>
      <c r="S52" s="184"/>
      <c r="T52" s="184"/>
    </row>
    <row r="53" spans="2:20" s="188" customFormat="1" x14ac:dyDescent="0.3">
      <c r="B53" s="178"/>
      <c r="C53" s="184"/>
      <c r="D53" s="193" t="s">
        <v>563</v>
      </c>
      <c r="E53" s="184"/>
      <c r="F53" s="186"/>
      <c r="G53" s="184"/>
      <c r="H53" s="184">
        <f t="shared" si="21"/>
        <v>0</v>
      </c>
      <c r="I53" s="184"/>
      <c r="J53" s="184"/>
      <c r="K53" s="187"/>
      <c r="L53" s="187"/>
      <c r="M53" s="187"/>
      <c r="N53" s="187"/>
      <c r="O53" s="187"/>
      <c r="P53" s="184"/>
      <c r="Q53" s="184"/>
      <c r="R53" s="184"/>
      <c r="S53" s="184"/>
      <c r="T53" s="184"/>
    </row>
    <row r="54" spans="2:20" s="188" customFormat="1" x14ac:dyDescent="0.3">
      <c r="B54" s="178"/>
      <c r="C54" s="184"/>
      <c r="D54" s="193" t="s">
        <v>562</v>
      </c>
      <c r="E54" s="184"/>
      <c r="F54" s="186"/>
      <c r="G54" s="184"/>
      <c r="H54" s="184">
        <f t="shared" si="21"/>
        <v>0</v>
      </c>
      <c r="I54" s="184"/>
      <c r="J54" s="184"/>
      <c r="K54" s="184"/>
      <c r="L54" s="184"/>
      <c r="M54" s="184"/>
      <c r="N54" s="184"/>
      <c r="O54" s="184"/>
      <c r="P54" s="187"/>
      <c r="Q54" s="187"/>
      <c r="R54" s="187"/>
      <c r="S54" s="187"/>
      <c r="T54" s="187">
        <v>20000</v>
      </c>
    </row>
    <row r="55" spans="2:20" s="188" customFormat="1" ht="14.4" x14ac:dyDescent="0.3">
      <c r="B55" s="178"/>
      <c r="C55" s="184"/>
      <c r="D55" s="190" t="s">
        <v>364</v>
      </c>
      <c r="E55" s="184"/>
      <c r="F55" s="186" t="str">
        <f>'PEP-Budget par produit'!C33</f>
        <v>Contrat</v>
      </c>
      <c r="G55" s="187"/>
      <c r="H55" s="187">
        <f t="shared" si="21"/>
        <v>0</v>
      </c>
      <c r="I55" s="187"/>
      <c r="J55" s="187"/>
      <c r="K55" s="184"/>
      <c r="L55" s="184"/>
      <c r="M55" s="184"/>
      <c r="N55" s="184"/>
      <c r="O55" s="184"/>
      <c r="P55" s="184"/>
      <c r="Q55" s="184"/>
      <c r="R55" s="184"/>
      <c r="S55" s="184"/>
      <c r="T55" s="184"/>
    </row>
    <row r="56" spans="2:20" s="188" customFormat="1" x14ac:dyDescent="0.3">
      <c r="B56" s="178"/>
      <c r="C56" s="184"/>
      <c r="D56" s="192" t="s">
        <v>561</v>
      </c>
      <c r="E56" s="184"/>
      <c r="F56" s="186"/>
      <c r="G56" s="184"/>
      <c r="H56" s="184">
        <f t="shared" si="21"/>
        <v>0</v>
      </c>
      <c r="I56" s="184"/>
      <c r="J56" s="184"/>
      <c r="K56" s="187"/>
      <c r="L56" s="187"/>
      <c r="M56" s="187"/>
      <c r="N56" s="187"/>
      <c r="O56" s="187"/>
      <c r="P56" s="184"/>
      <c r="Q56" s="184"/>
      <c r="R56" s="184"/>
      <c r="S56" s="184"/>
      <c r="T56" s="184"/>
    </row>
    <row r="57" spans="2:20" s="188" customFormat="1" x14ac:dyDescent="0.3">
      <c r="B57" s="178"/>
      <c r="C57" s="184"/>
      <c r="D57" s="193" t="s">
        <v>563</v>
      </c>
      <c r="E57" s="184"/>
      <c r="F57" s="186"/>
      <c r="G57" s="184"/>
      <c r="H57" s="184">
        <f t="shared" si="21"/>
        <v>0</v>
      </c>
      <c r="I57" s="184"/>
      <c r="J57" s="184"/>
      <c r="K57" s="184"/>
      <c r="L57" s="184"/>
      <c r="M57" s="184"/>
      <c r="N57" s="184"/>
      <c r="O57" s="184"/>
      <c r="P57" s="187">
        <v>10000</v>
      </c>
      <c r="Q57" s="187"/>
      <c r="R57" s="187"/>
      <c r="S57" s="187"/>
      <c r="T57" s="187"/>
    </row>
    <row r="58" spans="2:20" s="188" customFormat="1" x14ac:dyDescent="0.3">
      <c r="B58" s="178"/>
      <c r="C58" s="184"/>
      <c r="D58" s="193" t="s">
        <v>562</v>
      </c>
      <c r="E58" s="184"/>
      <c r="F58" s="186"/>
      <c r="G58" s="184"/>
      <c r="H58" s="184">
        <f t="shared" si="21"/>
        <v>0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</row>
    <row r="59" spans="2:20" s="188" customFormat="1" ht="14.4" x14ac:dyDescent="0.3">
      <c r="B59" s="178"/>
      <c r="C59" s="184"/>
      <c r="D59" s="190" t="s">
        <v>351</v>
      </c>
      <c r="E59" s="184"/>
      <c r="F59" s="186" t="str">
        <f>'PEP-Budget par produit'!C34</f>
        <v>homme/mois</v>
      </c>
      <c r="G59" s="187"/>
      <c r="H59" s="187">
        <f t="shared" si="21"/>
        <v>120000</v>
      </c>
      <c r="I59" s="187">
        <f>2500*8</f>
        <v>20000</v>
      </c>
      <c r="J59" s="187">
        <f t="shared" ref="J59:S59" si="22">2500*8</f>
        <v>20000</v>
      </c>
      <c r="K59" s="187">
        <f t="shared" si="22"/>
        <v>20000</v>
      </c>
      <c r="L59" s="187">
        <f t="shared" si="22"/>
        <v>20000</v>
      </c>
      <c r="M59" s="187">
        <f t="shared" si="22"/>
        <v>20000</v>
      </c>
      <c r="N59" s="187">
        <f t="shared" si="22"/>
        <v>20000</v>
      </c>
      <c r="O59" s="187">
        <f t="shared" si="22"/>
        <v>20000</v>
      </c>
      <c r="P59" s="187">
        <f t="shared" si="22"/>
        <v>20000</v>
      </c>
      <c r="Q59" s="187">
        <f t="shared" si="22"/>
        <v>20000</v>
      </c>
      <c r="R59" s="187">
        <f t="shared" si="22"/>
        <v>20000</v>
      </c>
      <c r="S59" s="187">
        <f t="shared" si="22"/>
        <v>20000</v>
      </c>
      <c r="T59" s="187">
        <f>2500*8*2</f>
        <v>40000</v>
      </c>
    </row>
    <row r="60" spans="2:20" s="188" customFormat="1" ht="14.4" x14ac:dyDescent="0.3">
      <c r="B60" s="178"/>
      <c r="C60" s="184"/>
      <c r="D60" s="190" t="s">
        <v>359</v>
      </c>
      <c r="E60" s="184"/>
      <c r="F60" s="186" t="str">
        <f>'PEP-Budget par produit'!C35</f>
        <v>forfait</v>
      </c>
      <c r="G60" s="187"/>
      <c r="H60" s="187">
        <f t="shared" si="21"/>
        <v>3750</v>
      </c>
      <c r="I60" s="187">
        <f>7500/12</f>
        <v>625</v>
      </c>
      <c r="J60" s="187">
        <f t="shared" ref="J60:T60" si="23">7500/12</f>
        <v>625</v>
      </c>
      <c r="K60" s="187">
        <f t="shared" si="23"/>
        <v>625</v>
      </c>
      <c r="L60" s="187">
        <f t="shared" si="23"/>
        <v>625</v>
      </c>
      <c r="M60" s="187">
        <f t="shared" si="23"/>
        <v>625</v>
      </c>
      <c r="N60" s="187">
        <f t="shared" si="23"/>
        <v>625</v>
      </c>
      <c r="O60" s="187">
        <f t="shared" si="23"/>
        <v>625</v>
      </c>
      <c r="P60" s="187">
        <f t="shared" si="23"/>
        <v>625</v>
      </c>
      <c r="Q60" s="187">
        <f t="shared" si="23"/>
        <v>625</v>
      </c>
      <c r="R60" s="187">
        <f t="shared" si="23"/>
        <v>625</v>
      </c>
      <c r="S60" s="187">
        <f t="shared" si="23"/>
        <v>625</v>
      </c>
      <c r="T60" s="187">
        <f t="shared" si="23"/>
        <v>625</v>
      </c>
    </row>
    <row r="61" spans="2:20" s="188" customFormat="1" ht="14.4" x14ac:dyDescent="0.3">
      <c r="B61" s="178"/>
      <c r="C61" s="184"/>
      <c r="D61" s="190" t="s">
        <v>360</v>
      </c>
      <c r="E61" s="184"/>
      <c r="F61" s="186">
        <f>'PEP-Budget par produit'!C36</f>
        <v>0</v>
      </c>
      <c r="G61" s="184"/>
      <c r="H61" s="184">
        <f t="shared" si="21"/>
        <v>0</v>
      </c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</row>
    <row r="62" spans="2:20" s="188" customFormat="1" ht="14.4" x14ac:dyDescent="0.3">
      <c r="B62" s="178"/>
      <c r="C62" s="184"/>
      <c r="D62" s="202" t="s">
        <v>394</v>
      </c>
      <c r="E62" s="184"/>
      <c r="F62" s="186" t="str">
        <f>'PEP-Budget par produit'!C37</f>
        <v>Etude</v>
      </c>
      <c r="G62" s="184"/>
      <c r="H62" s="184">
        <f t="shared" si="21"/>
        <v>0</v>
      </c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</row>
    <row r="63" spans="2:20" s="188" customFormat="1" x14ac:dyDescent="0.3">
      <c r="B63" s="178"/>
      <c r="C63" s="184"/>
      <c r="D63" s="192" t="s">
        <v>559</v>
      </c>
      <c r="E63" s="184"/>
      <c r="F63" s="186"/>
      <c r="G63" s="187"/>
      <c r="H63" s="187">
        <f t="shared" si="21"/>
        <v>0</v>
      </c>
      <c r="I63" s="187"/>
      <c r="J63" s="187"/>
      <c r="K63" s="184"/>
      <c r="L63" s="184"/>
      <c r="M63" s="184"/>
      <c r="N63" s="184"/>
      <c r="O63" s="184"/>
      <c r="P63" s="184"/>
      <c r="Q63" s="184"/>
      <c r="R63" s="184"/>
      <c r="S63" s="184"/>
      <c r="T63" s="184"/>
    </row>
    <row r="64" spans="2:20" s="188" customFormat="1" x14ac:dyDescent="0.3">
      <c r="B64" s="178"/>
      <c r="C64" s="184"/>
      <c r="D64" s="193" t="s">
        <v>560</v>
      </c>
      <c r="E64" s="184"/>
      <c r="F64" s="186"/>
      <c r="G64" s="184"/>
      <c r="H64" s="184">
        <f t="shared" si="21"/>
        <v>0</v>
      </c>
      <c r="I64" s="184"/>
      <c r="J64" s="184"/>
      <c r="K64" s="187"/>
      <c r="L64" s="187"/>
      <c r="M64" s="187"/>
      <c r="N64" s="187"/>
      <c r="O64" s="187"/>
      <c r="P64" s="184"/>
      <c r="Q64" s="184"/>
      <c r="R64" s="184"/>
      <c r="S64" s="184"/>
      <c r="T64" s="184"/>
    </row>
    <row r="65" spans="2:20" s="188" customFormat="1" x14ac:dyDescent="0.3">
      <c r="B65" s="178"/>
      <c r="C65" s="184"/>
      <c r="D65" s="193" t="s">
        <v>564</v>
      </c>
      <c r="E65" s="184"/>
      <c r="F65" s="186"/>
      <c r="G65" s="184"/>
      <c r="H65" s="184">
        <f t="shared" si="21"/>
        <v>0</v>
      </c>
      <c r="I65" s="184"/>
      <c r="J65" s="184"/>
      <c r="K65" s="184"/>
      <c r="L65" s="184"/>
      <c r="M65" s="184"/>
      <c r="N65" s="184"/>
      <c r="O65" s="184"/>
      <c r="P65" s="187"/>
      <c r="Q65" s="187">
        <v>50000</v>
      </c>
      <c r="R65" s="187"/>
      <c r="S65" s="187"/>
      <c r="T65" s="187"/>
    </row>
    <row r="66" spans="2:20" s="188" customFormat="1" ht="15" customHeight="1" x14ac:dyDescent="0.3">
      <c r="B66" s="178"/>
      <c r="C66" s="184"/>
      <c r="D66" s="202" t="s">
        <v>361</v>
      </c>
      <c r="E66" s="184"/>
      <c r="F66" s="186" t="str">
        <f>'PEP-Budget par produit'!C38</f>
        <v>homme/mois</v>
      </c>
      <c r="G66" s="187"/>
      <c r="H66" s="187">
        <f t="shared" si="21"/>
        <v>12000</v>
      </c>
      <c r="I66" s="187">
        <f>2000</f>
        <v>2000</v>
      </c>
      <c r="J66" s="187">
        <f>2000</f>
        <v>2000</v>
      </c>
      <c r="K66" s="187">
        <f>2000</f>
        <v>2000</v>
      </c>
      <c r="L66" s="187">
        <f>2000</f>
        <v>2000</v>
      </c>
      <c r="M66" s="187">
        <f>2000</f>
        <v>2000</v>
      </c>
      <c r="N66" s="187">
        <f>2000</f>
        <v>2000</v>
      </c>
      <c r="O66" s="187">
        <f>2000</f>
        <v>2000</v>
      </c>
      <c r="P66" s="187">
        <f>2000</f>
        <v>2000</v>
      </c>
      <c r="Q66" s="187">
        <f>2000</f>
        <v>2000</v>
      </c>
      <c r="R66" s="187">
        <f>2000</f>
        <v>2000</v>
      </c>
      <c r="S66" s="187">
        <f>2000</f>
        <v>2000</v>
      </c>
      <c r="T66" s="187">
        <f>2000*2</f>
        <v>4000</v>
      </c>
    </row>
    <row r="67" spans="2:20" s="188" customFormat="1" ht="15" customHeight="1" x14ac:dyDescent="0.3">
      <c r="B67" s="178"/>
      <c r="C67" s="184"/>
      <c r="D67" s="202" t="s">
        <v>362</v>
      </c>
      <c r="E67" s="184"/>
      <c r="F67" s="186" t="str">
        <f>'PEP-Budget par produit'!C39</f>
        <v>Contrat</v>
      </c>
      <c r="G67" s="184"/>
      <c r="H67" s="184">
        <f t="shared" si="21"/>
        <v>0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</row>
    <row r="68" spans="2:20" s="188" customFormat="1" x14ac:dyDescent="0.3">
      <c r="B68" s="178"/>
      <c r="C68" s="184"/>
      <c r="D68" s="193" t="s">
        <v>563</v>
      </c>
      <c r="E68" s="184"/>
      <c r="F68" s="186"/>
      <c r="G68" s="184"/>
      <c r="H68" s="184">
        <f>SUM(I68:L68)</f>
        <v>0</v>
      </c>
      <c r="I68" s="184"/>
      <c r="J68" s="184"/>
      <c r="K68" s="184"/>
      <c r="L68" s="184"/>
      <c r="M68" s="187"/>
      <c r="N68" s="187"/>
      <c r="O68" s="187"/>
      <c r="P68" s="187"/>
      <c r="Q68" s="187"/>
      <c r="R68" s="184"/>
      <c r="S68" s="184"/>
      <c r="T68" s="184"/>
    </row>
    <row r="69" spans="2:20" s="188" customFormat="1" x14ac:dyDescent="0.3">
      <c r="B69" s="178"/>
      <c r="C69" s="184"/>
      <c r="D69" s="193" t="s">
        <v>575</v>
      </c>
      <c r="E69" s="184"/>
      <c r="F69" s="186"/>
      <c r="G69" s="184"/>
      <c r="H69" s="184">
        <f t="shared" si="21"/>
        <v>0</v>
      </c>
      <c r="I69" s="184"/>
      <c r="J69" s="184"/>
      <c r="K69" s="184"/>
      <c r="L69" s="184"/>
      <c r="M69" s="184"/>
      <c r="N69" s="184"/>
      <c r="O69" s="184"/>
      <c r="P69" s="184"/>
      <c r="Q69" s="184"/>
      <c r="R69" s="187">
        <v>6000</v>
      </c>
      <c r="S69" s="187"/>
      <c r="T69" s="187"/>
    </row>
    <row r="70" spans="2:20" s="188" customFormat="1" ht="14.4" x14ac:dyDescent="0.3">
      <c r="B70" s="178"/>
      <c r="C70" s="184"/>
      <c r="D70" s="202" t="s">
        <v>363</v>
      </c>
      <c r="E70" s="184"/>
      <c r="F70" s="186" t="str">
        <f>'PEP-Budget par produit'!C40</f>
        <v>Etude</v>
      </c>
      <c r="G70" s="184"/>
      <c r="H70" s="184">
        <f t="shared" si="21"/>
        <v>0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</row>
    <row r="71" spans="2:20" s="188" customFormat="1" x14ac:dyDescent="0.3">
      <c r="B71" s="178"/>
      <c r="C71" s="184"/>
      <c r="D71" s="192" t="s">
        <v>556</v>
      </c>
      <c r="E71" s="184"/>
      <c r="F71" s="186"/>
      <c r="G71" s="187"/>
      <c r="H71" s="187">
        <f t="shared" si="21"/>
        <v>0</v>
      </c>
      <c r="I71" s="187"/>
      <c r="J71" s="187"/>
      <c r="K71" s="184"/>
      <c r="L71" s="184"/>
      <c r="M71" s="184"/>
      <c r="N71" s="184"/>
      <c r="O71" s="184"/>
      <c r="P71" s="184"/>
      <c r="Q71" s="184"/>
      <c r="R71" s="184"/>
      <c r="S71" s="184"/>
      <c r="T71" s="184"/>
    </row>
    <row r="72" spans="2:20" s="188" customFormat="1" x14ac:dyDescent="0.3">
      <c r="B72" s="178"/>
      <c r="C72" s="184"/>
      <c r="D72" s="193" t="s">
        <v>557</v>
      </c>
      <c r="E72" s="184"/>
      <c r="F72" s="186"/>
      <c r="G72" s="184"/>
      <c r="H72" s="184">
        <f t="shared" si="21"/>
        <v>0</v>
      </c>
      <c r="I72" s="184"/>
      <c r="J72" s="184"/>
      <c r="K72" s="187"/>
      <c r="L72" s="187"/>
      <c r="M72" s="187"/>
      <c r="N72" s="187"/>
      <c r="O72" s="184"/>
      <c r="P72" s="184"/>
      <c r="Q72" s="184"/>
      <c r="R72" s="184"/>
      <c r="S72" s="184"/>
      <c r="T72" s="184"/>
    </row>
    <row r="73" spans="2:20" s="188" customFormat="1" x14ac:dyDescent="0.3">
      <c r="B73" s="178"/>
      <c r="C73" s="184"/>
      <c r="D73" s="193" t="s">
        <v>558</v>
      </c>
      <c r="E73" s="184"/>
      <c r="F73" s="186"/>
      <c r="G73" s="184"/>
      <c r="H73" s="184">
        <f t="shared" si="21"/>
        <v>0</v>
      </c>
      <c r="I73" s="184"/>
      <c r="J73" s="184"/>
      <c r="K73" s="184"/>
      <c r="L73" s="184"/>
      <c r="M73" s="184"/>
      <c r="N73" s="184"/>
      <c r="O73" s="187"/>
      <c r="P73" s="187">
        <v>25000</v>
      </c>
      <c r="Q73" s="187"/>
      <c r="R73" s="187"/>
      <c r="S73" s="187"/>
      <c r="T73" s="187"/>
    </row>
    <row r="74" spans="2:20" s="188" customFormat="1" ht="14.4" x14ac:dyDescent="0.3">
      <c r="B74" s="178"/>
      <c r="C74" s="184"/>
      <c r="D74" s="202" t="s">
        <v>405</v>
      </c>
      <c r="E74" s="184"/>
      <c r="F74" s="186" t="str">
        <f>'PEP-Budget par produit'!C41</f>
        <v>contrat</v>
      </c>
      <c r="G74" s="184"/>
      <c r="H74" s="184">
        <f t="shared" si="21"/>
        <v>0</v>
      </c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</row>
    <row r="75" spans="2:20" s="188" customFormat="1" x14ac:dyDescent="0.3">
      <c r="B75" s="178"/>
      <c r="C75" s="184"/>
      <c r="D75" s="192" t="s">
        <v>553</v>
      </c>
      <c r="E75" s="184"/>
      <c r="F75" s="186"/>
      <c r="G75" s="187"/>
      <c r="H75" s="187">
        <f t="shared" si="21"/>
        <v>0</v>
      </c>
      <c r="I75" s="187"/>
      <c r="J75" s="187"/>
      <c r="K75" s="184"/>
      <c r="L75" s="184"/>
      <c r="M75" s="184"/>
      <c r="N75" s="184"/>
      <c r="O75" s="184"/>
      <c r="P75" s="184"/>
      <c r="Q75" s="184"/>
      <c r="R75" s="184"/>
      <c r="S75" s="184"/>
      <c r="T75" s="184"/>
    </row>
    <row r="76" spans="2:20" s="188" customFormat="1" x14ac:dyDescent="0.3">
      <c r="B76" s="178"/>
      <c r="C76" s="184"/>
      <c r="D76" s="193" t="s">
        <v>554</v>
      </c>
      <c r="E76" s="184"/>
      <c r="F76" s="186"/>
      <c r="G76" s="184"/>
      <c r="H76" s="184">
        <f t="shared" si="21"/>
        <v>0</v>
      </c>
      <c r="I76" s="184"/>
      <c r="J76" s="184"/>
      <c r="K76" s="187"/>
      <c r="L76" s="187"/>
      <c r="M76" s="187"/>
      <c r="N76" s="187"/>
      <c r="O76" s="187"/>
      <c r="P76" s="184"/>
      <c r="Q76" s="184"/>
      <c r="R76" s="184"/>
      <c r="S76" s="184"/>
      <c r="T76" s="184"/>
    </row>
    <row r="77" spans="2:20" s="188" customFormat="1" x14ac:dyDescent="0.3">
      <c r="B77" s="178"/>
      <c r="C77" s="184"/>
      <c r="D77" s="193" t="s">
        <v>555</v>
      </c>
      <c r="E77" s="184"/>
      <c r="F77" s="186"/>
      <c r="G77" s="184"/>
      <c r="H77" s="184">
        <f t="shared" si="21"/>
        <v>0</v>
      </c>
      <c r="I77" s="184"/>
      <c r="J77" s="184"/>
      <c r="K77" s="184"/>
      <c r="L77" s="184"/>
      <c r="M77" s="184"/>
      <c r="N77" s="184"/>
      <c r="O77" s="184"/>
      <c r="P77" s="187"/>
      <c r="Q77" s="187">
        <v>7482.5</v>
      </c>
      <c r="R77" s="187"/>
      <c r="S77" s="187"/>
      <c r="T77" s="187"/>
    </row>
    <row r="78" spans="2:20" s="188" customFormat="1" ht="14.4" x14ac:dyDescent="0.3">
      <c r="B78" s="178"/>
      <c r="C78" s="184"/>
      <c r="D78" s="203" t="s">
        <v>419</v>
      </c>
      <c r="E78" s="184"/>
      <c r="F78" s="186" t="str">
        <f>'PEP-Budget par produit'!C42</f>
        <v>Contrat</v>
      </c>
      <c r="G78" s="184"/>
      <c r="H78" s="184">
        <f>SUM(I78:N78)</f>
        <v>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</row>
    <row r="79" spans="2:20" s="188" customFormat="1" x14ac:dyDescent="0.3">
      <c r="B79" s="178"/>
      <c r="C79" s="184"/>
      <c r="D79" s="192" t="s">
        <v>553</v>
      </c>
      <c r="E79" s="184"/>
      <c r="F79" s="186"/>
      <c r="G79" s="187"/>
      <c r="H79" s="187">
        <f>SUM(I79:N79)</f>
        <v>0</v>
      </c>
      <c r="I79" s="187"/>
      <c r="J79" s="187"/>
      <c r="K79" s="184"/>
      <c r="L79" s="184"/>
      <c r="M79" s="184"/>
      <c r="N79" s="184"/>
      <c r="O79" s="184"/>
      <c r="P79" s="184"/>
      <c r="Q79" s="184"/>
      <c r="R79" s="184"/>
      <c r="S79" s="184"/>
      <c r="T79" s="184"/>
    </row>
    <row r="80" spans="2:20" s="188" customFormat="1" x14ac:dyDescent="0.3">
      <c r="B80" s="178"/>
      <c r="C80" s="184"/>
      <c r="D80" s="193" t="s">
        <v>554</v>
      </c>
      <c r="E80" s="184"/>
      <c r="F80" s="186"/>
      <c r="G80" s="184"/>
      <c r="H80" s="184">
        <f>SUM(I80:N80)</f>
        <v>0</v>
      </c>
      <c r="I80" s="184"/>
      <c r="J80" s="184"/>
      <c r="K80" s="187"/>
      <c r="L80" s="187"/>
      <c r="M80" s="187"/>
      <c r="N80" s="187"/>
      <c r="O80" s="187"/>
      <c r="P80" s="184"/>
      <c r="Q80" s="184"/>
      <c r="R80" s="184"/>
      <c r="S80" s="184"/>
      <c r="T80" s="184"/>
    </row>
    <row r="81" spans="2:20" s="188" customFormat="1" x14ac:dyDescent="0.3">
      <c r="B81" s="178"/>
      <c r="C81" s="184"/>
      <c r="D81" s="193" t="s">
        <v>555</v>
      </c>
      <c r="E81" s="184"/>
      <c r="F81" s="186"/>
      <c r="G81" s="184"/>
      <c r="H81" s="184">
        <f t="shared" ref="H81" si="24">SUM(I81:N81)</f>
        <v>0</v>
      </c>
      <c r="I81" s="184"/>
      <c r="J81" s="184"/>
      <c r="K81" s="184"/>
      <c r="L81" s="184"/>
      <c r="M81" s="184"/>
      <c r="N81" s="184"/>
      <c r="O81" s="184"/>
      <c r="P81" s="187"/>
      <c r="Q81" s="187">
        <v>50000</v>
      </c>
      <c r="R81" s="187"/>
      <c r="S81" s="187"/>
      <c r="T81" s="187"/>
    </row>
    <row r="82" spans="2:20" x14ac:dyDescent="0.3">
      <c r="B82" s="178" t="s">
        <v>528</v>
      </c>
      <c r="C82" s="181">
        <v>5</v>
      </c>
      <c r="D82" s="211" t="str">
        <f>'PEP-Budget par produit'!B43</f>
        <v>Produit 5: Agriculteurs ayant recu de l'assistance technique</v>
      </c>
      <c r="E82" s="211"/>
      <c r="F82" s="191" t="s">
        <v>567</v>
      </c>
      <c r="G82" s="180">
        <f>'PEP-Budget par produit'!J43</f>
        <v>44000</v>
      </c>
      <c r="H82" s="180">
        <f>SUM(I82:T82)</f>
        <v>2200</v>
      </c>
      <c r="I82" s="180"/>
      <c r="J82" s="180"/>
      <c r="K82" s="180"/>
      <c r="L82" s="181"/>
      <c r="M82" s="181"/>
      <c r="N82" s="181"/>
      <c r="O82" s="181"/>
      <c r="P82" s="181"/>
      <c r="Q82" s="181"/>
      <c r="R82" s="181"/>
      <c r="S82" s="181"/>
      <c r="T82" s="181">
        <f>'PEP-Budget par produit'!E43</f>
        <v>2200</v>
      </c>
    </row>
    <row r="83" spans="2:20" x14ac:dyDescent="0.3">
      <c r="B83" s="178" t="s">
        <v>529</v>
      </c>
      <c r="C83" s="181">
        <v>5</v>
      </c>
      <c r="D83" s="211" t="str">
        <f>D82</f>
        <v>Produit 5: Agriculteurs ayant recu de l'assistance technique</v>
      </c>
      <c r="E83" s="211"/>
      <c r="F83" s="191" t="s">
        <v>524</v>
      </c>
      <c r="G83" s="181">
        <f>'PEP-Budget par produit'!P43</f>
        <v>6000000</v>
      </c>
      <c r="H83" s="181">
        <f>SUM(I83:T83)</f>
        <v>225000</v>
      </c>
      <c r="I83" s="181">
        <f>SUM(I84:I87)</f>
        <v>0</v>
      </c>
      <c r="J83" s="181">
        <f t="shared" ref="J83:T83" si="25">SUM(J84:J87)</f>
        <v>0</v>
      </c>
      <c r="K83" s="181">
        <f t="shared" si="25"/>
        <v>0</v>
      </c>
      <c r="L83" s="181">
        <f t="shared" si="25"/>
        <v>0</v>
      </c>
      <c r="M83" s="181">
        <f t="shared" si="25"/>
        <v>0</v>
      </c>
      <c r="N83" s="181">
        <f t="shared" si="25"/>
        <v>0</v>
      </c>
      <c r="O83" s="181">
        <f t="shared" si="25"/>
        <v>0</v>
      </c>
      <c r="P83" s="181">
        <f t="shared" si="25"/>
        <v>0</v>
      </c>
      <c r="Q83" s="181">
        <f t="shared" si="25"/>
        <v>0</v>
      </c>
      <c r="R83" s="181">
        <f t="shared" si="25"/>
        <v>225000</v>
      </c>
      <c r="S83" s="181">
        <f t="shared" si="25"/>
        <v>0</v>
      </c>
      <c r="T83" s="181">
        <f t="shared" si="25"/>
        <v>0</v>
      </c>
    </row>
    <row r="84" spans="2:20" x14ac:dyDescent="0.3">
      <c r="B84" s="178"/>
      <c r="C84" s="184"/>
      <c r="D84" s="194" t="str">
        <f>'PEP-Budget par produit'!B44</f>
        <v>Opérateurs assistance technique (meme que gestion des incitations)</v>
      </c>
      <c r="E84" s="184"/>
      <c r="F84" s="186" t="str">
        <f>'PEP-Budget par produit'!C44</f>
        <v>Contrat</v>
      </c>
      <c r="G84" s="184"/>
      <c r="H84" s="184">
        <f>SUM(I84:T84)</f>
        <v>0</v>
      </c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</row>
    <row r="85" spans="2:20" x14ac:dyDescent="0.3">
      <c r="B85" s="178"/>
      <c r="C85" s="184"/>
      <c r="D85" s="192" t="s">
        <v>561</v>
      </c>
      <c r="E85" s="184"/>
      <c r="F85" s="186"/>
      <c r="G85" s="187"/>
      <c r="H85" s="187">
        <f t="shared" ref="H85:H87" si="26">SUM(I85:T85)</f>
        <v>0</v>
      </c>
      <c r="I85" s="187"/>
      <c r="J85" s="187"/>
      <c r="K85" s="184"/>
      <c r="L85" s="184"/>
      <c r="M85" s="184"/>
      <c r="N85" s="184"/>
      <c r="O85" s="184"/>
      <c r="P85" s="184"/>
      <c r="Q85" s="184"/>
      <c r="R85" s="184"/>
      <c r="S85" s="184"/>
      <c r="T85" s="184"/>
    </row>
    <row r="86" spans="2:20" x14ac:dyDescent="0.3">
      <c r="B86" s="178"/>
      <c r="C86" s="184"/>
      <c r="D86" s="193" t="s">
        <v>565</v>
      </c>
      <c r="E86" s="184"/>
      <c r="F86" s="186"/>
      <c r="G86" s="184"/>
      <c r="H86" s="184">
        <f t="shared" si="26"/>
        <v>0</v>
      </c>
      <c r="I86" s="184"/>
      <c r="J86" s="184"/>
      <c r="K86" s="187"/>
      <c r="L86" s="187"/>
      <c r="M86" s="187"/>
      <c r="N86" s="187"/>
      <c r="O86" s="187"/>
      <c r="P86" s="184"/>
      <c r="Q86" s="184"/>
      <c r="R86" s="184"/>
      <c r="S86" s="184"/>
      <c r="T86" s="184"/>
    </row>
    <row r="87" spans="2:20" x14ac:dyDescent="0.3">
      <c r="B87" s="178"/>
      <c r="C87" s="184"/>
      <c r="D87" s="193" t="s">
        <v>566</v>
      </c>
      <c r="E87" s="184"/>
      <c r="F87" s="186"/>
      <c r="G87" s="184"/>
      <c r="H87" s="184">
        <f t="shared" si="26"/>
        <v>225000</v>
      </c>
      <c r="I87" s="184"/>
      <c r="J87" s="184"/>
      <c r="K87" s="184"/>
      <c r="L87" s="184"/>
      <c r="M87" s="184"/>
      <c r="N87" s="184"/>
      <c r="O87" s="184"/>
      <c r="P87" s="187"/>
      <c r="Q87" s="187"/>
      <c r="R87" s="187">
        <v>225000</v>
      </c>
      <c r="S87" s="187"/>
      <c r="T87" s="187"/>
    </row>
    <row r="88" spans="2:20" s="170" customFormat="1" x14ac:dyDescent="0.3">
      <c r="B88" s="155" t="str">
        <f>[1]PEP!D22</f>
        <v>Gestion</v>
      </c>
      <c r="C88" s="171"/>
      <c r="D88" s="171"/>
      <c r="E88" s="171"/>
      <c r="F88" s="171"/>
      <c r="G88" s="171">
        <f>'PEP-Budget par produit'!P45</f>
        <v>5000000</v>
      </c>
      <c r="H88" s="171">
        <f t="shared" ref="H88:H94" si="27">SUM(I88:T88)</f>
        <v>1000000.0000000001</v>
      </c>
      <c r="I88" s="171">
        <f t="shared" ref="I88:T88" si="28">SUM(I89:I89)</f>
        <v>83333.333333333328</v>
      </c>
      <c r="J88" s="171">
        <f t="shared" si="28"/>
        <v>83333.333333333328</v>
      </c>
      <c r="K88" s="171">
        <f t="shared" si="28"/>
        <v>83333.333333333328</v>
      </c>
      <c r="L88" s="171">
        <f t="shared" si="28"/>
        <v>83333.333333333328</v>
      </c>
      <c r="M88" s="171">
        <f t="shared" si="28"/>
        <v>83333.333333333328</v>
      </c>
      <c r="N88" s="171">
        <f t="shared" si="28"/>
        <v>83333.333333333328</v>
      </c>
      <c r="O88" s="171">
        <f t="shared" si="28"/>
        <v>83333.333333333328</v>
      </c>
      <c r="P88" s="171">
        <f t="shared" si="28"/>
        <v>83333.333333333328</v>
      </c>
      <c r="Q88" s="171">
        <f t="shared" si="28"/>
        <v>83333.333333333328</v>
      </c>
      <c r="R88" s="171">
        <f t="shared" si="28"/>
        <v>83333.333333333328</v>
      </c>
      <c r="S88" s="171">
        <f t="shared" si="28"/>
        <v>83333.333333333328</v>
      </c>
      <c r="T88" s="171">
        <f t="shared" si="28"/>
        <v>83333.333333333328</v>
      </c>
    </row>
    <row r="89" spans="2:20" s="199" customFormat="1" x14ac:dyDescent="0.3">
      <c r="B89" s="195"/>
      <c r="C89" s="196"/>
      <c r="D89" s="204" t="s">
        <v>584</v>
      </c>
      <c r="E89" s="197"/>
      <c r="F89" s="198"/>
      <c r="G89" s="187"/>
      <c r="H89" s="187">
        <f t="shared" si="27"/>
        <v>1000000.0000000001</v>
      </c>
      <c r="I89" s="187">
        <f>1000000/12</f>
        <v>83333.333333333328</v>
      </c>
      <c r="J89" s="187">
        <f t="shared" ref="J89:T89" si="29">1000000/12</f>
        <v>83333.333333333328</v>
      </c>
      <c r="K89" s="187">
        <f t="shared" si="29"/>
        <v>83333.333333333328</v>
      </c>
      <c r="L89" s="187">
        <f t="shared" si="29"/>
        <v>83333.333333333328</v>
      </c>
      <c r="M89" s="187">
        <f t="shared" si="29"/>
        <v>83333.333333333328</v>
      </c>
      <c r="N89" s="187">
        <f t="shared" si="29"/>
        <v>83333.333333333328</v>
      </c>
      <c r="O89" s="187">
        <f t="shared" si="29"/>
        <v>83333.333333333328</v>
      </c>
      <c r="P89" s="187">
        <f t="shared" si="29"/>
        <v>83333.333333333328</v>
      </c>
      <c r="Q89" s="187">
        <f t="shared" si="29"/>
        <v>83333.333333333328</v>
      </c>
      <c r="R89" s="187">
        <f t="shared" si="29"/>
        <v>83333.333333333328</v>
      </c>
      <c r="S89" s="187">
        <f t="shared" si="29"/>
        <v>83333.333333333328</v>
      </c>
      <c r="T89" s="187">
        <f t="shared" si="29"/>
        <v>83333.333333333328</v>
      </c>
    </row>
    <row r="90" spans="2:20" s="188" customFormat="1" x14ac:dyDescent="0.3">
      <c r="B90" s="155" t="s">
        <v>537</v>
      </c>
      <c r="C90" s="171"/>
      <c r="D90" s="171"/>
      <c r="E90" s="171"/>
      <c r="F90" s="171"/>
      <c r="G90" s="171">
        <f>'PEP-Budget par produit'!P46</f>
        <v>150000</v>
      </c>
      <c r="H90" s="171">
        <f t="shared" si="27"/>
        <v>30000</v>
      </c>
      <c r="I90" s="171">
        <f>SUM(I91:I92)</f>
        <v>0</v>
      </c>
      <c r="J90" s="171">
        <f t="shared" ref="J90:T90" si="30">SUM(J91:J92)</f>
        <v>0</v>
      </c>
      <c r="K90" s="171">
        <f t="shared" si="30"/>
        <v>0</v>
      </c>
      <c r="L90" s="171">
        <f t="shared" si="30"/>
        <v>0</v>
      </c>
      <c r="M90" s="171">
        <f t="shared" si="30"/>
        <v>0</v>
      </c>
      <c r="N90" s="171">
        <f t="shared" si="30"/>
        <v>0</v>
      </c>
      <c r="O90" s="171">
        <f t="shared" si="30"/>
        <v>0</v>
      </c>
      <c r="P90" s="171">
        <f t="shared" si="30"/>
        <v>0</v>
      </c>
      <c r="Q90" s="171">
        <f t="shared" si="30"/>
        <v>0</v>
      </c>
      <c r="R90" s="171">
        <f t="shared" si="30"/>
        <v>0</v>
      </c>
      <c r="S90" s="171">
        <f t="shared" si="30"/>
        <v>0</v>
      </c>
      <c r="T90" s="171">
        <f t="shared" si="30"/>
        <v>30000</v>
      </c>
    </row>
    <row r="91" spans="2:20" s="188" customFormat="1" x14ac:dyDescent="0.3">
      <c r="B91" s="178"/>
      <c r="C91" s="184"/>
      <c r="D91" s="184" t="s">
        <v>572</v>
      </c>
      <c r="E91" s="184"/>
      <c r="F91" s="186"/>
      <c r="G91" s="184"/>
      <c r="H91" s="184">
        <f t="shared" si="27"/>
        <v>0</v>
      </c>
      <c r="I91" s="184"/>
      <c r="J91" s="184"/>
      <c r="K91" s="184"/>
      <c r="L91" s="162"/>
      <c r="M91" s="187"/>
      <c r="N91" s="187"/>
      <c r="O91" s="187"/>
      <c r="P91" s="187"/>
      <c r="Q91" s="187"/>
      <c r="R91" s="162"/>
      <c r="S91" s="162"/>
      <c r="T91" s="162"/>
    </row>
    <row r="92" spans="2:20" s="188" customFormat="1" x14ac:dyDescent="0.3">
      <c r="B92" s="178"/>
      <c r="C92" s="184"/>
      <c r="D92" s="184" t="s">
        <v>573</v>
      </c>
      <c r="E92" s="184"/>
      <c r="F92" s="186"/>
      <c r="G92" s="184"/>
      <c r="H92" s="184">
        <f t="shared" si="27"/>
        <v>30000</v>
      </c>
      <c r="I92" s="184"/>
      <c r="J92" s="184"/>
      <c r="K92" s="184"/>
      <c r="L92" s="162"/>
      <c r="M92" s="162"/>
      <c r="N92" s="162"/>
      <c r="O92" s="162"/>
      <c r="P92" s="162"/>
      <c r="Q92" s="162"/>
      <c r="R92" s="187"/>
      <c r="S92" s="187"/>
      <c r="T92" s="187">
        <v>30000</v>
      </c>
    </row>
    <row r="93" spans="2:20" s="188" customFormat="1" x14ac:dyDescent="0.3">
      <c r="B93" s="155" t="str">
        <f>[1]PEP!D24</f>
        <v>Evaluation</v>
      </c>
      <c r="C93" s="171"/>
      <c r="D93" s="171"/>
      <c r="E93" s="171"/>
      <c r="F93" s="171"/>
      <c r="G93" s="171">
        <f>'PEP-Budget par produit'!P47</f>
        <v>700000</v>
      </c>
      <c r="H93" s="171">
        <f t="shared" si="27"/>
        <v>100000</v>
      </c>
      <c r="I93" s="171">
        <f t="shared" ref="I93:T93" si="31">SUM(I94:I94)</f>
        <v>0</v>
      </c>
      <c r="J93" s="171">
        <f t="shared" si="31"/>
        <v>0</v>
      </c>
      <c r="K93" s="171">
        <f t="shared" si="31"/>
        <v>0</v>
      </c>
      <c r="L93" s="171">
        <f t="shared" si="31"/>
        <v>0</v>
      </c>
      <c r="M93" s="171">
        <f t="shared" si="31"/>
        <v>0</v>
      </c>
      <c r="N93" s="171">
        <f t="shared" si="31"/>
        <v>0</v>
      </c>
      <c r="O93" s="171">
        <f t="shared" si="31"/>
        <v>100000</v>
      </c>
      <c r="P93" s="171">
        <f t="shared" si="31"/>
        <v>0</v>
      </c>
      <c r="Q93" s="171">
        <f t="shared" si="31"/>
        <v>0</v>
      </c>
      <c r="R93" s="171">
        <f t="shared" si="31"/>
        <v>0</v>
      </c>
      <c r="S93" s="171">
        <f t="shared" si="31"/>
        <v>0</v>
      </c>
      <c r="T93" s="171">
        <f t="shared" si="31"/>
        <v>0</v>
      </c>
    </row>
    <row r="94" spans="2:20" x14ac:dyDescent="0.3">
      <c r="B94" s="200"/>
      <c r="C94" s="201"/>
      <c r="D94" s="204" t="s">
        <v>574</v>
      </c>
      <c r="E94" s="200"/>
      <c r="F94" s="200"/>
      <c r="G94" s="187"/>
      <c r="H94" s="187">
        <f t="shared" si="27"/>
        <v>100000</v>
      </c>
      <c r="I94" s="187"/>
      <c r="J94" s="187"/>
      <c r="K94" s="187"/>
      <c r="L94" s="187"/>
      <c r="M94" s="187"/>
      <c r="N94" s="187"/>
      <c r="O94" s="187">
        <v>100000</v>
      </c>
      <c r="P94" s="187"/>
      <c r="Q94" s="187"/>
      <c r="R94" s="187"/>
      <c r="S94" s="187"/>
      <c r="T94" s="187"/>
    </row>
  </sheetData>
  <mergeCells count="9">
    <mergeCell ref="D82:E82"/>
    <mergeCell ref="D83:E83"/>
    <mergeCell ref="D3:F3"/>
    <mergeCell ref="D1:F1"/>
    <mergeCell ref="L1:Q1"/>
    <mergeCell ref="D2:F2"/>
    <mergeCell ref="L2:Q2"/>
    <mergeCell ref="D40:E40"/>
    <mergeCell ref="D41:E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86"/>
  <sheetViews>
    <sheetView zoomScale="70" zoomScaleNormal="70" workbookViewId="0">
      <selection activeCell="I54" sqref="I54"/>
    </sheetView>
  </sheetViews>
  <sheetFormatPr defaultColWidth="9.109375" defaultRowHeight="15.6" x14ac:dyDescent="0.3"/>
  <cols>
    <col min="1" max="1" width="28.44140625" style="76" customWidth="1"/>
    <col min="2" max="2" width="12.44140625" style="76" customWidth="1"/>
    <col min="3" max="3" width="76.44140625" style="76" customWidth="1"/>
    <col min="4" max="4" width="17.6640625" style="76" customWidth="1"/>
    <col min="5" max="5" width="17.33203125" style="76" customWidth="1"/>
    <col min="6" max="6" width="14.5546875" style="118" customWidth="1"/>
    <col min="7" max="7" width="10.33203125" style="76" customWidth="1"/>
    <col min="8" max="8" width="12" style="76" customWidth="1"/>
    <col min="9" max="9" width="13" style="76" customWidth="1"/>
    <col min="10" max="10" width="10.6640625" style="76" customWidth="1"/>
    <col min="11" max="11" width="13.33203125" style="76" customWidth="1"/>
    <col min="12" max="12" width="9.109375" style="76" customWidth="1"/>
    <col min="13" max="13" width="44.5546875" style="76" bestFit="1" customWidth="1"/>
    <col min="14" max="14" width="10.88671875" style="76" customWidth="1"/>
    <col min="15" max="15" width="16.33203125" style="76" customWidth="1"/>
    <col min="16" max="16" width="11.6640625" style="76" customWidth="1"/>
    <col min="17" max="17" width="11.109375" style="76" customWidth="1"/>
    <col min="18" max="18" width="19.109375" style="76" customWidth="1"/>
    <col min="19" max="19" width="13.88671875" style="76" customWidth="1"/>
    <col min="20" max="20" width="15.88671875" style="76" customWidth="1"/>
    <col min="21" max="21" width="12.88671875" style="76" customWidth="1"/>
    <col min="22" max="22" width="10.88671875" style="76" customWidth="1"/>
    <col min="23" max="23" width="16.88671875" style="76" customWidth="1"/>
    <col min="24" max="24" width="14.6640625" style="76" customWidth="1"/>
    <col min="25" max="26" width="12.109375" style="76" customWidth="1"/>
    <col min="27" max="27" width="13" style="76" customWidth="1"/>
    <col min="28" max="28" width="10.44140625" style="76" customWidth="1"/>
    <col min="29" max="29" width="10.6640625" style="76" customWidth="1"/>
    <col min="30" max="31" width="11.109375" style="76" customWidth="1"/>
    <col min="32" max="32" width="10.33203125" style="76" customWidth="1"/>
    <col min="33" max="33" width="36.109375" style="76" customWidth="1"/>
    <col min="34" max="35" width="13.33203125" style="76" customWidth="1"/>
    <col min="36" max="36" width="10.33203125" style="76" customWidth="1"/>
    <col min="37" max="37" width="9.88671875" style="76" customWidth="1"/>
    <col min="38" max="38" width="8.33203125" style="76" customWidth="1"/>
    <col min="39" max="39" width="7.88671875" style="76" customWidth="1"/>
    <col min="40" max="40" width="9" style="76" customWidth="1"/>
    <col min="41" max="41" width="9.109375" style="76" customWidth="1"/>
    <col min="42" max="42" width="8.5546875" style="76" customWidth="1"/>
    <col min="43" max="43" width="9" style="76" customWidth="1"/>
    <col min="44" max="44" width="9.109375" style="76" customWidth="1"/>
    <col min="45" max="45" width="9.88671875" style="76" customWidth="1"/>
    <col min="46" max="46" width="9" style="76" customWidth="1"/>
    <col min="47" max="48" width="10.109375" style="76" customWidth="1"/>
    <col min="49" max="49" width="11.33203125" style="76" customWidth="1"/>
    <col min="50" max="51" width="9.109375" style="76"/>
    <col min="52" max="55" width="10.109375" style="76" customWidth="1"/>
    <col min="56" max="57" width="10.6640625" style="76" customWidth="1"/>
    <col min="58" max="61" width="11" style="76" customWidth="1"/>
    <col min="62" max="62" width="19.5546875" style="76" customWidth="1"/>
    <col min="63" max="63" width="18.88671875" style="76" customWidth="1"/>
    <col min="64" max="67" width="11" style="76" customWidth="1"/>
    <col min="68" max="68" width="15.44140625" style="76" customWidth="1"/>
    <col min="69" max="16384" width="9.109375" style="76"/>
  </cols>
  <sheetData>
    <row r="1" spans="1:306" s="58" customFormat="1" ht="14.4" x14ac:dyDescent="0.3">
      <c r="A1"/>
      <c r="B1"/>
      <c r="C1" s="136" t="s">
        <v>436</v>
      </c>
      <c r="D1" s="216" t="s">
        <v>577</v>
      </c>
      <c r="E1" s="216"/>
      <c r="F1" s="216"/>
      <c r="G1"/>
      <c r="H1"/>
      <c r="I1"/>
      <c r="J1"/>
      <c r="K1"/>
      <c r="L1"/>
      <c r="M1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306" s="58" customFormat="1" ht="14.4" x14ac:dyDescent="0.3">
      <c r="A2"/>
      <c r="B2"/>
      <c r="C2" s="57" t="s">
        <v>437</v>
      </c>
      <c r="D2" s="217" t="s">
        <v>578</v>
      </c>
      <c r="E2" s="217"/>
      <c r="F2" s="217"/>
      <c r="G2"/>
      <c r="H2"/>
      <c r="I2"/>
      <c r="J2"/>
      <c r="K2"/>
      <c r="L2"/>
      <c r="M2"/>
      <c r="N2" s="60"/>
      <c r="O2" s="60"/>
      <c r="P2" s="6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</row>
    <row r="3" spans="1:306" s="58" customFormat="1" ht="14.4" x14ac:dyDescent="0.3">
      <c r="A3"/>
      <c r="B3"/>
      <c r="C3" s="135" t="s">
        <v>438</v>
      </c>
      <c r="D3" s="218" t="s">
        <v>579</v>
      </c>
      <c r="E3" s="219"/>
      <c r="F3" s="220"/>
      <c r="G3"/>
      <c r="H3"/>
      <c r="I3"/>
      <c r="J3"/>
      <c r="K3"/>
      <c r="L3"/>
      <c r="M3"/>
      <c r="N3" s="60"/>
      <c r="O3" s="60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</row>
    <row r="4" spans="1:306" s="58" customFormat="1" ht="14.4" x14ac:dyDescent="0.3">
      <c r="A4"/>
      <c r="B4"/>
      <c r="C4" s="57" t="s">
        <v>439</v>
      </c>
      <c r="D4" s="217" t="s">
        <v>581</v>
      </c>
      <c r="E4" s="217"/>
      <c r="F4" s="217"/>
      <c r="G4"/>
      <c r="H4"/>
      <c r="I4"/>
      <c r="J4"/>
      <c r="K4"/>
      <c r="L4"/>
      <c r="M4"/>
      <c r="N4" s="65"/>
      <c r="O4" s="65"/>
      <c r="P4" s="65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1:306" s="58" customFormat="1" ht="14.4" x14ac:dyDescent="0.3">
      <c r="A5"/>
      <c r="B5"/>
      <c r="C5" s="64" t="s">
        <v>440</v>
      </c>
      <c r="D5" s="217" t="s">
        <v>580</v>
      </c>
      <c r="E5" s="217"/>
      <c r="F5" s="217"/>
      <c r="G5"/>
      <c r="H5"/>
      <c r="I5"/>
      <c r="J5"/>
      <c r="K5"/>
      <c r="L5"/>
      <c r="M5"/>
      <c r="N5" s="66"/>
      <c r="O5" s="66"/>
      <c r="P5" s="66"/>
      <c r="Q5" s="66"/>
      <c r="R5" s="66"/>
      <c r="S5" s="66"/>
      <c r="T5" s="66"/>
      <c r="U5" s="66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69"/>
      <c r="AI5" s="69"/>
      <c r="AJ5" s="69"/>
      <c r="AK5" s="69"/>
      <c r="AL5" s="69"/>
      <c r="AM5" s="62"/>
      <c r="AN5" s="62"/>
      <c r="AO5" s="62"/>
      <c r="AP5" s="62"/>
      <c r="AQ5" s="62"/>
      <c r="AR5" s="62"/>
      <c r="AS5" s="62"/>
      <c r="AT5" s="63"/>
      <c r="AU5" s="63"/>
      <c r="AV5" s="63"/>
      <c r="AW5" s="63"/>
      <c r="AX5" s="63"/>
      <c r="AY5" s="63"/>
      <c r="AZ5" s="63"/>
      <c r="BA5" s="215"/>
      <c r="BB5" s="215"/>
      <c r="BC5" s="215"/>
      <c r="BD5" s="215"/>
      <c r="BE5" s="215"/>
      <c r="BF5" s="215"/>
      <c r="BG5" s="215"/>
      <c r="BH5" s="215"/>
      <c r="BI5" s="62"/>
      <c r="BJ5" s="62"/>
      <c r="BK5" s="63"/>
      <c r="BL5" s="63"/>
      <c r="BM5" s="63"/>
      <c r="BN5" s="63"/>
      <c r="BO5" s="63"/>
      <c r="BP5" s="63"/>
    </row>
    <row r="6" spans="1:306" s="58" customFormat="1" ht="14.4" x14ac:dyDescent="0.3">
      <c r="A6"/>
      <c r="B6"/>
      <c r="C6"/>
      <c r="D6"/>
      <c r="E6"/>
      <c r="F6" s="112"/>
      <c r="G6"/>
      <c r="H6"/>
      <c r="I6"/>
      <c r="J6"/>
      <c r="K6"/>
      <c r="L6"/>
      <c r="M6"/>
      <c r="N6" s="66"/>
      <c r="O6" s="66"/>
      <c r="P6" s="66"/>
      <c r="Q6" s="66"/>
      <c r="R6" s="66"/>
      <c r="S6" s="66"/>
      <c r="T6" s="66"/>
      <c r="U6" s="66"/>
      <c r="V6" s="70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215"/>
      <c r="BB6" s="215"/>
      <c r="BC6" s="215"/>
      <c r="BD6" s="215"/>
      <c r="BE6" s="215"/>
      <c r="BF6" s="215"/>
      <c r="BG6" s="215"/>
      <c r="BH6" s="215"/>
      <c r="BI6" s="63"/>
      <c r="BJ6" s="63"/>
      <c r="BK6" s="63"/>
      <c r="BL6" s="63"/>
      <c r="BM6" s="63"/>
      <c r="BN6" s="63"/>
      <c r="BO6" s="63"/>
      <c r="BP6" s="63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</row>
    <row r="7" spans="1:306" s="58" customFormat="1" x14ac:dyDescent="0.25">
      <c r="A7" s="221" t="s">
        <v>441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  <c r="L7" s="71"/>
      <c r="M7" s="71"/>
      <c r="N7" s="65"/>
      <c r="O7" s="65"/>
      <c r="P7" s="65"/>
      <c r="Q7" s="66"/>
      <c r="R7" s="66"/>
      <c r="S7" s="66"/>
      <c r="T7" s="66"/>
      <c r="U7" s="66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59"/>
      <c r="KE7" s="59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</row>
    <row r="8" spans="1:306" s="58" customFormat="1" ht="13.8" x14ac:dyDescent="0.3">
      <c r="A8" s="223" t="s">
        <v>442</v>
      </c>
      <c r="B8" s="225" t="s">
        <v>443</v>
      </c>
      <c r="C8" s="225" t="s">
        <v>444</v>
      </c>
      <c r="D8" s="226" t="s">
        <v>445</v>
      </c>
      <c r="E8" s="225" t="s">
        <v>446</v>
      </c>
      <c r="F8" s="227" t="s">
        <v>447</v>
      </c>
      <c r="G8" s="228"/>
      <c r="H8" s="229"/>
      <c r="I8" s="230" t="s">
        <v>448</v>
      </c>
      <c r="J8" s="231"/>
      <c r="K8" s="227" t="s">
        <v>449</v>
      </c>
      <c r="L8" s="214" t="s">
        <v>450</v>
      </c>
      <c r="M8" s="214" t="s">
        <v>585</v>
      </c>
      <c r="N8" s="72"/>
      <c r="O8" s="72"/>
      <c r="P8" s="72"/>
      <c r="Q8" s="66"/>
      <c r="R8" s="66"/>
      <c r="S8" s="66"/>
      <c r="T8" s="66"/>
      <c r="U8" s="66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</row>
    <row r="9" spans="1:306" ht="124.2" x14ac:dyDescent="0.3">
      <c r="A9" s="224"/>
      <c r="B9" s="214"/>
      <c r="C9" s="214"/>
      <c r="D9" s="226"/>
      <c r="E9" s="214"/>
      <c r="F9" s="113" t="s">
        <v>451</v>
      </c>
      <c r="G9" s="73" t="s">
        <v>452</v>
      </c>
      <c r="H9" s="73" t="s">
        <v>453</v>
      </c>
      <c r="I9" s="73" t="s">
        <v>454</v>
      </c>
      <c r="J9" s="73" t="s">
        <v>455</v>
      </c>
      <c r="K9" s="230"/>
      <c r="L9" s="214"/>
      <c r="M9" s="214"/>
      <c r="N9" s="74"/>
      <c r="O9" s="74"/>
      <c r="P9" s="74"/>
      <c r="Q9" s="74"/>
      <c r="R9" s="74"/>
      <c r="S9" s="74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</row>
    <row r="10" spans="1:306" s="84" customFormat="1" ht="27.6" x14ac:dyDescent="0.3">
      <c r="A10" s="77"/>
      <c r="B10" s="78" t="s">
        <v>501</v>
      </c>
      <c r="C10" s="205" t="s">
        <v>512</v>
      </c>
      <c r="D10" s="78" t="s">
        <v>514</v>
      </c>
      <c r="E10" s="78" t="s">
        <v>478</v>
      </c>
      <c r="F10" s="114">
        <v>79500</v>
      </c>
      <c r="G10" s="78">
        <v>100</v>
      </c>
      <c r="H10" s="78"/>
      <c r="I10" s="78">
        <v>2017</v>
      </c>
      <c r="J10" s="78">
        <v>2017</v>
      </c>
      <c r="K10" s="79"/>
      <c r="L10" s="78" t="s">
        <v>492</v>
      </c>
      <c r="M10" s="78"/>
      <c r="N10" s="81"/>
      <c r="O10" s="81"/>
      <c r="P10" s="81"/>
      <c r="Q10" s="81"/>
      <c r="R10" s="81"/>
      <c r="S10" s="82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233"/>
      <c r="AV10" s="233"/>
      <c r="AW10" s="233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</row>
    <row r="11" spans="1:306" s="84" customFormat="1" ht="27.6" x14ac:dyDescent="0.3">
      <c r="A11" s="77"/>
      <c r="B11" s="78" t="s">
        <v>501</v>
      </c>
      <c r="C11" s="205" t="s">
        <v>513</v>
      </c>
      <c r="D11" s="78" t="s">
        <v>576</v>
      </c>
      <c r="E11" s="78" t="s">
        <v>478</v>
      </c>
      <c r="F11" s="114">
        <v>140000</v>
      </c>
      <c r="G11" s="78">
        <v>100</v>
      </c>
      <c r="H11" s="78"/>
      <c r="I11" s="78">
        <v>2017</v>
      </c>
      <c r="J11" s="78">
        <v>2017</v>
      </c>
      <c r="K11" s="79"/>
      <c r="L11" s="78" t="s">
        <v>492</v>
      </c>
      <c r="M11" s="78"/>
      <c r="N11" s="83"/>
      <c r="O11" s="83"/>
      <c r="P11" s="83"/>
      <c r="Q11" s="83"/>
      <c r="R11" s="81"/>
      <c r="S11" s="82"/>
      <c r="T11" s="82"/>
      <c r="U11" s="82"/>
      <c r="V11" s="82"/>
      <c r="W11" s="82"/>
      <c r="X11" s="82"/>
      <c r="Y11" s="82"/>
      <c r="Z11" s="82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2"/>
      <c r="BK11" s="82"/>
      <c r="BL11" s="83"/>
      <c r="BM11" s="83"/>
      <c r="BN11" s="83"/>
      <c r="BO11" s="83"/>
      <c r="BP11" s="234"/>
    </row>
    <row r="12" spans="1:306" x14ac:dyDescent="0.25">
      <c r="A12" s="77"/>
      <c r="B12" s="78"/>
      <c r="C12" s="78"/>
      <c r="D12" s="78"/>
      <c r="E12" s="78"/>
      <c r="F12" s="114"/>
      <c r="G12" s="78"/>
      <c r="H12" s="78"/>
      <c r="I12" s="78"/>
      <c r="J12" s="78"/>
      <c r="K12" s="79"/>
      <c r="L12" s="80"/>
      <c r="M12" s="80"/>
      <c r="N12" s="85"/>
      <c r="O12" s="85"/>
      <c r="P12" s="85"/>
      <c r="Q12" s="85"/>
      <c r="R12" s="85"/>
      <c r="S12" s="85"/>
      <c r="T12" s="86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6"/>
      <c r="AV12" s="87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</row>
    <row r="13" spans="1:306" x14ac:dyDescent="0.25">
      <c r="A13" s="77"/>
      <c r="B13" s="78"/>
      <c r="C13" s="78"/>
      <c r="D13" s="78"/>
      <c r="E13" s="78"/>
      <c r="F13" s="114"/>
      <c r="G13" s="78"/>
      <c r="H13" s="78"/>
      <c r="I13" s="78"/>
      <c r="J13" s="78"/>
      <c r="K13" s="79"/>
      <c r="L13" s="80"/>
      <c r="M13" s="80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306" s="129" customFormat="1" x14ac:dyDescent="0.3">
      <c r="A14" s="108" t="s">
        <v>12</v>
      </c>
      <c r="B14" s="126"/>
      <c r="C14" s="126"/>
      <c r="D14" s="126"/>
      <c r="E14" s="126"/>
      <c r="F14" s="127">
        <f>SUM(F10:F13)</f>
        <v>219500</v>
      </c>
      <c r="G14" s="126"/>
      <c r="H14" s="126"/>
      <c r="I14" s="126"/>
      <c r="J14" s="126"/>
      <c r="K14" s="126"/>
      <c r="L14" s="128"/>
      <c r="M14" s="128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</row>
    <row r="15" spans="1:306" ht="16.2" thickBot="1" x14ac:dyDescent="0.35">
      <c r="A15"/>
      <c r="B15"/>
      <c r="C15"/>
      <c r="D15"/>
      <c r="E15"/>
      <c r="F15" s="112"/>
      <c r="G15"/>
      <c r="H15"/>
      <c r="I15"/>
      <c r="J15"/>
      <c r="K15"/>
      <c r="L15" s="88"/>
      <c r="M15" s="88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306" x14ac:dyDescent="0.25">
      <c r="A16" s="235" t="s">
        <v>456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7"/>
      <c r="L16" s="71"/>
      <c r="M16" s="71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x14ac:dyDescent="0.3">
      <c r="A17" s="223" t="s">
        <v>442</v>
      </c>
      <c r="B17" s="225" t="s">
        <v>443</v>
      </c>
      <c r="C17" s="225" t="s">
        <v>444</v>
      </c>
      <c r="D17" s="226" t="s">
        <v>445</v>
      </c>
      <c r="E17" s="225" t="s">
        <v>446</v>
      </c>
      <c r="F17" s="230" t="s">
        <v>447</v>
      </c>
      <c r="G17" s="238"/>
      <c r="H17" s="239"/>
      <c r="I17" s="230" t="s">
        <v>448</v>
      </c>
      <c r="J17" s="231"/>
      <c r="K17" s="227" t="s">
        <v>449</v>
      </c>
      <c r="L17" s="214" t="s">
        <v>450</v>
      </c>
      <c r="M17" s="214" t="s">
        <v>585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24.2" x14ac:dyDescent="0.3">
      <c r="A18" s="224"/>
      <c r="B18" s="214"/>
      <c r="C18" s="214"/>
      <c r="D18" s="226"/>
      <c r="E18" s="214"/>
      <c r="F18" s="113" t="s">
        <v>451</v>
      </c>
      <c r="G18" s="73" t="s">
        <v>452</v>
      </c>
      <c r="H18" s="73" t="s">
        <v>453</v>
      </c>
      <c r="I18" s="73" t="s">
        <v>457</v>
      </c>
      <c r="J18" s="73" t="s">
        <v>455</v>
      </c>
      <c r="K18" s="230"/>
      <c r="L18" s="214"/>
      <c r="M18" s="214"/>
      <c r="N18" s="85"/>
      <c r="O18" s="85"/>
      <c r="P18" s="85"/>
      <c r="Q18" s="85"/>
      <c r="R18" s="85"/>
      <c r="S18" s="85"/>
      <c r="T18" s="86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6"/>
      <c r="AV18" s="87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</row>
    <row r="19" spans="1:68" x14ac:dyDescent="0.3">
      <c r="A19" s="77"/>
      <c r="B19" s="78"/>
      <c r="C19" s="111"/>
      <c r="D19" s="78"/>
      <c r="E19" s="78"/>
      <c r="F19" s="114"/>
      <c r="G19" s="78"/>
      <c r="H19" s="78"/>
      <c r="I19" s="78"/>
      <c r="J19" s="78"/>
      <c r="K19" s="79"/>
      <c r="L19" s="120"/>
      <c r="M19" s="120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x14ac:dyDescent="0.3">
      <c r="A20" s="77"/>
      <c r="B20" s="78"/>
      <c r="C20" s="111"/>
      <c r="D20" s="78"/>
      <c r="E20" s="78"/>
      <c r="F20" s="114"/>
      <c r="G20" s="78"/>
      <c r="H20" s="78"/>
      <c r="I20" s="78"/>
      <c r="J20" s="78"/>
      <c r="K20" s="79"/>
      <c r="L20" s="120"/>
      <c r="M20" s="120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x14ac:dyDescent="0.25">
      <c r="A21" s="77"/>
      <c r="B21" s="78"/>
      <c r="C21" s="78"/>
      <c r="D21" s="78"/>
      <c r="E21" s="78"/>
      <c r="F21" s="114"/>
      <c r="G21" s="78"/>
      <c r="H21" s="78"/>
      <c r="I21" s="78"/>
      <c r="J21" s="78"/>
      <c r="K21" s="79"/>
      <c r="L21" s="80"/>
      <c r="M21" s="80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</row>
    <row r="22" spans="1:68" x14ac:dyDescent="0.25">
      <c r="A22" s="89"/>
      <c r="B22" s="90"/>
      <c r="C22" s="90"/>
      <c r="D22" s="90"/>
      <c r="E22" s="90"/>
      <c r="F22" s="115"/>
      <c r="G22" s="90"/>
      <c r="H22" s="90"/>
      <c r="I22" s="90"/>
      <c r="J22" s="90"/>
      <c r="K22" s="91"/>
      <c r="L22" s="80"/>
      <c r="M22" s="80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x14ac:dyDescent="0.3">
      <c r="A23" s="122" t="s">
        <v>12</v>
      </c>
      <c r="B23" s="123"/>
      <c r="C23" s="123"/>
      <c r="D23" s="123"/>
      <c r="E23" s="123"/>
      <c r="F23" s="125">
        <f>SUM(F19:F22)</f>
        <v>0</v>
      </c>
      <c r="G23" s="123"/>
      <c r="H23" s="123"/>
      <c r="I23" s="123"/>
      <c r="J23" s="123"/>
      <c r="K23" s="123"/>
      <c r="L23" s="124"/>
      <c r="M23" s="124"/>
      <c r="N23" s="92"/>
      <c r="O23" s="92"/>
      <c r="P23" s="92"/>
      <c r="Q23" s="92"/>
      <c r="R23" s="92"/>
      <c r="S23" s="92"/>
      <c r="T23" s="93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3"/>
      <c r="AV23" s="94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</row>
    <row r="24" spans="1:68" ht="16.2" thickBot="1" x14ac:dyDescent="0.35">
      <c r="A24"/>
      <c r="B24"/>
      <c r="C24"/>
      <c r="D24"/>
      <c r="E24"/>
      <c r="F24" s="112"/>
      <c r="G24"/>
      <c r="H24"/>
      <c r="I24"/>
      <c r="J24"/>
      <c r="K24"/>
      <c r="L24"/>
      <c r="M24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1:68" x14ac:dyDescent="0.25">
      <c r="A25" s="235" t="s">
        <v>458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40"/>
      <c r="L25" s="71"/>
      <c r="M25" s="7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</row>
    <row r="26" spans="1:68" x14ac:dyDescent="0.3">
      <c r="A26" s="223" t="s">
        <v>442</v>
      </c>
      <c r="B26" s="225" t="s">
        <v>443</v>
      </c>
      <c r="C26" s="225" t="s">
        <v>444</v>
      </c>
      <c r="D26" s="226" t="s">
        <v>445</v>
      </c>
      <c r="E26" s="225" t="s">
        <v>446</v>
      </c>
      <c r="F26" s="230" t="s">
        <v>447</v>
      </c>
      <c r="G26" s="238"/>
      <c r="H26" s="239"/>
      <c r="I26" s="230" t="s">
        <v>448</v>
      </c>
      <c r="J26" s="231"/>
      <c r="K26" s="227" t="s">
        <v>449</v>
      </c>
      <c r="L26" s="214" t="s">
        <v>450</v>
      </c>
      <c r="M26" s="214" t="s">
        <v>585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124.2" x14ac:dyDescent="0.3">
      <c r="A27" s="224"/>
      <c r="B27" s="214"/>
      <c r="C27" s="214"/>
      <c r="D27" s="226"/>
      <c r="E27" s="214"/>
      <c r="F27" s="113" t="s">
        <v>451</v>
      </c>
      <c r="G27" s="73" t="s">
        <v>452</v>
      </c>
      <c r="H27" s="73" t="s">
        <v>453</v>
      </c>
      <c r="I27" s="73" t="s">
        <v>459</v>
      </c>
      <c r="J27" s="73" t="s">
        <v>460</v>
      </c>
      <c r="K27" s="230"/>
      <c r="L27" s="214"/>
      <c r="M27" s="214"/>
      <c r="N27" s="92"/>
      <c r="O27" s="92"/>
      <c r="P27" s="92"/>
      <c r="Q27" s="92"/>
      <c r="R27" s="92"/>
      <c r="S27" s="92"/>
      <c r="T27" s="93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3"/>
      <c r="AV27" s="94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</row>
    <row r="28" spans="1:68" ht="27.6" x14ac:dyDescent="0.3">
      <c r="A28" s="77"/>
      <c r="B28" s="78" t="s">
        <v>490</v>
      </c>
      <c r="C28" s="206" t="s">
        <v>398</v>
      </c>
      <c r="D28" s="78" t="s">
        <v>483</v>
      </c>
      <c r="E28" s="78" t="s">
        <v>478</v>
      </c>
      <c r="F28" s="114">
        <f>'PEP-Budget par produit'!D29</f>
        <v>5250000</v>
      </c>
      <c r="G28" s="78">
        <v>100</v>
      </c>
      <c r="H28" s="78"/>
      <c r="I28" s="78">
        <v>2017</v>
      </c>
      <c r="J28" s="78">
        <v>2017</v>
      </c>
      <c r="K28" s="79"/>
      <c r="L28" s="119" t="s">
        <v>492</v>
      </c>
      <c r="M28" s="119" t="s">
        <v>586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1:68" ht="27.6" x14ac:dyDescent="0.3">
      <c r="A29" s="77"/>
      <c r="B29" s="78" t="s">
        <v>490</v>
      </c>
      <c r="C29" s="206" t="s">
        <v>479</v>
      </c>
      <c r="D29" s="78" t="s">
        <v>482</v>
      </c>
      <c r="E29" s="78" t="s">
        <v>478</v>
      </c>
      <c r="F29" s="114">
        <f>'PEP-Budget par produit'!D30</f>
        <v>520000</v>
      </c>
      <c r="G29" s="78">
        <v>100</v>
      </c>
      <c r="H29" s="78"/>
      <c r="I29" s="78">
        <v>2017</v>
      </c>
      <c r="J29" s="78">
        <v>2018</v>
      </c>
      <c r="K29" s="79"/>
      <c r="L29" s="119" t="s">
        <v>492</v>
      </c>
      <c r="M29" s="119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</row>
    <row r="30" spans="1:68" ht="27.6" x14ac:dyDescent="0.3">
      <c r="A30" s="77"/>
      <c r="B30" s="78" t="s">
        <v>490</v>
      </c>
      <c r="C30" s="206" t="s">
        <v>480</v>
      </c>
      <c r="D30" s="78" t="s">
        <v>483</v>
      </c>
      <c r="E30" s="78" t="s">
        <v>478</v>
      </c>
      <c r="F30" s="114">
        <f>'PEP-Budget par produit'!D31</f>
        <v>380000</v>
      </c>
      <c r="G30" s="78">
        <v>100</v>
      </c>
      <c r="H30" s="78"/>
      <c r="I30" s="78">
        <v>2017</v>
      </c>
      <c r="J30" s="78">
        <v>2017</v>
      </c>
      <c r="K30" s="79"/>
      <c r="L30" s="119" t="s">
        <v>492</v>
      </c>
      <c r="M30" s="119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</row>
    <row r="31" spans="1:68" ht="27.6" x14ac:dyDescent="0.3">
      <c r="A31" s="77"/>
      <c r="B31" s="78" t="s">
        <v>490</v>
      </c>
      <c r="C31" s="206" t="s">
        <v>481</v>
      </c>
      <c r="D31" s="78" t="s">
        <v>483</v>
      </c>
      <c r="E31" s="78" t="s">
        <v>478</v>
      </c>
      <c r="F31" s="114">
        <f>'PEP-Budget par produit'!D32</f>
        <v>400000</v>
      </c>
      <c r="G31" s="78">
        <v>100</v>
      </c>
      <c r="H31" s="78"/>
      <c r="I31" s="78">
        <v>2017</v>
      </c>
      <c r="J31" s="78">
        <v>2017</v>
      </c>
      <c r="K31" s="79"/>
      <c r="L31" s="119" t="s">
        <v>492</v>
      </c>
      <c r="M31" s="119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</row>
    <row r="32" spans="1:68" ht="27.6" x14ac:dyDescent="0.3">
      <c r="A32" s="77"/>
      <c r="B32" s="78" t="s">
        <v>490</v>
      </c>
      <c r="C32" s="206" t="s">
        <v>495</v>
      </c>
      <c r="D32" s="78" t="s">
        <v>482</v>
      </c>
      <c r="E32" s="78" t="s">
        <v>478</v>
      </c>
      <c r="F32" s="114">
        <f>'PEP-Budget par produit'!D33</f>
        <v>200000</v>
      </c>
      <c r="G32" s="78">
        <v>100</v>
      </c>
      <c r="H32" s="78"/>
      <c r="I32" s="78">
        <v>2017</v>
      </c>
      <c r="J32" s="78">
        <v>2018</v>
      </c>
      <c r="K32" s="79"/>
      <c r="L32" s="119" t="s">
        <v>492</v>
      </c>
      <c r="M32" s="119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</row>
    <row r="33" spans="1:68" ht="27.6" x14ac:dyDescent="0.3">
      <c r="A33" s="77"/>
      <c r="B33" s="78" t="s">
        <v>494</v>
      </c>
      <c r="C33" s="206" t="s">
        <v>493</v>
      </c>
      <c r="D33" s="78" t="s">
        <v>483</v>
      </c>
      <c r="E33" s="78" t="s">
        <v>478</v>
      </c>
      <c r="F33" s="114">
        <v>4500000</v>
      </c>
      <c r="G33" s="78">
        <v>100</v>
      </c>
      <c r="H33" s="78"/>
      <c r="I33" s="78">
        <v>2017</v>
      </c>
      <c r="J33" s="78">
        <v>2017</v>
      </c>
      <c r="K33" s="79"/>
      <c r="L33" s="119" t="s">
        <v>492</v>
      </c>
      <c r="M33" s="119" t="s">
        <v>586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</row>
    <row r="34" spans="1:68" ht="27.6" x14ac:dyDescent="0.3">
      <c r="A34" s="77"/>
      <c r="B34" s="78" t="s">
        <v>511</v>
      </c>
      <c r="C34" s="206" t="s">
        <v>502</v>
      </c>
      <c r="D34" s="78" t="s">
        <v>483</v>
      </c>
      <c r="E34" s="78" t="s">
        <v>478</v>
      </c>
      <c r="F34" s="114">
        <f>'PEP-Budget par produit'!Q6</f>
        <v>1528000</v>
      </c>
      <c r="G34" s="78">
        <v>100</v>
      </c>
      <c r="H34" s="78"/>
      <c r="I34" s="78">
        <v>2017</v>
      </c>
      <c r="J34" s="78">
        <v>2017</v>
      </c>
      <c r="K34" s="79"/>
      <c r="L34" s="119" t="s">
        <v>492</v>
      </c>
      <c r="M34" s="119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</row>
    <row r="35" spans="1:68" ht="27.6" x14ac:dyDescent="0.3">
      <c r="A35" s="77"/>
      <c r="B35" s="78" t="s">
        <v>511</v>
      </c>
      <c r="C35" s="111" t="s">
        <v>503</v>
      </c>
      <c r="D35" s="78" t="s">
        <v>483</v>
      </c>
      <c r="E35" s="78" t="s">
        <v>478</v>
      </c>
      <c r="F35" s="114">
        <f>'PEP-Budget par produit'!Q7</f>
        <v>1490000</v>
      </c>
      <c r="G35" s="78">
        <v>100</v>
      </c>
      <c r="H35" s="78"/>
      <c r="I35" s="78">
        <v>2017</v>
      </c>
      <c r="J35" s="78">
        <v>2017</v>
      </c>
      <c r="K35" s="79"/>
      <c r="L35" s="119" t="s">
        <v>492</v>
      </c>
      <c r="M35" s="119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</row>
    <row r="36" spans="1:68" ht="27.6" x14ac:dyDescent="0.3">
      <c r="A36" s="77"/>
      <c r="B36" s="78" t="s">
        <v>511</v>
      </c>
      <c r="C36" s="111" t="s">
        <v>504</v>
      </c>
      <c r="D36" s="78" t="s">
        <v>483</v>
      </c>
      <c r="E36" s="78" t="s">
        <v>478</v>
      </c>
      <c r="F36" s="114">
        <f>'PEP-Budget par produit'!Q8</f>
        <v>1350000</v>
      </c>
      <c r="G36" s="78">
        <v>100</v>
      </c>
      <c r="H36" s="78"/>
      <c r="I36" s="78">
        <v>2017</v>
      </c>
      <c r="J36" s="78">
        <v>2017</v>
      </c>
      <c r="K36" s="79"/>
      <c r="L36" s="119" t="s">
        <v>492</v>
      </c>
      <c r="M36" s="119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</row>
    <row r="37" spans="1:68" ht="28.8" x14ac:dyDescent="0.3">
      <c r="A37" s="77"/>
      <c r="B37" s="78" t="s">
        <v>511</v>
      </c>
      <c r="C37" s="111" t="s">
        <v>505</v>
      </c>
      <c r="D37" s="78" t="s">
        <v>483</v>
      </c>
      <c r="E37" s="78" t="s">
        <v>478</v>
      </c>
      <c r="F37" s="114">
        <f>'PEP-Budget par produit'!Q9</f>
        <v>1000000</v>
      </c>
      <c r="G37" s="78">
        <v>100</v>
      </c>
      <c r="H37" s="78"/>
      <c r="I37" s="78">
        <v>2017</v>
      </c>
      <c r="J37" s="78">
        <v>2017</v>
      </c>
      <c r="K37" s="79"/>
      <c r="L37" s="119" t="s">
        <v>492</v>
      </c>
      <c r="M37" s="119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</row>
    <row r="38" spans="1:68" ht="28.8" x14ac:dyDescent="0.3">
      <c r="A38" s="77"/>
      <c r="B38" s="78" t="s">
        <v>511</v>
      </c>
      <c r="C38" s="111" t="s">
        <v>506</v>
      </c>
      <c r="D38" s="78" t="s">
        <v>483</v>
      </c>
      <c r="E38" s="78" t="s">
        <v>478</v>
      </c>
      <c r="F38" s="114">
        <f>'PEP-Budget par produit'!Q10</f>
        <v>1000000</v>
      </c>
      <c r="G38" s="78">
        <v>100</v>
      </c>
      <c r="H38" s="78"/>
      <c r="I38" s="78">
        <v>2017</v>
      </c>
      <c r="J38" s="78">
        <v>2017</v>
      </c>
      <c r="K38" s="79"/>
      <c r="L38" s="119" t="s">
        <v>492</v>
      </c>
      <c r="M38" s="119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</row>
    <row r="39" spans="1:68" ht="28.8" x14ac:dyDescent="0.3">
      <c r="A39" s="77"/>
      <c r="B39" s="78" t="s">
        <v>511</v>
      </c>
      <c r="C39" s="111" t="s">
        <v>507</v>
      </c>
      <c r="D39" s="78" t="s">
        <v>483</v>
      </c>
      <c r="E39" s="78" t="s">
        <v>478</v>
      </c>
      <c r="F39" s="114">
        <f>'PEP-Budget par produit'!Q11</f>
        <v>750000</v>
      </c>
      <c r="G39" s="78">
        <v>100</v>
      </c>
      <c r="H39" s="78"/>
      <c r="I39" s="78">
        <v>2017</v>
      </c>
      <c r="J39" s="78">
        <v>2017</v>
      </c>
      <c r="K39" s="79"/>
      <c r="L39" s="119" t="s">
        <v>492</v>
      </c>
      <c r="M39" s="119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</row>
    <row r="40" spans="1:68" ht="28.8" x14ac:dyDescent="0.3">
      <c r="A40" s="77"/>
      <c r="B40" s="78" t="s">
        <v>511</v>
      </c>
      <c r="C40" s="111" t="s">
        <v>508</v>
      </c>
      <c r="D40" s="78" t="s">
        <v>483</v>
      </c>
      <c r="E40" s="78" t="s">
        <v>478</v>
      </c>
      <c r="F40" s="114">
        <f>'PEP-Budget par produit'!Q12</f>
        <v>1200000</v>
      </c>
      <c r="G40" s="78">
        <v>100</v>
      </c>
      <c r="H40" s="78"/>
      <c r="I40" s="78">
        <v>2017</v>
      </c>
      <c r="J40" s="78">
        <v>2017</v>
      </c>
      <c r="K40" s="79"/>
      <c r="L40" s="119" t="s">
        <v>492</v>
      </c>
      <c r="M40" s="11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</row>
    <row r="41" spans="1:68" ht="28.8" x14ac:dyDescent="0.3">
      <c r="A41" s="77"/>
      <c r="B41" s="78" t="s">
        <v>511</v>
      </c>
      <c r="C41" s="111" t="s">
        <v>509</v>
      </c>
      <c r="D41" s="78" t="s">
        <v>483</v>
      </c>
      <c r="E41" s="78" t="s">
        <v>478</v>
      </c>
      <c r="F41" s="114">
        <f>'PEP-Budget par produit'!Q13</f>
        <v>800000</v>
      </c>
      <c r="G41" s="78">
        <v>100</v>
      </c>
      <c r="H41" s="78"/>
      <c r="I41" s="78">
        <v>2017</v>
      </c>
      <c r="J41" s="78">
        <v>2017</v>
      </c>
      <c r="K41" s="79"/>
      <c r="L41" s="119" t="s">
        <v>492</v>
      </c>
      <c r="M41" s="119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</row>
    <row r="42" spans="1:68" ht="27.6" x14ac:dyDescent="0.3">
      <c r="A42" s="77"/>
      <c r="B42" s="78" t="s">
        <v>511</v>
      </c>
      <c r="C42" s="111" t="str">
        <f>'PEP-Budget par produit'!B14</f>
        <v>Autres projets ouverts (ex:céréales, petit équipement agricole ou autres)</v>
      </c>
      <c r="D42" s="78" t="s">
        <v>483</v>
      </c>
      <c r="E42" s="78" t="s">
        <v>478</v>
      </c>
      <c r="F42" s="114">
        <f>'PEP-Budget par produit'!Q14</f>
        <v>1830000</v>
      </c>
      <c r="G42" s="78">
        <v>100</v>
      </c>
      <c r="H42" s="78"/>
      <c r="I42" s="78">
        <v>2017</v>
      </c>
      <c r="J42" s="78">
        <v>2017</v>
      </c>
      <c r="K42" s="79"/>
      <c r="L42" s="119" t="s">
        <v>492</v>
      </c>
      <c r="M42" s="119" t="s">
        <v>588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</row>
    <row r="43" spans="1:68" ht="27.6" x14ac:dyDescent="0.3">
      <c r="A43" s="77"/>
      <c r="B43" s="78" t="s">
        <v>511</v>
      </c>
      <c r="C43" s="111" t="str">
        <f>'PEP-Budget par produit'!B15</f>
        <v>Autres petits projets innovants (appels ouverts)</v>
      </c>
      <c r="D43" s="78" t="s">
        <v>483</v>
      </c>
      <c r="E43" s="78" t="s">
        <v>478</v>
      </c>
      <c r="F43" s="114">
        <f>'PEP-Budget par produit'!Q15</f>
        <v>1250000</v>
      </c>
      <c r="G43" s="78">
        <v>100</v>
      </c>
      <c r="H43" s="78"/>
      <c r="I43" s="78">
        <v>2017</v>
      </c>
      <c r="J43" s="78">
        <v>2017</v>
      </c>
      <c r="K43" s="79"/>
      <c r="L43" s="119" t="s">
        <v>492</v>
      </c>
      <c r="M43" s="119" t="s">
        <v>588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</row>
    <row r="44" spans="1:68" s="121" customFormat="1" ht="27.6" x14ac:dyDescent="0.3">
      <c r="A44" s="77"/>
      <c r="B44" s="78" t="s">
        <v>501</v>
      </c>
      <c r="C44" s="111" t="s">
        <v>500</v>
      </c>
      <c r="D44" s="78" t="s">
        <v>483</v>
      </c>
      <c r="E44" s="78" t="s">
        <v>484</v>
      </c>
      <c r="F44" s="114">
        <v>540000</v>
      </c>
      <c r="G44" s="78">
        <v>100</v>
      </c>
      <c r="H44" s="78"/>
      <c r="I44" s="78">
        <v>2017</v>
      </c>
      <c r="J44" s="78">
        <v>2017</v>
      </c>
      <c r="K44" s="79"/>
      <c r="L44" s="119" t="s">
        <v>492</v>
      </c>
      <c r="M44" s="119"/>
    </row>
    <row r="45" spans="1:68" x14ac:dyDescent="0.3">
      <c r="A45" s="77"/>
      <c r="B45" s="78"/>
      <c r="C45" s="78"/>
      <c r="D45" s="78"/>
      <c r="E45" s="78"/>
      <c r="F45" s="114"/>
      <c r="G45" s="78"/>
      <c r="H45" s="78"/>
      <c r="I45" s="78"/>
      <c r="J45" s="78"/>
      <c r="K45" s="79"/>
      <c r="L45" s="1"/>
      <c r="M45" s="1"/>
      <c r="N45" s="92"/>
      <c r="O45" s="92"/>
      <c r="P45" s="92"/>
      <c r="Q45" s="92"/>
      <c r="R45" s="92"/>
      <c r="S45" s="92"/>
      <c r="T45" s="93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3"/>
      <c r="AV45" s="94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</row>
    <row r="46" spans="1:68" x14ac:dyDescent="0.3">
      <c r="A46" s="108" t="s">
        <v>12</v>
      </c>
      <c r="B46" s="109"/>
      <c r="C46" s="109"/>
      <c r="D46" s="109"/>
      <c r="E46" s="109"/>
      <c r="F46" s="130">
        <f>SUM(F28:F45)</f>
        <v>23988000</v>
      </c>
      <c r="G46" s="109"/>
      <c r="H46" s="109"/>
      <c r="I46" s="109"/>
      <c r="J46" s="109"/>
      <c r="K46" s="109"/>
      <c r="L46" s="110"/>
      <c r="M46" s="110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</row>
    <row r="47" spans="1:68" ht="16.2" thickBot="1" x14ac:dyDescent="0.35">
      <c r="A47"/>
      <c r="B47"/>
      <c r="C47"/>
      <c r="D47"/>
      <c r="E47"/>
      <c r="F47" s="112"/>
      <c r="G47"/>
      <c r="H47"/>
      <c r="I47"/>
      <c r="J47"/>
      <c r="K47"/>
      <c r="L47"/>
      <c r="M47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</row>
    <row r="48" spans="1:68" x14ac:dyDescent="0.3">
      <c r="A48" s="244" t="s">
        <v>461</v>
      </c>
      <c r="B48" s="245"/>
      <c r="C48" s="245"/>
      <c r="D48" s="245"/>
      <c r="E48" s="245"/>
      <c r="F48" s="245"/>
      <c r="G48" s="245"/>
      <c r="H48" s="245"/>
      <c r="I48" s="246"/>
      <c r="J48" s="221"/>
      <c r="K48" s="221"/>
      <c r="L48" s="221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</row>
    <row r="49" spans="1:68" x14ac:dyDescent="0.3">
      <c r="A49" s="223" t="s">
        <v>442</v>
      </c>
      <c r="B49" s="225" t="s">
        <v>443</v>
      </c>
      <c r="C49" s="225" t="s">
        <v>444</v>
      </c>
      <c r="D49" s="226" t="s">
        <v>445</v>
      </c>
      <c r="E49" s="225" t="s">
        <v>446</v>
      </c>
      <c r="F49" s="230" t="s">
        <v>447</v>
      </c>
      <c r="G49" s="238"/>
      <c r="H49" s="239"/>
      <c r="I49" s="230" t="s">
        <v>448</v>
      </c>
      <c r="J49" s="231"/>
      <c r="K49" s="227" t="s">
        <v>449</v>
      </c>
      <c r="L49" s="214" t="s">
        <v>450</v>
      </c>
      <c r="M49" s="214" t="s">
        <v>585</v>
      </c>
      <c r="N49" s="95"/>
      <c r="O49" s="95"/>
      <c r="P49" s="95"/>
      <c r="Q49" s="95"/>
      <c r="R49" s="95"/>
      <c r="S49" s="95"/>
      <c r="T49" s="8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86"/>
      <c r="AV49" s="96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ht="124.2" x14ac:dyDescent="0.3">
      <c r="A50" s="224"/>
      <c r="B50" s="214"/>
      <c r="C50" s="214"/>
      <c r="D50" s="226"/>
      <c r="E50" s="214"/>
      <c r="F50" s="113" t="s">
        <v>451</v>
      </c>
      <c r="G50" s="73" t="s">
        <v>452</v>
      </c>
      <c r="H50" s="73" t="s">
        <v>453</v>
      </c>
      <c r="I50" s="73" t="s">
        <v>462</v>
      </c>
      <c r="J50" s="73" t="s">
        <v>455</v>
      </c>
      <c r="K50" s="230"/>
      <c r="L50" s="214"/>
      <c r="M50" s="214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</row>
    <row r="51" spans="1:68" x14ac:dyDescent="0.3">
      <c r="A51" s="77"/>
      <c r="B51" s="78" t="s">
        <v>497</v>
      </c>
      <c r="C51" s="111" t="s">
        <v>496</v>
      </c>
      <c r="D51" s="78" t="s">
        <v>510</v>
      </c>
      <c r="E51" s="78" t="s">
        <v>478</v>
      </c>
      <c r="F51" s="114">
        <v>30000</v>
      </c>
      <c r="G51" s="78">
        <v>100</v>
      </c>
      <c r="H51" s="78"/>
      <c r="I51" s="97">
        <v>2017</v>
      </c>
      <c r="J51" s="98">
        <v>2017</v>
      </c>
      <c r="K51" s="1"/>
      <c r="L51" s="119" t="s">
        <v>492</v>
      </c>
      <c r="M51" s="119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</row>
    <row r="52" spans="1:68" x14ac:dyDescent="0.3">
      <c r="A52" s="77"/>
      <c r="B52" s="78"/>
      <c r="C52" s="78"/>
      <c r="D52" s="78"/>
      <c r="E52" s="78"/>
      <c r="F52" s="114"/>
      <c r="G52" s="78" t="s">
        <v>485</v>
      </c>
      <c r="H52" s="78"/>
      <c r="I52" s="97"/>
      <c r="J52" s="98"/>
      <c r="K52" s="1"/>
      <c r="L52" s="1"/>
      <c r="M52" s="1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</row>
    <row r="53" spans="1:68" x14ac:dyDescent="0.3">
      <c r="A53" s="108" t="s">
        <v>12</v>
      </c>
      <c r="B53" s="109"/>
      <c r="C53" s="109"/>
      <c r="D53" s="109"/>
      <c r="E53" s="109"/>
      <c r="F53" s="130">
        <f>SUM(F51:F52)</f>
        <v>30000</v>
      </c>
      <c r="G53" s="109"/>
      <c r="H53" s="109"/>
      <c r="I53" s="109"/>
      <c r="J53" s="109"/>
      <c r="K53" s="109"/>
      <c r="L53" s="110"/>
      <c r="M53" s="110"/>
      <c r="N53" s="99"/>
      <c r="O53" s="99"/>
      <c r="P53" s="99"/>
      <c r="Q53" s="99"/>
      <c r="R53" s="99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</row>
    <row r="54" spans="1:68" x14ac:dyDescent="0.3">
      <c r="A54"/>
      <c r="B54"/>
      <c r="C54"/>
      <c r="D54"/>
      <c r="E54"/>
      <c r="F54" s="112"/>
      <c r="G54"/>
      <c r="H54"/>
      <c r="I54"/>
      <c r="J54"/>
      <c r="K54"/>
      <c r="L54"/>
      <c r="M54"/>
      <c r="N54" s="101"/>
      <c r="O54" s="101"/>
      <c r="P54" s="101"/>
      <c r="Q54" s="101"/>
      <c r="R54" s="101"/>
      <c r="S54" s="101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</row>
    <row r="55" spans="1:68" x14ac:dyDescent="0.3">
      <c r="A55" s="222" t="s">
        <v>463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3"/>
      <c r="M55" s="102"/>
      <c r="N55" s="102"/>
      <c r="O55" s="102"/>
      <c r="P55" s="102"/>
      <c r="Q55" s="102"/>
      <c r="R55" s="102"/>
      <c r="S55" s="102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</row>
    <row r="56" spans="1:68" x14ac:dyDescent="0.3">
      <c r="A56" s="223" t="s">
        <v>442</v>
      </c>
      <c r="B56" s="225" t="s">
        <v>443</v>
      </c>
      <c r="C56" s="225" t="s">
        <v>444</v>
      </c>
      <c r="D56" s="226" t="s">
        <v>445</v>
      </c>
      <c r="E56" s="225" t="s">
        <v>446</v>
      </c>
      <c r="F56" s="247" t="s">
        <v>447</v>
      </c>
      <c r="G56" s="238"/>
      <c r="H56" s="239"/>
      <c r="I56" s="214" t="s">
        <v>448</v>
      </c>
      <c r="J56" s="214"/>
      <c r="K56" s="227" t="s">
        <v>449</v>
      </c>
      <c r="L56" s="214" t="s">
        <v>450</v>
      </c>
      <c r="M56" s="214" t="s">
        <v>585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</row>
    <row r="57" spans="1:68" ht="69" x14ac:dyDescent="0.3">
      <c r="A57" s="224"/>
      <c r="B57" s="214"/>
      <c r="C57" s="214"/>
      <c r="D57" s="226"/>
      <c r="E57" s="214"/>
      <c r="F57" s="113" t="s">
        <v>451</v>
      </c>
      <c r="G57" s="73" t="s">
        <v>452</v>
      </c>
      <c r="H57" s="73" t="s">
        <v>453</v>
      </c>
      <c r="I57" s="73" t="s">
        <v>464</v>
      </c>
      <c r="J57" s="104" t="s">
        <v>465</v>
      </c>
      <c r="K57" s="230"/>
      <c r="L57" s="214"/>
      <c r="M57" s="214"/>
    </row>
    <row r="58" spans="1:68" ht="27.6" x14ac:dyDescent="0.3">
      <c r="A58" s="77"/>
      <c r="B58" s="78" t="s">
        <v>490</v>
      </c>
      <c r="C58" s="111" t="s">
        <v>487</v>
      </c>
      <c r="D58" s="78" t="s">
        <v>486</v>
      </c>
      <c r="E58" s="78" t="s">
        <v>484</v>
      </c>
      <c r="F58" s="114">
        <v>50000</v>
      </c>
      <c r="G58" s="78">
        <v>100</v>
      </c>
      <c r="H58" s="78"/>
      <c r="I58" s="78">
        <v>2017</v>
      </c>
      <c r="J58" s="78">
        <v>2017</v>
      </c>
      <c r="K58" s="79"/>
      <c r="L58" s="119" t="s">
        <v>492</v>
      </c>
      <c r="M58" s="119"/>
    </row>
    <row r="59" spans="1:68" s="121" customFormat="1" ht="27.6" x14ac:dyDescent="0.3">
      <c r="A59" s="77"/>
      <c r="B59" s="78" t="s">
        <v>490</v>
      </c>
      <c r="C59" s="111" t="s">
        <v>489</v>
      </c>
      <c r="D59" s="78" t="s">
        <v>488</v>
      </c>
      <c r="E59" s="78" t="s">
        <v>484</v>
      </c>
      <c r="F59" s="114">
        <f>2000*13</f>
        <v>26000</v>
      </c>
      <c r="G59" s="78">
        <v>100</v>
      </c>
      <c r="H59" s="78"/>
      <c r="I59" s="78">
        <v>2017</v>
      </c>
      <c r="J59" s="78">
        <v>2017</v>
      </c>
      <c r="K59" s="79"/>
      <c r="L59" s="119" t="s">
        <v>492</v>
      </c>
      <c r="M59" s="119"/>
    </row>
    <row r="60" spans="1:68" s="121" customFormat="1" ht="27.6" x14ac:dyDescent="0.3">
      <c r="A60" s="77"/>
      <c r="B60" s="78" t="s">
        <v>490</v>
      </c>
      <c r="C60" s="111" t="s">
        <v>491</v>
      </c>
      <c r="D60" s="78" t="s">
        <v>486</v>
      </c>
      <c r="E60" s="78" t="s">
        <v>484</v>
      </c>
      <c r="F60" s="114">
        <v>50000</v>
      </c>
      <c r="G60" s="78">
        <v>100</v>
      </c>
      <c r="H60" s="78"/>
      <c r="I60" s="78">
        <v>2017</v>
      </c>
      <c r="J60" s="78">
        <v>2017</v>
      </c>
      <c r="K60" s="79"/>
      <c r="L60" s="119" t="s">
        <v>492</v>
      </c>
      <c r="M60" s="119"/>
    </row>
    <row r="61" spans="1:68" s="121" customFormat="1" ht="27.6" x14ac:dyDescent="0.3">
      <c r="A61" s="77"/>
      <c r="B61" s="78" t="s">
        <v>490</v>
      </c>
      <c r="C61" s="111" t="s">
        <v>587</v>
      </c>
      <c r="D61" s="78" t="s">
        <v>486</v>
      </c>
      <c r="E61" s="78" t="s">
        <v>484</v>
      </c>
      <c r="F61" s="114">
        <v>250000</v>
      </c>
      <c r="G61" s="78">
        <v>100</v>
      </c>
      <c r="H61" s="78"/>
      <c r="I61" s="78">
        <v>2017</v>
      </c>
      <c r="J61" s="78">
        <v>2017</v>
      </c>
      <c r="K61" s="79"/>
      <c r="L61" s="119" t="s">
        <v>492</v>
      </c>
      <c r="M61" s="119" t="s">
        <v>588</v>
      </c>
    </row>
    <row r="62" spans="1:68" s="121" customFormat="1" ht="27.6" x14ac:dyDescent="0.3">
      <c r="A62" s="77"/>
      <c r="B62" s="78" t="s">
        <v>501</v>
      </c>
      <c r="C62" s="111" t="s">
        <v>498</v>
      </c>
      <c r="D62" s="78" t="s">
        <v>488</v>
      </c>
      <c r="E62" s="78" t="s">
        <v>484</v>
      </c>
      <c r="F62" s="114">
        <f>3000*13</f>
        <v>39000</v>
      </c>
      <c r="G62" s="78">
        <v>100</v>
      </c>
      <c r="H62" s="78"/>
      <c r="I62" s="78">
        <v>2017</v>
      </c>
      <c r="J62" s="78">
        <v>2017</v>
      </c>
      <c r="K62" s="79"/>
      <c r="L62" s="119" t="s">
        <v>492</v>
      </c>
      <c r="M62" s="119"/>
    </row>
    <row r="63" spans="1:68" s="121" customFormat="1" ht="27.6" x14ac:dyDescent="0.3">
      <c r="A63" s="77"/>
      <c r="B63" s="78" t="s">
        <v>501</v>
      </c>
      <c r="C63" s="111" t="s">
        <v>499</v>
      </c>
      <c r="D63" s="78" t="s">
        <v>488</v>
      </c>
      <c r="E63" s="78" t="s">
        <v>484</v>
      </c>
      <c r="F63" s="114">
        <f>'PEP-Budget par produit'!K19</f>
        <v>97500</v>
      </c>
      <c r="G63" s="78">
        <v>100</v>
      </c>
      <c r="H63" s="78"/>
      <c r="I63" s="78">
        <v>2017</v>
      </c>
      <c r="J63" s="78">
        <v>2017</v>
      </c>
      <c r="K63" s="79"/>
      <c r="L63" s="119" t="s">
        <v>492</v>
      </c>
      <c r="M63" s="119" t="s">
        <v>588</v>
      </c>
    </row>
    <row r="64" spans="1:68" s="121" customFormat="1" ht="27.6" x14ac:dyDescent="0.3">
      <c r="A64" s="77"/>
      <c r="B64" s="78" t="s">
        <v>490</v>
      </c>
      <c r="C64" s="111" t="s">
        <v>589</v>
      </c>
      <c r="D64" s="78" t="s">
        <v>486</v>
      </c>
      <c r="E64" s="78" t="s">
        <v>484</v>
      </c>
      <c r="F64" s="114">
        <f>'PEP-Budget par produit'!D41</f>
        <v>149095</v>
      </c>
      <c r="G64" s="78">
        <v>100</v>
      </c>
      <c r="H64" s="78"/>
      <c r="I64" s="78">
        <v>2017</v>
      </c>
      <c r="J64" s="78">
        <v>2017</v>
      </c>
      <c r="K64" s="79"/>
      <c r="L64" s="119" t="s">
        <v>492</v>
      </c>
      <c r="M64" s="119" t="s">
        <v>588</v>
      </c>
    </row>
    <row r="65" spans="1:13" x14ac:dyDescent="0.3">
      <c r="A65" s="77"/>
      <c r="B65" s="78" t="s">
        <v>9</v>
      </c>
      <c r="C65" s="111" t="s">
        <v>590</v>
      </c>
      <c r="D65" s="78" t="s">
        <v>591</v>
      </c>
      <c r="E65" s="78" t="s">
        <v>484</v>
      </c>
      <c r="F65" s="114">
        <v>200000</v>
      </c>
      <c r="G65" s="78">
        <v>100</v>
      </c>
      <c r="H65" s="78"/>
      <c r="I65" s="78">
        <v>2017</v>
      </c>
      <c r="J65" s="78">
        <v>2017</v>
      </c>
      <c r="K65" s="79"/>
      <c r="L65" s="119" t="s">
        <v>492</v>
      </c>
      <c r="M65" s="119" t="s">
        <v>588</v>
      </c>
    </row>
    <row r="66" spans="1:13" x14ac:dyDescent="0.3">
      <c r="A66" s="108" t="s">
        <v>12</v>
      </c>
      <c r="B66" s="109"/>
      <c r="C66" s="109"/>
      <c r="D66" s="109"/>
      <c r="E66" s="109"/>
      <c r="F66" s="130">
        <f>SUM(F58:F65)</f>
        <v>861595</v>
      </c>
      <c r="G66" s="109"/>
      <c r="H66" s="109"/>
      <c r="I66" s="109"/>
      <c r="J66" s="109"/>
      <c r="K66" s="109"/>
      <c r="L66" s="110"/>
      <c r="M66" s="110"/>
    </row>
    <row r="67" spans="1:13" x14ac:dyDescent="0.3">
      <c r="A67"/>
      <c r="B67"/>
      <c r="C67"/>
      <c r="D67"/>
      <c r="E67"/>
      <c r="F67" s="112"/>
      <c r="G67"/>
      <c r="H67"/>
      <c r="I67"/>
      <c r="J67"/>
      <c r="K67"/>
      <c r="L67"/>
      <c r="M67"/>
    </row>
    <row r="68" spans="1:13" x14ac:dyDescent="0.3">
      <c r="A68" s="222" t="s">
        <v>466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3"/>
    </row>
    <row r="69" spans="1:13" x14ac:dyDescent="0.3">
      <c r="A69" s="223" t="s">
        <v>442</v>
      </c>
      <c r="B69" s="225" t="s">
        <v>443</v>
      </c>
      <c r="C69" s="225" t="s">
        <v>444</v>
      </c>
      <c r="D69" s="226" t="s">
        <v>445</v>
      </c>
      <c r="E69" s="226" t="s">
        <v>467</v>
      </c>
      <c r="F69" s="248" t="s">
        <v>447</v>
      </c>
      <c r="G69" s="228"/>
      <c r="H69" s="229"/>
      <c r="I69" s="214" t="s">
        <v>448</v>
      </c>
      <c r="J69" s="214"/>
      <c r="K69" s="225" t="s">
        <v>449</v>
      </c>
      <c r="L69" s="225" t="s">
        <v>450</v>
      </c>
      <c r="M69" s="214" t="s">
        <v>585</v>
      </c>
    </row>
    <row r="70" spans="1:13" ht="41.4" x14ac:dyDescent="0.3">
      <c r="A70" s="224"/>
      <c r="B70" s="214"/>
      <c r="C70" s="214"/>
      <c r="D70" s="226"/>
      <c r="E70" s="226"/>
      <c r="F70" s="113" t="s">
        <v>451</v>
      </c>
      <c r="G70" s="73" t="s">
        <v>452</v>
      </c>
      <c r="H70" s="73" t="s">
        <v>453</v>
      </c>
      <c r="I70" s="73" t="s">
        <v>468</v>
      </c>
      <c r="J70" s="104" t="s">
        <v>465</v>
      </c>
      <c r="K70" s="214"/>
      <c r="L70" s="214"/>
      <c r="M70" s="214"/>
    </row>
    <row r="71" spans="1:13" ht="27.6" x14ac:dyDescent="0.3">
      <c r="A71" s="77"/>
      <c r="B71" s="78" t="s">
        <v>517</v>
      </c>
      <c r="C71" s="78" t="s">
        <v>516</v>
      </c>
      <c r="D71" s="78" t="s">
        <v>514</v>
      </c>
      <c r="E71" s="78" t="s">
        <v>484</v>
      </c>
      <c r="F71" s="114">
        <v>150000</v>
      </c>
      <c r="G71" s="78">
        <v>100</v>
      </c>
      <c r="H71" s="78"/>
      <c r="I71" s="78">
        <v>2017</v>
      </c>
      <c r="J71" s="79">
        <v>2017</v>
      </c>
      <c r="K71" s="1"/>
      <c r="L71" s="119" t="s">
        <v>492</v>
      </c>
      <c r="M71" s="119"/>
    </row>
    <row r="72" spans="1:13" s="121" customFormat="1" ht="27.6" x14ac:dyDescent="0.3">
      <c r="A72" s="77"/>
      <c r="B72" s="78" t="s">
        <v>490</v>
      </c>
      <c r="C72" s="111" t="s">
        <v>515</v>
      </c>
      <c r="D72" s="78" t="s">
        <v>488</v>
      </c>
      <c r="E72" s="78" t="s">
        <v>484</v>
      </c>
      <c r="F72" s="114">
        <f>8*13*2500</f>
        <v>260000</v>
      </c>
      <c r="G72" s="78">
        <v>100</v>
      </c>
      <c r="H72" s="78"/>
      <c r="I72" s="78">
        <v>2017</v>
      </c>
      <c r="J72" s="79">
        <v>2017</v>
      </c>
      <c r="K72" s="79"/>
      <c r="L72" s="119" t="s">
        <v>492</v>
      </c>
      <c r="M72" s="119"/>
    </row>
    <row r="73" spans="1:13" x14ac:dyDescent="0.3">
      <c r="A73" s="77"/>
      <c r="B73" s="78"/>
      <c r="C73" s="78"/>
      <c r="D73" s="78"/>
      <c r="E73" s="78"/>
      <c r="F73" s="114"/>
      <c r="G73" s="78"/>
      <c r="H73" s="78"/>
      <c r="I73" s="78"/>
      <c r="J73" s="79"/>
      <c r="K73" s="1"/>
      <c r="L73" s="1"/>
      <c r="M73" s="1"/>
    </row>
    <row r="74" spans="1:13" ht="16.2" thickBot="1" x14ac:dyDescent="0.35">
      <c r="A74" s="131" t="s">
        <v>12</v>
      </c>
      <c r="B74" s="132"/>
      <c r="C74" s="132"/>
      <c r="D74" s="132"/>
      <c r="E74" s="132"/>
      <c r="F74" s="134">
        <f>SUM(F71:F73)</f>
        <v>410000</v>
      </c>
      <c r="G74" s="132"/>
      <c r="H74" s="132"/>
      <c r="I74" s="132"/>
      <c r="J74" s="132"/>
      <c r="K74" s="132"/>
      <c r="L74" s="133"/>
      <c r="M74" s="133"/>
    </row>
    <row r="75" spans="1:13" x14ac:dyDescent="0.3">
      <c r="A75"/>
      <c r="B75"/>
      <c r="C75"/>
      <c r="D75"/>
      <c r="E75"/>
      <c r="F75" s="112"/>
      <c r="G75"/>
      <c r="H75"/>
      <c r="I75"/>
      <c r="J75"/>
      <c r="K75"/>
      <c r="L75"/>
      <c r="M75"/>
    </row>
    <row r="76" spans="1:13" ht="18" x14ac:dyDescent="0.3">
      <c r="A76" s="137" t="s">
        <v>12</v>
      </c>
      <c r="B76" s="138"/>
      <c r="C76" s="138"/>
      <c r="D76" s="138"/>
      <c r="E76" s="138"/>
      <c r="F76" s="140">
        <f>F14+F23+F46+F53+F66+F74</f>
        <v>25509095</v>
      </c>
      <c r="G76" s="138"/>
      <c r="H76" s="138"/>
      <c r="I76" s="138"/>
      <c r="J76" s="138"/>
      <c r="K76" s="138"/>
      <c r="L76" s="139"/>
      <c r="M76" s="139"/>
    </row>
    <row r="77" spans="1:13" x14ac:dyDescent="0.3">
      <c r="A77" s="252"/>
      <c r="B77" s="252"/>
      <c r="C77" s="252"/>
      <c r="D77" s="252"/>
      <c r="E77" s="252"/>
      <c r="F77" s="253"/>
      <c r="G77" s="252"/>
      <c r="H77" s="252"/>
      <c r="I77" s="252"/>
      <c r="J77"/>
      <c r="K77"/>
      <c r="L77"/>
      <c r="M77"/>
    </row>
    <row r="78" spans="1:13" x14ac:dyDescent="0.3">
      <c r="A78" s="252"/>
      <c r="B78" s="252"/>
      <c r="C78" s="252"/>
      <c r="D78" s="252"/>
      <c r="E78" s="105"/>
      <c r="F78" s="116"/>
      <c r="G78" s="252"/>
      <c r="H78" s="252"/>
      <c r="I78" s="252"/>
      <c r="J78"/>
      <c r="K78"/>
      <c r="L78"/>
      <c r="M78"/>
    </row>
    <row r="79" spans="1:13" x14ac:dyDescent="0.3">
      <c r="A79" s="249" t="s">
        <v>469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1"/>
    </row>
    <row r="80" spans="1:13" x14ac:dyDescent="0.3">
      <c r="A80" s="254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6"/>
    </row>
    <row r="81" spans="1:13" x14ac:dyDescent="0.3">
      <c r="A81" s="257" t="s">
        <v>470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9"/>
    </row>
    <row r="82" spans="1:13" x14ac:dyDescent="0.3">
      <c r="A82" s="254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6"/>
    </row>
    <row r="83" spans="1:13" x14ac:dyDescent="0.3">
      <c r="A83" s="249" t="s">
        <v>471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1"/>
    </row>
    <row r="84" spans="1:13" x14ac:dyDescent="0.2">
      <c r="A84" s="106"/>
      <c r="B84" s="106"/>
      <c r="C84" s="106"/>
      <c r="D84" s="106"/>
      <c r="E84" s="106"/>
      <c r="F84" s="117"/>
      <c r="G84" s="106"/>
      <c r="H84" s="106"/>
      <c r="I84" s="106"/>
      <c r="J84" s="107"/>
      <c r="K84" s="107"/>
      <c r="L84" s="107"/>
      <c r="M84" s="107"/>
    </row>
    <row r="85" spans="1:13" x14ac:dyDescent="0.3">
      <c r="A85" s="249" t="s">
        <v>472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1"/>
    </row>
    <row r="86" spans="1:13" x14ac:dyDescent="0.3">
      <c r="A86"/>
      <c r="B86"/>
      <c r="C86"/>
      <c r="D86"/>
      <c r="E86"/>
      <c r="F86" s="112"/>
      <c r="G86"/>
      <c r="H86"/>
      <c r="I86"/>
      <c r="J86"/>
      <c r="K86"/>
      <c r="L86"/>
      <c r="M86"/>
    </row>
  </sheetData>
  <mergeCells count="94">
    <mergeCell ref="A83:L83"/>
    <mergeCell ref="A85:L85"/>
    <mergeCell ref="A82:L82"/>
    <mergeCell ref="A81:L81"/>
    <mergeCell ref="A80:L80"/>
    <mergeCell ref="A79:L79"/>
    <mergeCell ref="H77:H78"/>
    <mergeCell ref="I77:I78"/>
    <mergeCell ref="A77:A78"/>
    <mergeCell ref="B77:B78"/>
    <mergeCell ref="C77:C78"/>
    <mergeCell ref="D77:D78"/>
    <mergeCell ref="E77:F77"/>
    <mergeCell ref="G77:G78"/>
    <mergeCell ref="F69:H69"/>
    <mergeCell ref="I69:J69"/>
    <mergeCell ref="K69:K70"/>
    <mergeCell ref="L69:L70"/>
    <mergeCell ref="I56:J56"/>
    <mergeCell ref="K56:K57"/>
    <mergeCell ref="L56:L57"/>
    <mergeCell ref="A68:L68"/>
    <mergeCell ref="A69:A70"/>
    <mergeCell ref="B69:B70"/>
    <mergeCell ref="C69:C70"/>
    <mergeCell ref="D69:D70"/>
    <mergeCell ref="E69:E70"/>
    <mergeCell ref="A56:A57"/>
    <mergeCell ref="B56:B57"/>
    <mergeCell ref="C56:C57"/>
    <mergeCell ref="D56:D57"/>
    <mergeCell ref="E56:E57"/>
    <mergeCell ref="F56:H56"/>
    <mergeCell ref="F49:H49"/>
    <mergeCell ref="I49:J49"/>
    <mergeCell ref="K49:K50"/>
    <mergeCell ref="L49:L50"/>
    <mergeCell ref="AU53:BP55"/>
    <mergeCell ref="A55:L55"/>
    <mergeCell ref="K26:K27"/>
    <mergeCell ref="L26:L27"/>
    <mergeCell ref="A48:I48"/>
    <mergeCell ref="J48:L48"/>
    <mergeCell ref="A49:A50"/>
    <mergeCell ref="B49:B50"/>
    <mergeCell ref="C49:C50"/>
    <mergeCell ref="D49:D50"/>
    <mergeCell ref="E49:E50"/>
    <mergeCell ref="L17:L18"/>
    <mergeCell ref="A25:K25"/>
    <mergeCell ref="A26:A27"/>
    <mergeCell ref="B26:B27"/>
    <mergeCell ref="C26:C27"/>
    <mergeCell ref="D26:D27"/>
    <mergeCell ref="E26:E27"/>
    <mergeCell ref="F26:H26"/>
    <mergeCell ref="I26:J26"/>
    <mergeCell ref="A16:K16"/>
    <mergeCell ref="A17:A18"/>
    <mergeCell ref="B17:B18"/>
    <mergeCell ref="C17:C18"/>
    <mergeCell ref="D17:D18"/>
    <mergeCell ref="E17:E18"/>
    <mergeCell ref="F17:H17"/>
    <mergeCell ref="I17:J17"/>
    <mergeCell ref="K17:K18"/>
    <mergeCell ref="L8:L9"/>
    <mergeCell ref="AU9:BP9"/>
    <mergeCell ref="AU10:AW10"/>
    <mergeCell ref="AX10:AZ10"/>
    <mergeCell ref="BA10:BC10"/>
    <mergeCell ref="BD10:BO10"/>
    <mergeCell ref="BP10:BP11"/>
    <mergeCell ref="A7:K7"/>
    <mergeCell ref="A8:A9"/>
    <mergeCell ref="B8:B9"/>
    <mergeCell ref="C8:C9"/>
    <mergeCell ref="D8:D9"/>
    <mergeCell ref="E8:E9"/>
    <mergeCell ref="F8:H8"/>
    <mergeCell ref="I8:J8"/>
    <mergeCell ref="K8:K9"/>
    <mergeCell ref="D1:F1"/>
    <mergeCell ref="D2:F2"/>
    <mergeCell ref="D3:F3"/>
    <mergeCell ref="D4:F4"/>
    <mergeCell ref="D5:F5"/>
    <mergeCell ref="M56:M57"/>
    <mergeCell ref="M69:M70"/>
    <mergeCell ref="BA5:BH6"/>
    <mergeCell ref="M8:M9"/>
    <mergeCell ref="M17:M18"/>
    <mergeCell ref="M26:M27"/>
    <mergeCell ref="M49:M50"/>
  </mergeCells>
  <dataValidations count="2">
    <dataValidation type="list" allowBlank="1" showInputMessage="1" showErrorMessage="1" sqref="D52 D73">
      <formula1>$N$45:$N$51</formula1>
    </dataValidation>
    <dataValidation type="list" allowBlank="1" showInputMessage="1" showErrorMessage="1" sqref="D21:D22 D12:D13 D45">
      <formula1>$N$20:$N$28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2"/>
  <sheetViews>
    <sheetView tabSelected="1" topLeftCell="A25" zoomScale="85" zoomScaleNormal="85" workbookViewId="0">
      <selection activeCell="O44" sqref="O44"/>
    </sheetView>
  </sheetViews>
  <sheetFormatPr defaultColWidth="8.88671875" defaultRowHeight="14.4" x14ac:dyDescent="0.3"/>
  <cols>
    <col min="1" max="1" width="12.44140625" style="38" customWidth="1"/>
    <col min="2" max="2" width="19" style="38" customWidth="1"/>
    <col min="3" max="3" width="34.6640625" style="38" bestFit="1" customWidth="1"/>
    <col min="4" max="4" width="8.109375" style="38" customWidth="1"/>
    <col min="5" max="5" width="7" style="38" customWidth="1"/>
    <col min="6" max="6" width="8" style="38" customWidth="1"/>
    <col min="7" max="7" width="11.33203125" style="38" customWidth="1"/>
    <col min="8" max="8" width="8" style="38" customWidth="1"/>
    <col min="9" max="9" width="9.88671875" style="38" customWidth="1"/>
    <col min="10" max="14" width="9.109375" style="38" customWidth="1"/>
    <col min="15" max="15" width="9" style="38" bestFit="1" customWidth="1"/>
    <col min="16" max="17" width="10.5546875" style="38" bestFit="1" customWidth="1"/>
    <col min="18" max="20" width="11.6640625" style="38" bestFit="1" customWidth="1"/>
    <col min="21" max="21" width="12.33203125" style="38" customWidth="1"/>
    <col min="22" max="23" width="11.5546875" style="38" bestFit="1" customWidth="1"/>
    <col min="24" max="16384" width="8.88671875" style="38"/>
  </cols>
  <sheetData>
    <row r="1" spans="1:21" x14ac:dyDescent="0.3">
      <c r="J1" s="272" t="s">
        <v>13</v>
      </c>
      <c r="K1" s="273"/>
      <c r="L1" s="273"/>
      <c r="M1" s="273"/>
      <c r="N1" s="273"/>
      <c r="O1" s="274"/>
      <c r="P1" s="275" t="s">
        <v>14</v>
      </c>
      <c r="Q1" s="276"/>
      <c r="R1" s="276"/>
      <c r="S1" s="276"/>
      <c r="T1" s="276"/>
      <c r="U1" s="276"/>
    </row>
    <row r="2" spans="1:21" s="39" customFormat="1" ht="43.2" x14ac:dyDescent="0.3">
      <c r="A2" s="54"/>
      <c r="B2" s="54"/>
      <c r="C2" s="54"/>
      <c r="D2" s="40" t="s">
        <v>2</v>
      </c>
      <c r="E2" s="40" t="s">
        <v>391</v>
      </c>
      <c r="F2" s="40" t="s">
        <v>392</v>
      </c>
      <c r="G2" s="40" t="s">
        <v>393</v>
      </c>
      <c r="H2" s="40" t="s">
        <v>341</v>
      </c>
      <c r="I2" s="40" t="s">
        <v>346</v>
      </c>
      <c r="J2" s="41" t="s">
        <v>365</v>
      </c>
      <c r="K2" s="41" t="s">
        <v>366</v>
      </c>
      <c r="L2" s="41" t="s">
        <v>367</v>
      </c>
      <c r="M2" s="41" t="s">
        <v>368</v>
      </c>
      <c r="N2" s="41" t="s">
        <v>369</v>
      </c>
      <c r="O2" s="41" t="s">
        <v>12</v>
      </c>
      <c r="P2" s="41" t="s">
        <v>365</v>
      </c>
      <c r="Q2" s="41" t="s">
        <v>366</v>
      </c>
      <c r="R2" s="41" t="s">
        <v>367</v>
      </c>
      <c r="S2" s="41" t="s">
        <v>368</v>
      </c>
      <c r="T2" s="41" t="s">
        <v>369</v>
      </c>
      <c r="U2" s="42" t="s">
        <v>12</v>
      </c>
    </row>
    <row r="3" spans="1:21" x14ac:dyDescent="0.3">
      <c r="B3" s="277" t="s">
        <v>1</v>
      </c>
      <c r="C3" s="277"/>
      <c r="D3" s="43"/>
      <c r="E3" s="44">
        <v>0.1</v>
      </c>
      <c r="F3" s="43"/>
      <c r="G3" s="45"/>
      <c r="H3" s="47"/>
      <c r="I3" s="43"/>
      <c r="J3" s="47">
        <v>0.05</v>
      </c>
      <c r="K3" s="47">
        <v>0.1</v>
      </c>
      <c r="L3" s="47">
        <v>0.3</v>
      </c>
      <c r="M3" s="47">
        <v>0.3</v>
      </c>
      <c r="N3" s="47">
        <v>0.25</v>
      </c>
      <c r="O3" s="46">
        <f>SUM(J3:N3)</f>
        <v>1</v>
      </c>
      <c r="P3" s="43"/>
      <c r="Q3" s="43"/>
      <c r="R3" s="43"/>
      <c r="S3" s="43"/>
      <c r="T3" s="43"/>
      <c r="U3" s="43"/>
    </row>
    <row r="4" spans="1:21" x14ac:dyDescent="0.3">
      <c r="A4" s="268" t="s">
        <v>420</v>
      </c>
      <c r="B4" s="263" t="s">
        <v>383</v>
      </c>
      <c r="C4" s="43" t="s">
        <v>3</v>
      </c>
      <c r="D4" s="43">
        <v>1300</v>
      </c>
      <c r="E4" s="43">
        <f>D4*$E$3</f>
        <v>130</v>
      </c>
      <c r="F4" s="43">
        <f>D4-E4</f>
        <v>1170</v>
      </c>
      <c r="G4" s="43">
        <f>F4</f>
        <v>1170</v>
      </c>
      <c r="H4" s="47"/>
      <c r="I4" s="43">
        <v>600</v>
      </c>
      <c r="J4" s="43">
        <f>J$3*$I4</f>
        <v>30</v>
      </c>
      <c r="K4" s="43">
        <f t="shared" ref="K4:N19" si="0">K$3*$I4</f>
        <v>60</v>
      </c>
      <c r="L4" s="43">
        <f t="shared" si="0"/>
        <v>180</v>
      </c>
      <c r="M4" s="43">
        <f t="shared" si="0"/>
        <v>180</v>
      </c>
      <c r="N4" s="43">
        <f t="shared" si="0"/>
        <v>150</v>
      </c>
      <c r="O4" s="45">
        <f>SUM(J4:N4)</f>
        <v>600</v>
      </c>
      <c r="P4" s="43">
        <f t="shared" ref="P4:T15" si="1">$F4*J4</f>
        <v>35100</v>
      </c>
      <c r="Q4" s="43">
        <f t="shared" si="1"/>
        <v>70200</v>
      </c>
      <c r="R4" s="43">
        <f t="shared" si="1"/>
        <v>210600</v>
      </c>
      <c r="S4" s="43">
        <f t="shared" si="1"/>
        <v>210600</v>
      </c>
      <c r="T4" s="43">
        <f t="shared" si="1"/>
        <v>175500</v>
      </c>
      <c r="U4" s="45">
        <f>SUM(P4:T4)</f>
        <v>702000</v>
      </c>
    </row>
    <row r="5" spans="1:21" x14ac:dyDescent="0.3">
      <c r="A5" s="269"/>
      <c r="B5" s="264"/>
      <c r="C5" s="43" t="s">
        <v>5</v>
      </c>
      <c r="D5" s="43">
        <v>2300</v>
      </c>
      <c r="E5" s="43">
        <f t="shared" ref="E5:E15" si="2">D5*$E$3</f>
        <v>230</v>
      </c>
      <c r="F5" s="43">
        <f t="shared" ref="F5:F15" si="3">D5-E5</f>
        <v>2070</v>
      </c>
      <c r="G5" s="43">
        <f>F5</f>
        <v>2070</v>
      </c>
      <c r="H5" s="47"/>
      <c r="I5" s="43">
        <v>350</v>
      </c>
      <c r="J5" s="43">
        <f t="shared" ref="J5:J15" si="4">J$3*$I5</f>
        <v>17.5</v>
      </c>
      <c r="K5" s="43">
        <f t="shared" si="0"/>
        <v>35</v>
      </c>
      <c r="L5" s="43">
        <f t="shared" si="0"/>
        <v>105</v>
      </c>
      <c r="M5" s="43">
        <f t="shared" si="0"/>
        <v>105</v>
      </c>
      <c r="N5" s="43">
        <f t="shared" si="0"/>
        <v>87.5</v>
      </c>
      <c r="O5" s="45">
        <f t="shared" ref="O5:O15" si="5">SUM(J5:N5)</f>
        <v>350</v>
      </c>
      <c r="P5" s="43">
        <f t="shared" si="1"/>
        <v>36225</v>
      </c>
      <c r="Q5" s="43">
        <f t="shared" si="1"/>
        <v>72450</v>
      </c>
      <c r="R5" s="43">
        <f t="shared" si="1"/>
        <v>217350</v>
      </c>
      <c r="S5" s="43">
        <f t="shared" si="1"/>
        <v>217350</v>
      </c>
      <c r="T5" s="43">
        <f t="shared" si="1"/>
        <v>181125</v>
      </c>
      <c r="U5" s="45">
        <f t="shared" ref="U5:U15" si="6">SUM(P5:T5)</f>
        <v>724500</v>
      </c>
    </row>
    <row r="6" spans="1:21" x14ac:dyDescent="0.3">
      <c r="A6" s="269"/>
      <c r="B6" s="265"/>
      <c r="C6" s="43" t="s">
        <v>7</v>
      </c>
      <c r="D6" s="43">
        <v>1700</v>
      </c>
      <c r="E6" s="43">
        <f t="shared" si="2"/>
        <v>170</v>
      </c>
      <c r="F6" s="43">
        <f t="shared" si="3"/>
        <v>1530</v>
      </c>
      <c r="G6" s="43">
        <f>F6</f>
        <v>1530</v>
      </c>
      <c r="H6" s="47"/>
      <c r="I6" s="43">
        <v>60</v>
      </c>
      <c r="J6" s="43">
        <f t="shared" si="4"/>
        <v>3</v>
      </c>
      <c r="K6" s="43">
        <f t="shared" si="0"/>
        <v>6</v>
      </c>
      <c r="L6" s="43">
        <f t="shared" si="0"/>
        <v>18</v>
      </c>
      <c r="M6" s="43">
        <f t="shared" si="0"/>
        <v>18</v>
      </c>
      <c r="N6" s="43">
        <f t="shared" si="0"/>
        <v>15</v>
      </c>
      <c r="O6" s="45">
        <f t="shared" si="5"/>
        <v>60</v>
      </c>
      <c r="P6" s="43">
        <f t="shared" si="1"/>
        <v>4590</v>
      </c>
      <c r="Q6" s="43">
        <f t="shared" si="1"/>
        <v>9180</v>
      </c>
      <c r="R6" s="43">
        <f t="shared" si="1"/>
        <v>27540</v>
      </c>
      <c r="S6" s="43">
        <f t="shared" si="1"/>
        <v>27540</v>
      </c>
      <c r="T6" s="43">
        <f t="shared" si="1"/>
        <v>22950</v>
      </c>
      <c r="U6" s="45">
        <f t="shared" si="6"/>
        <v>91800</v>
      </c>
    </row>
    <row r="7" spans="1:21" x14ac:dyDescent="0.3">
      <c r="A7" s="269"/>
      <c r="B7" s="263" t="s">
        <v>384</v>
      </c>
      <c r="C7" s="43" t="s">
        <v>16</v>
      </c>
      <c r="D7" s="43">
        <v>480</v>
      </c>
      <c r="E7" s="43">
        <f t="shared" si="2"/>
        <v>48</v>
      </c>
      <c r="F7" s="43">
        <f t="shared" si="3"/>
        <v>432</v>
      </c>
      <c r="G7" s="43">
        <f>F7</f>
        <v>432</v>
      </c>
      <c r="H7" s="47"/>
      <c r="I7" s="43">
        <v>750</v>
      </c>
      <c r="J7" s="43">
        <f t="shared" si="4"/>
        <v>37.5</v>
      </c>
      <c r="K7" s="43">
        <f t="shared" si="0"/>
        <v>75</v>
      </c>
      <c r="L7" s="43">
        <f t="shared" si="0"/>
        <v>225</v>
      </c>
      <c r="M7" s="43">
        <f t="shared" si="0"/>
        <v>225</v>
      </c>
      <c r="N7" s="43">
        <f t="shared" si="0"/>
        <v>187.5</v>
      </c>
      <c r="O7" s="45">
        <f t="shared" si="5"/>
        <v>750</v>
      </c>
      <c r="P7" s="43">
        <f t="shared" si="1"/>
        <v>16200</v>
      </c>
      <c r="Q7" s="43">
        <f t="shared" si="1"/>
        <v>32400</v>
      </c>
      <c r="R7" s="43">
        <f t="shared" si="1"/>
        <v>97200</v>
      </c>
      <c r="S7" s="43">
        <f t="shared" si="1"/>
        <v>97200</v>
      </c>
      <c r="T7" s="43">
        <f t="shared" si="1"/>
        <v>81000</v>
      </c>
      <c r="U7" s="45">
        <f t="shared" si="6"/>
        <v>324000</v>
      </c>
    </row>
    <row r="8" spans="1:21" x14ac:dyDescent="0.3">
      <c r="A8" s="269"/>
      <c r="B8" s="265"/>
      <c r="C8" s="43" t="s">
        <v>354</v>
      </c>
      <c r="D8" s="45">
        <v>500</v>
      </c>
      <c r="E8" s="43">
        <f>D8*$E$3</f>
        <v>50</v>
      </c>
      <c r="F8" s="43">
        <f>D8-E8</f>
        <v>450</v>
      </c>
      <c r="G8" s="43">
        <v>425</v>
      </c>
      <c r="H8" s="47"/>
      <c r="I8" s="43">
        <v>550</v>
      </c>
      <c r="J8" s="43">
        <f t="shared" si="4"/>
        <v>27.5</v>
      </c>
      <c r="K8" s="43">
        <f t="shared" si="0"/>
        <v>55</v>
      </c>
      <c r="L8" s="43">
        <f t="shared" si="0"/>
        <v>165</v>
      </c>
      <c r="M8" s="43">
        <f t="shared" si="0"/>
        <v>165</v>
      </c>
      <c r="N8" s="43">
        <f t="shared" si="0"/>
        <v>137.5</v>
      </c>
      <c r="O8" s="45">
        <f t="shared" si="5"/>
        <v>550</v>
      </c>
      <c r="P8" s="43">
        <f t="shared" si="1"/>
        <v>12375</v>
      </c>
      <c r="Q8" s="43">
        <f t="shared" si="1"/>
        <v>24750</v>
      </c>
      <c r="R8" s="43">
        <f t="shared" si="1"/>
        <v>74250</v>
      </c>
      <c r="S8" s="43">
        <f t="shared" si="1"/>
        <v>74250</v>
      </c>
      <c r="T8" s="43">
        <f t="shared" si="1"/>
        <v>61875</v>
      </c>
      <c r="U8" s="45">
        <f t="shared" si="6"/>
        <v>247500</v>
      </c>
    </row>
    <row r="9" spans="1:21" x14ac:dyDescent="0.3">
      <c r="A9" s="269"/>
      <c r="B9" s="263" t="s">
        <v>385</v>
      </c>
      <c r="C9" s="43" t="s">
        <v>8</v>
      </c>
      <c r="D9" s="43">
        <v>790</v>
      </c>
      <c r="E9" s="43">
        <f t="shared" si="2"/>
        <v>79</v>
      </c>
      <c r="F9" s="43">
        <f t="shared" si="3"/>
        <v>711</v>
      </c>
      <c r="G9" s="43">
        <v>1000</v>
      </c>
      <c r="H9" s="47">
        <v>0.5</v>
      </c>
      <c r="I9" s="43">
        <v>10000</v>
      </c>
      <c r="J9" s="43">
        <f t="shared" si="4"/>
        <v>500</v>
      </c>
      <c r="K9" s="43">
        <f t="shared" si="0"/>
        <v>1000</v>
      </c>
      <c r="L9" s="43">
        <f t="shared" si="0"/>
        <v>3000</v>
      </c>
      <c r="M9" s="43">
        <f t="shared" si="0"/>
        <v>3000</v>
      </c>
      <c r="N9" s="43">
        <f t="shared" si="0"/>
        <v>2500</v>
      </c>
      <c r="O9" s="45">
        <f t="shared" si="5"/>
        <v>10000</v>
      </c>
      <c r="P9" s="43">
        <f t="shared" si="1"/>
        <v>355500</v>
      </c>
      <c r="Q9" s="43">
        <f t="shared" si="1"/>
        <v>711000</v>
      </c>
      <c r="R9" s="43">
        <f t="shared" si="1"/>
        <v>2133000</v>
      </c>
      <c r="S9" s="43">
        <f t="shared" si="1"/>
        <v>2133000</v>
      </c>
      <c r="T9" s="43">
        <f t="shared" si="1"/>
        <v>1777500</v>
      </c>
      <c r="U9" s="45">
        <f t="shared" si="6"/>
        <v>7110000</v>
      </c>
    </row>
    <row r="10" spans="1:21" x14ac:dyDescent="0.3">
      <c r="A10" s="269"/>
      <c r="B10" s="264"/>
      <c r="C10" s="43" t="s">
        <v>386</v>
      </c>
      <c r="D10" s="43">
        <v>815</v>
      </c>
      <c r="E10" s="43">
        <f t="shared" si="2"/>
        <v>81.5</v>
      </c>
      <c r="F10" s="43">
        <f t="shared" si="3"/>
        <v>733.5</v>
      </c>
      <c r="G10" s="43">
        <v>1000</v>
      </c>
      <c r="H10" s="47">
        <v>0.5</v>
      </c>
      <c r="I10" s="43">
        <v>5000</v>
      </c>
      <c r="J10" s="43">
        <f t="shared" si="4"/>
        <v>250</v>
      </c>
      <c r="K10" s="43">
        <f t="shared" si="0"/>
        <v>500</v>
      </c>
      <c r="L10" s="43">
        <f t="shared" si="0"/>
        <v>1500</v>
      </c>
      <c r="M10" s="43">
        <f t="shared" si="0"/>
        <v>1500</v>
      </c>
      <c r="N10" s="43">
        <f t="shared" si="0"/>
        <v>1250</v>
      </c>
      <c r="O10" s="45">
        <f t="shared" si="5"/>
        <v>5000</v>
      </c>
      <c r="P10" s="43">
        <f t="shared" si="1"/>
        <v>183375</v>
      </c>
      <c r="Q10" s="43">
        <f t="shared" si="1"/>
        <v>366750</v>
      </c>
      <c r="R10" s="43">
        <f t="shared" si="1"/>
        <v>1100250</v>
      </c>
      <c r="S10" s="43">
        <f t="shared" si="1"/>
        <v>1100250</v>
      </c>
      <c r="T10" s="43">
        <f t="shared" si="1"/>
        <v>916875</v>
      </c>
      <c r="U10" s="45">
        <f t="shared" si="6"/>
        <v>3667500</v>
      </c>
    </row>
    <row r="11" spans="1:21" x14ac:dyDescent="0.3">
      <c r="A11" s="269"/>
      <c r="B11" s="264"/>
      <c r="C11" s="43" t="s">
        <v>387</v>
      </c>
      <c r="D11" s="43">
        <v>508</v>
      </c>
      <c r="E11" s="43">
        <f t="shared" si="2"/>
        <v>50.800000000000004</v>
      </c>
      <c r="F11" s="43">
        <f t="shared" si="3"/>
        <v>457.2</v>
      </c>
      <c r="G11" s="43">
        <v>1000</v>
      </c>
      <c r="H11" s="47">
        <v>0.5</v>
      </c>
      <c r="I11" s="43">
        <v>5000</v>
      </c>
      <c r="J11" s="43">
        <f t="shared" si="4"/>
        <v>250</v>
      </c>
      <c r="K11" s="43">
        <f t="shared" si="0"/>
        <v>500</v>
      </c>
      <c r="L11" s="43">
        <f t="shared" si="0"/>
        <v>1500</v>
      </c>
      <c r="M11" s="43">
        <f t="shared" si="0"/>
        <v>1500</v>
      </c>
      <c r="N11" s="43">
        <f t="shared" si="0"/>
        <v>1250</v>
      </c>
      <c r="O11" s="45">
        <f t="shared" si="5"/>
        <v>5000</v>
      </c>
      <c r="P11" s="43">
        <f t="shared" si="1"/>
        <v>114300</v>
      </c>
      <c r="Q11" s="43">
        <f t="shared" si="1"/>
        <v>228600</v>
      </c>
      <c r="R11" s="43">
        <f t="shared" si="1"/>
        <v>685800</v>
      </c>
      <c r="S11" s="43">
        <f t="shared" si="1"/>
        <v>685800</v>
      </c>
      <c r="T11" s="43">
        <f t="shared" si="1"/>
        <v>571500</v>
      </c>
      <c r="U11" s="45">
        <f t="shared" si="6"/>
        <v>2286000</v>
      </c>
    </row>
    <row r="12" spans="1:21" x14ac:dyDescent="0.3">
      <c r="A12" s="269"/>
      <c r="B12" s="264"/>
      <c r="C12" s="43" t="s">
        <v>388</v>
      </c>
      <c r="D12" s="43">
        <v>543</v>
      </c>
      <c r="E12" s="43">
        <f t="shared" si="2"/>
        <v>54.300000000000004</v>
      </c>
      <c r="F12" s="43">
        <f t="shared" si="3"/>
        <v>488.7</v>
      </c>
      <c r="G12" s="43">
        <f>F12</f>
        <v>488.7</v>
      </c>
      <c r="H12" s="47">
        <v>0.25</v>
      </c>
      <c r="I12" s="43">
        <v>1000</v>
      </c>
      <c r="J12" s="43">
        <f t="shared" si="4"/>
        <v>50</v>
      </c>
      <c r="K12" s="43">
        <f t="shared" si="0"/>
        <v>100</v>
      </c>
      <c r="L12" s="43">
        <f t="shared" si="0"/>
        <v>300</v>
      </c>
      <c r="M12" s="43">
        <f t="shared" si="0"/>
        <v>300</v>
      </c>
      <c r="N12" s="43">
        <f t="shared" si="0"/>
        <v>250</v>
      </c>
      <c r="O12" s="45">
        <f t="shared" si="5"/>
        <v>1000</v>
      </c>
      <c r="P12" s="43">
        <f t="shared" si="1"/>
        <v>24435</v>
      </c>
      <c r="Q12" s="43">
        <f t="shared" si="1"/>
        <v>48870</v>
      </c>
      <c r="R12" s="43">
        <f t="shared" si="1"/>
        <v>146610</v>
      </c>
      <c r="S12" s="43">
        <f t="shared" si="1"/>
        <v>146610</v>
      </c>
      <c r="T12" s="43">
        <f t="shared" si="1"/>
        <v>122175</v>
      </c>
      <c r="U12" s="45">
        <f t="shared" si="6"/>
        <v>488700</v>
      </c>
    </row>
    <row r="13" spans="1:21" x14ac:dyDescent="0.3">
      <c r="A13" s="269"/>
      <c r="B13" s="264"/>
      <c r="C13" s="43" t="s">
        <v>389</v>
      </c>
      <c r="D13" s="43">
        <v>440</v>
      </c>
      <c r="E13" s="43">
        <f t="shared" si="2"/>
        <v>44</v>
      </c>
      <c r="F13" s="43">
        <f t="shared" si="3"/>
        <v>396</v>
      </c>
      <c r="G13" s="43">
        <f>F13</f>
        <v>396</v>
      </c>
      <c r="H13" s="47">
        <v>0.5</v>
      </c>
      <c r="I13" s="43">
        <v>1000</v>
      </c>
      <c r="J13" s="43">
        <f t="shared" si="4"/>
        <v>50</v>
      </c>
      <c r="K13" s="43">
        <f t="shared" si="0"/>
        <v>100</v>
      </c>
      <c r="L13" s="43">
        <f t="shared" si="0"/>
        <v>300</v>
      </c>
      <c r="M13" s="43">
        <f t="shared" si="0"/>
        <v>300</v>
      </c>
      <c r="N13" s="43">
        <f t="shared" si="0"/>
        <v>250</v>
      </c>
      <c r="O13" s="45">
        <f t="shared" si="5"/>
        <v>1000</v>
      </c>
      <c r="P13" s="43">
        <f t="shared" si="1"/>
        <v>19800</v>
      </c>
      <c r="Q13" s="43">
        <f t="shared" si="1"/>
        <v>39600</v>
      </c>
      <c r="R13" s="43">
        <f t="shared" si="1"/>
        <v>118800</v>
      </c>
      <c r="S13" s="43">
        <f t="shared" si="1"/>
        <v>118800</v>
      </c>
      <c r="T13" s="43">
        <f t="shared" si="1"/>
        <v>99000</v>
      </c>
      <c r="U13" s="45">
        <f t="shared" si="6"/>
        <v>396000</v>
      </c>
    </row>
    <row r="14" spans="1:21" x14ac:dyDescent="0.3">
      <c r="A14" s="269"/>
      <c r="B14" s="264"/>
      <c r="C14" s="43" t="s">
        <v>390</v>
      </c>
      <c r="D14" s="43">
        <v>415</v>
      </c>
      <c r="E14" s="43">
        <f t="shared" si="2"/>
        <v>41.5</v>
      </c>
      <c r="F14" s="43">
        <f t="shared" si="3"/>
        <v>373.5</v>
      </c>
      <c r="G14" s="43">
        <v>1000</v>
      </c>
      <c r="H14" s="47">
        <v>0.5</v>
      </c>
      <c r="I14" s="43">
        <v>2500</v>
      </c>
      <c r="J14" s="43">
        <f t="shared" si="4"/>
        <v>125</v>
      </c>
      <c r="K14" s="43">
        <f t="shared" si="0"/>
        <v>250</v>
      </c>
      <c r="L14" s="43">
        <f t="shared" si="0"/>
        <v>750</v>
      </c>
      <c r="M14" s="43">
        <f t="shared" si="0"/>
        <v>750</v>
      </c>
      <c r="N14" s="43">
        <f t="shared" si="0"/>
        <v>625</v>
      </c>
      <c r="O14" s="45">
        <f t="shared" si="5"/>
        <v>2500</v>
      </c>
      <c r="P14" s="43">
        <f t="shared" si="1"/>
        <v>46687.5</v>
      </c>
      <c r="Q14" s="43">
        <f t="shared" si="1"/>
        <v>93375</v>
      </c>
      <c r="R14" s="43">
        <f t="shared" si="1"/>
        <v>280125</v>
      </c>
      <c r="S14" s="43">
        <f t="shared" si="1"/>
        <v>280125</v>
      </c>
      <c r="T14" s="43">
        <f t="shared" si="1"/>
        <v>233437.5</v>
      </c>
      <c r="U14" s="45">
        <f t="shared" si="6"/>
        <v>933750</v>
      </c>
    </row>
    <row r="15" spans="1:21" x14ac:dyDescent="0.3">
      <c r="A15" s="269"/>
      <c r="B15" s="265"/>
      <c r="C15" s="43" t="s">
        <v>345</v>
      </c>
      <c r="D15" s="43">
        <v>470</v>
      </c>
      <c r="E15" s="43">
        <f t="shared" si="2"/>
        <v>47</v>
      </c>
      <c r="F15" s="43">
        <f t="shared" si="3"/>
        <v>423</v>
      </c>
      <c r="G15" s="43">
        <v>1000</v>
      </c>
      <c r="H15" s="47">
        <v>0.5</v>
      </c>
      <c r="I15" s="43">
        <v>2000</v>
      </c>
      <c r="J15" s="43">
        <f t="shared" si="4"/>
        <v>100</v>
      </c>
      <c r="K15" s="43">
        <f t="shared" si="0"/>
        <v>200</v>
      </c>
      <c r="L15" s="43">
        <f t="shared" si="0"/>
        <v>600</v>
      </c>
      <c r="M15" s="43">
        <f t="shared" si="0"/>
        <v>600</v>
      </c>
      <c r="N15" s="43">
        <f t="shared" si="0"/>
        <v>500</v>
      </c>
      <c r="O15" s="45">
        <f t="shared" si="5"/>
        <v>2000</v>
      </c>
      <c r="P15" s="43">
        <f t="shared" si="1"/>
        <v>42300</v>
      </c>
      <c r="Q15" s="43">
        <f t="shared" si="1"/>
        <v>84600</v>
      </c>
      <c r="R15" s="43">
        <f t="shared" si="1"/>
        <v>253800</v>
      </c>
      <c r="S15" s="43">
        <f t="shared" si="1"/>
        <v>253800</v>
      </c>
      <c r="T15" s="43">
        <f t="shared" si="1"/>
        <v>211500</v>
      </c>
      <c r="U15" s="45">
        <f t="shared" si="6"/>
        <v>846000</v>
      </c>
    </row>
    <row r="16" spans="1:21" x14ac:dyDescent="0.3">
      <c r="A16" s="51"/>
      <c r="B16" s="51"/>
      <c r="C16" s="52" t="s">
        <v>12</v>
      </c>
      <c r="D16" s="52">
        <f>AVERAGE(D4:D15)</f>
        <v>855.08333333333337</v>
      </c>
      <c r="E16" s="52"/>
      <c r="F16" s="52"/>
      <c r="G16" s="52"/>
      <c r="H16" s="52"/>
      <c r="I16" s="52">
        <f t="shared" ref="I16:U16" si="7">SUM(I4:I15)</f>
        <v>28810</v>
      </c>
      <c r="J16" s="52">
        <f t="shared" si="7"/>
        <v>1440.5</v>
      </c>
      <c r="K16" s="52">
        <f t="shared" si="7"/>
        <v>2881</v>
      </c>
      <c r="L16" s="52">
        <f t="shared" si="7"/>
        <v>8643</v>
      </c>
      <c r="M16" s="52">
        <f t="shared" si="7"/>
        <v>8643</v>
      </c>
      <c r="N16" s="52">
        <f t="shared" si="7"/>
        <v>7202.5</v>
      </c>
      <c r="O16" s="52">
        <f t="shared" si="7"/>
        <v>28810</v>
      </c>
      <c r="P16" s="52">
        <f t="shared" si="7"/>
        <v>890887.5</v>
      </c>
      <c r="Q16" s="52">
        <f t="shared" si="7"/>
        <v>1781775</v>
      </c>
      <c r="R16" s="52">
        <f t="shared" si="7"/>
        <v>5345325</v>
      </c>
      <c r="S16" s="52">
        <f t="shared" si="7"/>
        <v>5345325</v>
      </c>
      <c r="T16" s="52">
        <f t="shared" si="7"/>
        <v>4454437.5</v>
      </c>
      <c r="U16" s="52">
        <f t="shared" si="7"/>
        <v>17817750</v>
      </c>
    </row>
    <row r="17" spans="1:21" x14ac:dyDescent="0.3">
      <c r="A17" s="270" t="s">
        <v>421</v>
      </c>
      <c r="B17" s="263" t="s">
        <v>383</v>
      </c>
      <c r="C17" s="43" t="s">
        <v>3</v>
      </c>
      <c r="D17" s="43">
        <v>1300</v>
      </c>
      <c r="E17" s="43">
        <v>0</v>
      </c>
      <c r="F17" s="43">
        <f>D17-E17</f>
        <v>1300</v>
      </c>
      <c r="G17" s="43">
        <f>F17</f>
        <v>1300</v>
      </c>
      <c r="H17" s="47"/>
      <c r="I17" s="43"/>
      <c r="J17" s="43"/>
      <c r="K17" s="43"/>
      <c r="L17" s="43"/>
      <c r="M17" s="43"/>
      <c r="N17" s="43"/>
      <c r="O17" s="45">
        <f>SUM(J17:N17)</f>
        <v>0</v>
      </c>
      <c r="P17" s="43">
        <f t="shared" ref="P17:P28" si="8">$F17*J17</f>
        <v>0</v>
      </c>
      <c r="Q17" s="43">
        <f t="shared" ref="Q17:Q28" si="9">$F17*K17</f>
        <v>0</v>
      </c>
      <c r="R17" s="43">
        <f t="shared" ref="R17:R28" si="10">$F17*L17</f>
        <v>0</v>
      </c>
      <c r="S17" s="43">
        <f t="shared" ref="S17:S28" si="11">$F17*M17</f>
        <v>0</v>
      </c>
      <c r="T17" s="43">
        <f t="shared" ref="T17:T28" si="12">$F17*N17</f>
        <v>0</v>
      </c>
      <c r="U17" s="45">
        <f>SUM(P17:T17)</f>
        <v>0</v>
      </c>
    </row>
    <row r="18" spans="1:21" x14ac:dyDescent="0.3">
      <c r="A18" s="271"/>
      <c r="B18" s="264"/>
      <c r="C18" s="43" t="s">
        <v>5</v>
      </c>
      <c r="D18" s="43">
        <v>2300</v>
      </c>
      <c r="E18" s="43">
        <v>0</v>
      </c>
      <c r="F18" s="43">
        <f t="shared" ref="F18:F20" si="13">D18-E18</f>
        <v>2300</v>
      </c>
      <c r="G18" s="43">
        <f>F18</f>
        <v>2300</v>
      </c>
      <c r="H18" s="47"/>
      <c r="I18" s="43">
        <v>100</v>
      </c>
      <c r="J18" s="43">
        <f t="shared" ref="J18:N28" si="14">J$3*$I18</f>
        <v>5</v>
      </c>
      <c r="K18" s="43">
        <f t="shared" si="0"/>
        <v>10</v>
      </c>
      <c r="L18" s="43">
        <f t="shared" si="0"/>
        <v>30</v>
      </c>
      <c r="M18" s="43">
        <f t="shared" si="0"/>
        <v>30</v>
      </c>
      <c r="N18" s="43">
        <f t="shared" si="0"/>
        <v>25</v>
      </c>
      <c r="O18" s="45">
        <f t="shared" ref="O18:O28" si="15">SUM(J18:N18)</f>
        <v>100</v>
      </c>
      <c r="P18" s="43">
        <f t="shared" si="8"/>
        <v>11500</v>
      </c>
      <c r="Q18" s="43">
        <f t="shared" si="9"/>
        <v>23000</v>
      </c>
      <c r="R18" s="43">
        <f t="shared" si="10"/>
        <v>69000</v>
      </c>
      <c r="S18" s="43">
        <f t="shared" si="11"/>
        <v>69000</v>
      </c>
      <c r="T18" s="43">
        <f t="shared" si="12"/>
        <v>57500</v>
      </c>
      <c r="U18" s="45">
        <f t="shared" ref="U18:U28" si="16">SUM(P18:T18)</f>
        <v>230000</v>
      </c>
    </row>
    <row r="19" spans="1:21" x14ac:dyDescent="0.3">
      <c r="A19" s="271"/>
      <c r="B19" s="265"/>
      <c r="C19" s="43" t="s">
        <v>7</v>
      </c>
      <c r="D19" s="43">
        <v>1700</v>
      </c>
      <c r="E19" s="43">
        <v>0</v>
      </c>
      <c r="F19" s="43">
        <f t="shared" si="13"/>
        <v>1700</v>
      </c>
      <c r="G19" s="43">
        <f>F19</f>
        <v>1700</v>
      </c>
      <c r="H19" s="47"/>
      <c r="I19" s="43">
        <v>0</v>
      </c>
      <c r="J19" s="43">
        <f t="shared" si="14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5">
        <f t="shared" si="15"/>
        <v>0</v>
      </c>
      <c r="P19" s="43">
        <f t="shared" si="8"/>
        <v>0</v>
      </c>
      <c r="Q19" s="43">
        <f t="shared" si="9"/>
        <v>0</v>
      </c>
      <c r="R19" s="43">
        <f t="shared" si="10"/>
        <v>0</v>
      </c>
      <c r="S19" s="43">
        <f t="shared" si="11"/>
        <v>0</v>
      </c>
      <c r="T19" s="43">
        <f t="shared" si="12"/>
        <v>0</v>
      </c>
      <c r="U19" s="45">
        <f t="shared" si="16"/>
        <v>0</v>
      </c>
    </row>
    <row r="20" spans="1:21" x14ac:dyDescent="0.3">
      <c r="A20" s="271"/>
      <c r="B20" s="263" t="s">
        <v>384</v>
      </c>
      <c r="C20" s="43" t="s">
        <v>16</v>
      </c>
      <c r="D20" s="43">
        <v>480</v>
      </c>
      <c r="E20" s="43">
        <v>0</v>
      </c>
      <c r="F20" s="43">
        <f t="shared" si="13"/>
        <v>480</v>
      </c>
      <c r="G20" s="43">
        <f>F20</f>
        <v>480</v>
      </c>
      <c r="H20" s="47"/>
      <c r="I20" s="43">
        <v>750</v>
      </c>
      <c r="J20" s="43">
        <f t="shared" si="14"/>
        <v>37.5</v>
      </c>
      <c r="K20" s="43">
        <f t="shared" si="14"/>
        <v>75</v>
      </c>
      <c r="L20" s="43">
        <f t="shared" si="14"/>
        <v>225</v>
      </c>
      <c r="M20" s="43">
        <f t="shared" si="14"/>
        <v>225</v>
      </c>
      <c r="N20" s="43">
        <f t="shared" si="14"/>
        <v>187.5</v>
      </c>
      <c r="O20" s="45">
        <f t="shared" si="15"/>
        <v>750</v>
      </c>
      <c r="P20" s="43">
        <f t="shared" si="8"/>
        <v>18000</v>
      </c>
      <c r="Q20" s="43">
        <f t="shared" si="9"/>
        <v>36000</v>
      </c>
      <c r="R20" s="43">
        <f t="shared" si="10"/>
        <v>108000</v>
      </c>
      <c r="S20" s="43">
        <f t="shared" si="11"/>
        <v>108000</v>
      </c>
      <c r="T20" s="43">
        <f t="shared" si="12"/>
        <v>90000</v>
      </c>
      <c r="U20" s="45">
        <f t="shared" si="16"/>
        <v>360000</v>
      </c>
    </row>
    <row r="21" spans="1:21" x14ac:dyDescent="0.3">
      <c r="A21" s="271"/>
      <c r="B21" s="265"/>
      <c r="C21" s="43" t="s">
        <v>354</v>
      </c>
      <c r="D21" s="45">
        <v>500</v>
      </c>
      <c r="E21" s="43">
        <v>0</v>
      </c>
      <c r="F21" s="43">
        <f>D21-E21</f>
        <v>500</v>
      </c>
      <c r="G21" s="43">
        <v>425</v>
      </c>
      <c r="H21" s="47"/>
      <c r="I21" s="43">
        <v>664</v>
      </c>
      <c r="J21" s="43">
        <f t="shared" si="14"/>
        <v>33.200000000000003</v>
      </c>
      <c r="K21" s="43">
        <f t="shared" si="14"/>
        <v>66.400000000000006</v>
      </c>
      <c r="L21" s="43">
        <f t="shared" si="14"/>
        <v>199.2</v>
      </c>
      <c r="M21" s="43">
        <f t="shared" si="14"/>
        <v>199.2</v>
      </c>
      <c r="N21" s="43">
        <f t="shared" si="14"/>
        <v>166</v>
      </c>
      <c r="O21" s="45">
        <f t="shared" si="15"/>
        <v>664</v>
      </c>
      <c r="P21" s="43">
        <f t="shared" si="8"/>
        <v>16600</v>
      </c>
      <c r="Q21" s="43">
        <f t="shared" si="9"/>
        <v>33200</v>
      </c>
      <c r="R21" s="43">
        <f t="shared" si="10"/>
        <v>99600</v>
      </c>
      <c r="S21" s="43">
        <f t="shared" si="11"/>
        <v>99600</v>
      </c>
      <c r="T21" s="43">
        <f t="shared" si="12"/>
        <v>83000</v>
      </c>
      <c r="U21" s="45">
        <f t="shared" si="16"/>
        <v>332000</v>
      </c>
    </row>
    <row r="22" spans="1:21" x14ac:dyDescent="0.3">
      <c r="A22" s="271"/>
      <c r="B22" s="263" t="s">
        <v>385</v>
      </c>
      <c r="C22" s="43" t="s">
        <v>8</v>
      </c>
      <c r="D22" s="43">
        <v>790</v>
      </c>
      <c r="E22" s="43">
        <v>0</v>
      </c>
      <c r="F22" s="43">
        <f t="shared" ref="F22:F28" si="17">D22-E22</f>
        <v>790</v>
      </c>
      <c r="G22" s="43">
        <v>1000</v>
      </c>
      <c r="H22" s="47">
        <v>0.5</v>
      </c>
      <c r="I22" s="43">
        <v>9500</v>
      </c>
      <c r="J22" s="43">
        <f t="shared" si="14"/>
        <v>475</v>
      </c>
      <c r="K22" s="43">
        <f t="shared" si="14"/>
        <v>950</v>
      </c>
      <c r="L22" s="43">
        <f t="shared" si="14"/>
        <v>2850</v>
      </c>
      <c r="M22" s="43">
        <f t="shared" si="14"/>
        <v>2850</v>
      </c>
      <c r="N22" s="43">
        <f t="shared" si="14"/>
        <v>2375</v>
      </c>
      <c r="O22" s="45">
        <f t="shared" si="15"/>
        <v>9500</v>
      </c>
      <c r="P22" s="43">
        <f t="shared" si="8"/>
        <v>375250</v>
      </c>
      <c r="Q22" s="43">
        <f t="shared" si="9"/>
        <v>750500</v>
      </c>
      <c r="R22" s="43">
        <f t="shared" si="10"/>
        <v>2251500</v>
      </c>
      <c r="S22" s="43">
        <f t="shared" si="11"/>
        <v>2251500</v>
      </c>
      <c r="T22" s="43">
        <f t="shared" si="12"/>
        <v>1876250</v>
      </c>
      <c r="U22" s="45">
        <f t="shared" si="16"/>
        <v>7505000</v>
      </c>
    </row>
    <row r="23" spans="1:21" x14ac:dyDescent="0.3">
      <c r="A23" s="271"/>
      <c r="B23" s="264"/>
      <c r="C23" s="43" t="s">
        <v>386</v>
      </c>
      <c r="D23" s="43">
        <v>815</v>
      </c>
      <c r="E23" s="43">
        <v>0</v>
      </c>
      <c r="F23" s="43">
        <f t="shared" si="17"/>
        <v>815</v>
      </c>
      <c r="G23" s="43">
        <v>1000</v>
      </c>
      <c r="H23" s="47">
        <v>0.5</v>
      </c>
      <c r="I23" s="43">
        <v>8400</v>
      </c>
      <c r="J23" s="43">
        <f t="shared" si="14"/>
        <v>420</v>
      </c>
      <c r="K23" s="43">
        <f t="shared" si="14"/>
        <v>840</v>
      </c>
      <c r="L23" s="43">
        <f t="shared" si="14"/>
        <v>2520</v>
      </c>
      <c r="M23" s="43">
        <f t="shared" si="14"/>
        <v>2520</v>
      </c>
      <c r="N23" s="43">
        <f t="shared" si="14"/>
        <v>2100</v>
      </c>
      <c r="O23" s="45">
        <f t="shared" si="15"/>
        <v>8400</v>
      </c>
      <c r="P23" s="43">
        <f t="shared" si="8"/>
        <v>342300</v>
      </c>
      <c r="Q23" s="43">
        <f t="shared" si="9"/>
        <v>684600</v>
      </c>
      <c r="R23" s="43">
        <f t="shared" si="10"/>
        <v>2053800</v>
      </c>
      <c r="S23" s="43">
        <f t="shared" si="11"/>
        <v>2053800</v>
      </c>
      <c r="T23" s="43">
        <f t="shared" si="12"/>
        <v>1711500</v>
      </c>
      <c r="U23" s="45">
        <f t="shared" si="16"/>
        <v>6846000</v>
      </c>
    </row>
    <row r="24" spans="1:21" x14ac:dyDescent="0.3">
      <c r="A24" s="271"/>
      <c r="B24" s="264"/>
      <c r="C24" s="43" t="s">
        <v>387</v>
      </c>
      <c r="D24" s="43">
        <v>508</v>
      </c>
      <c r="E24" s="43">
        <v>0</v>
      </c>
      <c r="F24" s="43">
        <f t="shared" si="17"/>
        <v>508</v>
      </c>
      <c r="G24" s="43">
        <v>1000</v>
      </c>
      <c r="H24" s="47">
        <v>0.5</v>
      </c>
      <c r="I24" s="43">
        <v>7500</v>
      </c>
      <c r="J24" s="43">
        <f t="shared" si="14"/>
        <v>375</v>
      </c>
      <c r="K24" s="43">
        <f t="shared" si="14"/>
        <v>750</v>
      </c>
      <c r="L24" s="43">
        <f t="shared" si="14"/>
        <v>2250</v>
      </c>
      <c r="M24" s="43">
        <f t="shared" si="14"/>
        <v>2250</v>
      </c>
      <c r="N24" s="43">
        <f t="shared" si="14"/>
        <v>1875</v>
      </c>
      <c r="O24" s="45">
        <f t="shared" si="15"/>
        <v>7500</v>
      </c>
      <c r="P24" s="43">
        <f t="shared" si="8"/>
        <v>190500</v>
      </c>
      <c r="Q24" s="43">
        <f t="shared" si="9"/>
        <v>381000</v>
      </c>
      <c r="R24" s="43">
        <f t="shared" si="10"/>
        <v>1143000</v>
      </c>
      <c r="S24" s="43">
        <f t="shared" si="11"/>
        <v>1143000</v>
      </c>
      <c r="T24" s="43">
        <f t="shared" si="12"/>
        <v>952500</v>
      </c>
      <c r="U24" s="45">
        <f t="shared" si="16"/>
        <v>3810000</v>
      </c>
    </row>
    <row r="25" spans="1:21" x14ac:dyDescent="0.3">
      <c r="A25" s="271"/>
      <c r="B25" s="264"/>
      <c r="C25" s="43" t="s">
        <v>388</v>
      </c>
      <c r="D25" s="43">
        <v>543</v>
      </c>
      <c r="E25" s="43">
        <v>0</v>
      </c>
      <c r="F25" s="43">
        <f t="shared" si="17"/>
        <v>543</v>
      </c>
      <c r="G25" s="43">
        <f>F25</f>
        <v>543</v>
      </c>
      <c r="H25" s="47">
        <v>0.25</v>
      </c>
      <c r="I25" s="43">
        <v>0</v>
      </c>
      <c r="J25" s="43">
        <f t="shared" si="14"/>
        <v>0</v>
      </c>
      <c r="K25" s="43">
        <f t="shared" si="14"/>
        <v>0</v>
      </c>
      <c r="L25" s="43">
        <f t="shared" si="14"/>
        <v>0</v>
      </c>
      <c r="M25" s="43">
        <f t="shared" si="14"/>
        <v>0</v>
      </c>
      <c r="N25" s="43">
        <f t="shared" si="14"/>
        <v>0</v>
      </c>
      <c r="O25" s="45">
        <f t="shared" si="15"/>
        <v>0</v>
      </c>
      <c r="P25" s="43">
        <f t="shared" si="8"/>
        <v>0</v>
      </c>
      <c r="Q25" s="43">
        <f t="shared" si="9"/>
        <v>0</v>
      </c>
      <c r="R25" s="43">
        <f t="shared" si="10"/>
        <v>0</v>
      </c>
      <c r="S25" s="43">
        <f t="shared" si="11"/>
        <v>0</v>
      </c>
      <c r="T25" s="43">
        <f t="shared" si="12"/>
        <v>0</v>
      </c>
      <c r="U25" s="45">
        <f t="shared" si="16"/>
        <v>0</v>
      </c>
    </row>
    <row r="26" spans="1:21" x14ac:dyDescent="0.3">
      <c r="A26" s="271"/>
      <c r="B26" s="264"/>
      <c r="C26" s="43" t="s">
        <v>389</v>
      </c>
      <c r="D26" s="43">
        <v>440</v>
      </c>
      <c r="E26" s="43">
        <v>0</v>
      </c>
      <c r="F26" s="43">
        <f t="shared" si="17"/>
        <v>440</v>
      </c>
      <c r="G26" s="43">
        <f>F26</f>
        <v>440</v>
      </c>
      <c r="H26" s="47">
        <v>0.5</v>
      </c>
      <c r="I26" s="43">
        <v>1000</v>
      </c>
      <c r="J26" s="43">
        <f t="shared" si="14"/>
        <v>50</v>
      </c>
      <c r="K26" s="43">
        <f t="shared" si="14"/>
        <v>100</v>
      </c>
      <c r="L26" s="43">
        <f t="shared" si="14"/>
        <v>300</v>
      </c>
      <c r="M26" s="43">
        <f t="shared" si="14"/>
        <v>300</v>
      </c>
      <c r="N26" s="43">
        <f t="shared" si="14"/>
        <v>250</v>
      </c>
      <c r="O26" s="45">
        <f t="shared" si="15"/>
        <v>1000</v>
      </c>
      <c r="P26" s="43">
        <f t="shared" si="8"/>
        <v>22000</v>
      </c>
      <c r="Q26" s="43">
        <f t="shared" si="9"/>
        <v>44000</v>
      </c>
      <c r="R26" s="43">
        <f t="shared" si="10"/>
        <v>132000</v>
      </c>
      <c r="S26" s="43">
        <f t="shared" si="11"/>
        <v>132000</v>
      </c>
      <c r="T26" s="43">
        <f t="shared" si="12"/>
        <v>110000</v>
      </c>
      <c r="U26" s="45">
        <f t="shared" si="16"/>
        <v>440000</v>
      </c>
    </row>
    <row r="27" spans="1:21" x14ac:dyDescent="0.3">
      <c r="A27" s="271"/>
      <c r="B27" s="264"/>
      <c r="C27" s="43" t="s">
        <v>390</v>
      </c>
      <c r="D27" s="43">
        <v>415</v>
      </c>
      <c r="E27" s="43">
        <v>0</v>
      </c>
      <c r="F27" s="43">
        <f t="shared" si="17"/>
        <v>415</v>
      </c>
      <c r="G27" s="43">
        <v>1000</v>
      </c>
      <c r="H27" s="47">
        <v>0.5</v>
      </c>
      <c r="I27" s="43">
        <v>5324</v>
      </c>
      <c r="J27" s="43">
        <f t="shared" si="14"/>
        <v>266.2</v>
      </c>
      <c r="K27" s="43">
        <f t="shared" si="14"/>
        <v>532.4</v>
      </c>
      <c r="L27" s="43">
        <f t="shared" si="14"/>
        <v>1597.2</v>
      </c>
      <c r="M27" s="43">
        <f t="shared" si="14"/>
        <v>1597.2</v>
      </c>
      <c r="N27" s="43">
        <f t="shared" si="14"/>
        <v>1331</v>
      </c>
      <c r="O27" s="45">
        <f t="shared" si="15"/>
        <v>5324</v>
      </c>
      <c r="P27" s="43">
        <f t="shared" si="8"/>
        <v>110473</v>
      </c>
      <c r="Q27" s="43">
        <f t="shared" si="9"/>
        <v>220946</v>
      </c>
      <c r="R27" s="43">
        <f t="shared" si="10"/>
        <v>662838</v>
      </c>
      <c r="S27" s="43">
        <f t="shared" si="11"/>
        <v>662838</v>
      </c>
      <c r="T27" s="43">
        <f t="shared" si="12"/>
        <v>552365</v>
      </c>
      <c r="U27" s="45">
        <f t="shared" si="16"/>
        <v>2209460</v>
      </c>
    </row>
    <row r="28" spans="1:21" x14ac:dyDescent="0.3">
      <c r="A28" s="271"/>
      <c r="B28" s="265"/>
      <c r="C28" s="43" t="s">
        <v>345</v>
      </c>
      <c r="D28" s="43">
        <v>470</v>
      </c>
      <c r="E28" s="43">
        <v>0</v>
      </c>
      <c r="F28" s="43">
        <f t="shared" si="17"/>
        <v>470</v>
      </c>
      <c r="G28" s="43">
        <v>1000</v>
      </c>
      <c r="H28" s="47">
        <v>0.5</v>
      </c>
      <c r="I28" s="43">
        <v>3000</v>
      </c>
      <c r="J28" s="43">
        <f t="shared" si="14"/>
        <v>150</v>
      </c>
      <c r="K28" s="43">
        <f t="shared" si="14"/>
        <v>300</v>
      </c>
      <c r="L28" s="43">
        <f t="shared" si="14"/>
        <v>900</v>
      </c>
      <c r="M28" s="43">
        <f t="shared" si="14"/>
        <v>900</v>
      </c>
      <c r="N28" s="43">
        <f t="shared" si="14"/>
        <v>750</v>
      </c>
      <c r="O28" s="45">
        <f t="shared" si="15"/>
        <v>3000</v>
      </c>
      <c r="P28" s="43">
        <f t="shared" si="8"/>
        <v>70500</v>
      </c>
      <c r="Q28" s="43">
        <f t="shared" si="9"/>
        <v>141000</v>
      </c>
      <c r="R28" s="43">
        <f t="shared" si="10"/>
        <v>423000</v>
      </c>
      <c r="S28" s="43">
        <f t="shared" si="11"/>
        <v>423000</v>
      </c>
      <c r="T28" s="43">
        <f t="shared" si="12"/>
        <v>352500</v>
      </c>
      <c r="U28" s="45">
        <f t="shared" si="16"/>
        <v>1410000</v>
      </c>
    </row>
    <row r="29" spans="1:21" x14ac:dyDescent="0.3">
      <c r="A29" s="49"/>
      <c r="B29" s="49"/>
      <c r="C29" s="50" t="s">
        <v>12</v>
      </c>
      <c r="D29" s="50">
        <f>AVERAGE(D17:D28)</f>
        <v>855.08333333333337</v>
      </c>
      <c r="E29" s="50"/>
      <c r="F29" s="50"/>
      <c r="G29" s="50"/>
      <c r="H29" s="50"/>
      <c r="I29" s="50">
        <f t="shared" ref="I29:U29" si="18">SUM(I17:I28)</f>
        <v>36238</v>
      </c>
      <c r="J29" s="50">
        <f t="shared" si="18"/>
        <v>1811.9</v>
      </c>
      <c r="K29" s="50">
        <f t="shared" si="18"/>
        <v>3623.8</v>
      </c>
      <c r="L29" s="50">
        <f t="shared" si="18"/>
        <v>10871.400000000001</v>
      </c>
      <c r="M29" s="50">
        <f t="shared" si="18"/>
        <v>10871.400000000001</v>
      </c>
      <c r="N29" s="50">
        <f t="shared" si="18"/>
        <v>9059.5</v>
      </c>
      <c r="O29" s="50">
        <f t="shared" si="18"/>
        <v>36238</v>
      </c>
      <c r="P29" s="50">
        <f t="shared" si="18"/>
        <v>1157123</v>
      </c>
      <c r="Q29" s="50">
        <f t="shared" si="18"/>
        <v>2314246</v>
      </c>
      <c r="R29" s="50">
        <f t="shared" si="18"/>
        <v>6942738</v>
      </c>
      <c r="S29" s="50">
        <f t="shared" si="18"/>
        <v>6942738</v>
      </c>
      <c r="T29" s="50">
        <f t="shared" si="18"/>
        <v>5785615</v>
      </c>
      <c r="U29" s="50">
        <f t="shared" si="18"/>
        <v>23142460</v>
      </c>
    </row>
    <row r="30" spans="1:21" x14ac:dyDescent="0.3">
      <c r="A30" s="260" t="s">
        <v>346</v>
      </c>
      <c r="B30" s="263" t="s">
        <v>383</v>
      </c>
      <c r="C30" s="43" t="s">
        <v>3</v>
      </c>
      <c r="D30" s="43">
        <v>1300</v>
      </c>
      <c r="E30" s="43"/>
      <c r="F30" s="43"/>
      <c r="G30" s="43">
        <v>1105</v>
      </c>
      <c r="H30" s="47"/>
      <c r="I30" s="43">
        <f>I17+I4</f>
        <v>600</v>
      </c>
      <c r="J30" s="43">
        <f t="shared" ref="J30:O30" si="19">J17+J4</f>
        <v>30</v>
      </c>
      <c r="K30" s="43">
        <f t="shared" si="19"/>
        <v>60</v>
      </c>
      <c r="L30" s="43">
        <f t="shared" si="19"/>
        <v>180</v>
      </c>
      <c r="M30" s="43">
        <f t="shared" si="19"/>
        <v>180</v>
      </c>
      <c r="N30" s="43">
        <f t="shared" si="19"/>
        <v>150</v>
      </c>
      <c r="O30" s="43">
        <f t="shared" si="19"/>
        <v>600</v>
      </c>
      <c r="P30" s="43">
        <f>P17+P4</f>
        <v>35100</v>
      </c>
      <c r="Q30" s="43">
        <f t="shared" ref="Q30:U30" si="20">Q17+Q4</f>
        <v>70200</v>
      </c>
      <c r="R30" s="43">
        <f t="shared" si="20"/>
        <v>210600</v>
      </c>
      <c r="S30" s="43">
        <f t="shared" si="20"/>
        <v>210600</v>
      </c>
      <c r="T30" s="43">
        <f t="shared" si="20"/>
        <v>175500</v>
      </c>
      <c r="U30" s="45">
        <f t="shared" si="20"/>
        <v>702000</v>
      </c>
    </row>
    <row r="31" spans="1:21" x14ac:dyDescent="0.3">
      <c r="A31" s="261"/>
      <c r="B31" s="264"/>
      <c r="C31" s="43" t="s">
        <v>5</v>
      </c>
      <c r="D31" s="43">
        <v>2300</v>
      </c>
      <c r="E31" s="43"/>
      <c r="F31" s="43"/>
      <c r="G31" s="43">
        <v>1955</v>
      </c>
      <c r="H31" s="47"/>
      <c r="I31" s="43">
        <f t="shared" ref="I31:O42" si="21">I18+I5</f>
        <v>450</v>
      </c>
      <c r="J31" s="43">
        <f t="shared" si="21"/>
        <v>22.5</v>
      </c>
      <c r="K31" s="43">
        <f t="shared" si="21"/>
        <v>45</v>
      </c>
      <c r="L31" s="43">
        <f t="shared" si="21"/>
        <v>135</v>
      </c>
      <c r="M31" s="43">
        <f t="shared" si="21"/>
        <v>135</v>
      </c>
      <c r="N31" s="43">
        <f t="shared" si="21"/>
        <v>112.5</v>
      </c>
      <c r="O31" s="43">
        <f t="shared" si="21"/>
        <v>450</v>
      </c>
      <c r="P31" s="43">
        <f t="shared" ref="P31:U31" si="22">P18+P5</f>
        <v>47725</v>
      </c>
      <c r="Q31" s="43">
        <f t="shared" si="22"/>
        <v>95450</v>
      </c>
      <c r="R31" s="43">
        <f t="shared" si="22"/>
        <v>286350</v>
      </c>
      <c r="S31" s="43">
        <f t="shared" si="22"/>
        <v>286350</v>
      </c>
      <c r="T31" s="43">
        <f t="shared" si="22"/>
        <v>238625</v>
      </c>
      <c r="U31" s="45">
        <f t="shared" si="22"/>
        <v>954500</v>
      </c>
    </row>
    <row r="32" spans="1:21" x14ac:dyDescent="0.3">
      <c r="A32" s="261"/>
      <c r="B32" s="265"/>
      <c r="C32" s="43" t="s">
        <v>7</v>
      </c>
      <c r="D32" s="43">
        <v>1700</v>
      </c>
      <c r="E32" s="43"/>
      <c r="F32" s="43"/>
      <c r="G32" s="43">
        <v>1445</v>
      </c>
      <c r="H32" s="47"/>
      <c r="I32" s="43">
        <f t="shared" si="21"/>
        <v>60</v>
      </c>
      <c r="J32" s="43">
        <f t="shared" si="21"/>
        <v>3</v>
      </c>
      <c r="K32" s="43">
        <f t="shared" si="21"/>
        <v>6</v>
      </c>
      <c r="L32" s="43">
        <f t="shared" si="21"/>
        <v>18</v>
      </c>
      <c r="M32" s="43">
        <f t="shared" si="21"/>
        <v>18</v>
      </c>
      <c r="N32" s="43">
        <f t="shared" si="21"/>
        <v>15</v>
      </c>
      <c r="O32" s="43">
        <f t="shared" si="21"/>
        <v>60</v>
      </c>
      <c r="P32" s="43">
        <f t="shared" ref="P32:U32" si="23">P19+P6</f>
        <v>4590</v>
      </c>
      <c r="Q32" s="43">
        <f t="shared" si="23"/>
        <v>9180</v>
      </c>
      <c r="R32" s="43">
        <f t="shared" si="23"/>
        <v>27540</v>
      </c>
      <c r="S32" s="43">
        <f t="shared" si="23"/>
        <v>27540</v>
      </c>
      <c r="T32" s="43">
        <f t="shared" si="23"/>
        <v>22950</v>
      </c>
      <c r="U32" s="45">
        <f t="shared" si="23"/>
        <v>91800</v>
      </c>
    </row>
    <row r="33" spans="1:21" x14ac:dyDescent="0.3">
      <c r="A33" s="261"/>
      <c r="B33" s="263" t="s">
        <v>384</v>
      </c>
      <c r="C33" s="43" t="s">
        <v>16</v>
      </c>
      <c r="D33" s="43">
        <v>480</v>
      </c>
      <c r="E33" s="43"/>
      <c r="F33" s="43"/>
      <c r="G33" s="43">
        <v>408</v>
      </c>
      <c r="H33" s="47"/>
      <c r="I33" s="43">
        <f t="shared" si="21"/>
        <v>1500</v>
      </c>
      <c r="J33" s="43">
        <f t="shared" si="21"/>
        <v>75</v>
      </c>
      <c r="K33" s="43">
        <f t="shared" si="21"/>
        <v>150</v>
      </c>
      <c r="L33" s="43">
        <f t="shared" si="21"/>
        <v>450</v>
      </c>
      <c r="M33" s="43">
        <f t="shared" si="21"/>
        <v>450</v>
      </c>
      <c r="N33" s="43">
        <f t="shared" si="21"/>
        <v>375</v>
      </c>
      <c r="O33" s="43">
        <f t="shared" si="21"/>
        <v>1500</v>
      </c>
      <c r="P33" s="43">
        <f t="shared" ref="P33:U33" si="24">P20+P7</f>
        <v>34200</v>
      </c>
      <c r="Q33" s="43">
        <f t="shared" si="24"/>
        <v>68400</v>
      </c>
      <c r="R33" s="43">
        <f t="shared" si="24"/>
        <v>205200</v>
      </c>
      <c r="S33" s="43">
        <f t="shared" si="24"/>
        <v>205200</v>
      </c>
      <c r="T33" s="43">
        <f t="shared" si="24"/>
        <v>171000</v>
      </c>
      <c r="U33" s="45">
        <f t="shared" si="24"/>
        <v>684000</v>
      </c>
    </row>
    <row r="34" spans="1:21" x14ac:dyDescent="0.3">
      <c r="A34" s="261"/>
      <c r="B34" s="265"/>
      <c r="C34" s="43" t="s">
        <v>354</v>
      </c>
      <c r="D34" s="45">
        <v>500</v>
      </c>
      <c r="E34" s="43"/>
      <c r="F34" s="43"/>
      <c r="G34" s="43">
        <v>425</v>
      </c>
      <c r="H34" s="47"/>
      <c r="I34" s="43">
        <f t="shared" si="21"/>
        <v>1214</v>
      </c>
      <c r="J34" s="43">
        <f t="shared" si="21"/>
        <v>60.7</v>
      </c>
      <c r="K34" s="43">
        <f t="shared" si="21"/>
        <v>121.4</v>
      </c>
      <c r="L34" s="43">
        <f t="shared" si="21"/>
        <v>364.2</v>
      </c>
      <c r="M34" s="43">
        <f t="shared" si="21"/>
        <v>364.2</v>
      </c>
      <c r="N34" s="43">
        <f t="shared" si="21"/>
        <v>303.5</v>
      </c>
      <c r="O34" s="43">
        <f t="shared" si="21"/>
        <v>1214</v>
      </c>
      <c r="P34" s="43">
        <f t="shared" ref="P34:U34" si="25">P21+P8</f>
        <v>28975</v>
      </c>
      <c r="Q34" s="43">
        <f t="shared" si="25"/>
        <v>57950</v>
      </c>
      <c r="R34" s="43">
        <f t="shared" si="25"/>
        <v>173850</v>
      </c>
      <c r="S34" s="43">
        <f t="shared" si="25"/>
        <v>173850</v>
      </c>
      <c r="T34" s="43">
        <f t="shared" si="25"/>
        <v>144875</v>
      </c>
      <c r="U34" s="45">
        <f t="shared" si="25"/>
        <v>579500</v>
      </c>
    </row>
    <row r="35" spans="1:21" x14ac:dyDescent="0.3">
      <c r="A35" s="261"/>
      <c r="B35" s="263" t="s">
        <v>385</v>
      </c>
      <c r="C35" s="43" t="s">
        <v>8</v>
      </c>
      <c r="D35" s="43">
        <v>790</v>
      </c>
      <c r="E35" s="43"/>
      <c r="F35" s="43"/>
      <c r="G35" s="43">
        <v>1000</v>
      </c>
      <c r="H35" s="47">
        <v>0.5</v>
      </c>
      <c r="I35" s="43">
        <f t="shared" si="21"/>
        <v>19500</v>
      </c>
      <c r="J35" s="43">
        <f t="shared" si="21"/>
        <v>975</v>
      </c>
      <c r="K35" s="43">
        <f t="shared" si="21"/>
        <v>1950</v>
      </c>
      <c r="L35" s="43">
        <f t="shared" si="21"/>
        <v>5850</v>
      </c>
      <c r="M35" s="43">
        <f t="shared" si="21"/>
        <v>5850</v>
      </c>
      <c r="N35" s="43">
        <f t="shared" si="21"/>
        <v>4875</v>
      </c>
      <c r="O35" s="43">
        <f t="shared" si="21"/>
        <v>19500</v>
      </c>
      <c r="P35" s="43">
        <f t="shared" ref="P35:U35" si="26">P22+P9</f>
        <v>730750</v>
      </c>
      <c r="Q35" s="43">
        <f t="shared" si="26"/>
        <v>1461500</v>
      </c>
      <c r="R35" s="43">
        <f t="shared" si="26"/>
        <v>4384500</v>
      </c>
      <c r="S35" s="43">
        <f t="shared" si="26"/>
        <v>4384500</v>
      </c>
      <c r="T35" s="43">
        <f t="shared" si="26"/>
        <v>3653750</v>
      </c>
      <c r="U35" s="45">
        <f t="shared" si="26"/>
        <v>14615000</v>
      </c>
    </row>
    <row r="36" spans="1:21" x14ac:dyDescent="0.3">
      <c r="A36" s="261"/>
      <c r="B36" s="264"/>
      <c r="C36" s="43" t="s">
        <v>386</v>
      </c>
      <c r="D36" s="43">
        <v>815</v>
      </c>
      <c r="E36" s="43"/>
      <c r="F36" s="43"/>
      <c r="G36" s="43">
        <v>1000</v>
      </c>
      <c r="H36" s="47">
        <v>0.5</v>
      </c>
      <c r="I36" s="43">
        <f t="shared" si="21"/>
        <v>13400</v>
      </c>
      <c r="J36" s="43">
        <f t="shared" si="21"/>
        <v>670</v>
      </c>
      <c r="K36" s="43">
        <f t="shared" si="21"/>
        <v>1340</v>
      </c>
      <c r="L36" s="43">
        <f t="shared" si="21"/>
        <v>4020</v>
      </c>
      <c r="M36" s="43">
        <f t="shared" si="21"/>
        <v>4020</v>
      </c>
      <c r="N36" s="43">
        <f t="shared" si="21"/>
        <v>3350</v>
      </c>
      <c r="O36" s="43">
        <f t="shared" si="21"/>
        <v>13400</v>
      </c>
      <c r="P36" s="43">
        <f t="shared" ref="P36:U36" si="27">P23+P10</f>
        <v>525675</v>
      </c>
      <c r="Q36" s="43">
        <f t="shared" si="27"/>
        <v>1051350</v>
      </c>
      <c r="R36" s="43">
        <f t="shared" si="27"/>
        <v>3154050</v>
      </c>
      <c r="S36" s="43">
        <f t="shared" si="27"/>
        <v>3154050</v>
      </c>
      <c r="T36" s="43">
        <f t="shared" si="27"/>
        <v>2628375</v>
      </c>
      <c r="U36" s="45">
        <f t="shared" si="27"/>
        <v>10513500</v>
      </c>
    </row>
    <row r="37" spans="1:21" x14ac:dyDescent="0.3">
      <c r="A37" s="261"/>
      <c r="B37" s="264"/>
      <c r="C37" s="43" t="s">
        <v>387</v>
      </c>
      <c r="D37" s="43">
        <v>508</v>
      </c>
      <c r="E37" s="43"/>
      <c r="F37" s="43"/>
      <c r="G37" s="43">
        <v>1000</v>
      </c>
      <c r="H37" s="47">
        <v>0.5</v>
      </c>
      <c r="I37" s="43">
        <f t="shared" si="21"/>
        <v>12500</v>
      </c>
      <c r="J37" s="43">
        <f t="shared" si="21"/>
        <v>625</v>
      </c>
      <c r="K37" s="43">
        <f t="shared" si="21"/>
        <v>1250</v>
      </c>
      <c r="L37" s="43">
        <f t="shared" si="21"/>
        <v>3750</v>
      </c>
      <c r="M37" s="43">
        <f t="shared" si="21"/>
        <v>3750</v>
      </c>
      <c r="N37" s="43">
        <f t="shared" si="21"/>
        <v>3125</v>
      </c>
      <c r="O37" s="43">
        <f t="shared" si="21"/>
        <v>12500</v>
      </c>
      <c r="P37" s="43">
        <f t="shared" ref="P37:U37" si="28">P24+P11</f>
        <v>304800</v>
      </c>
      <c r="Q37" s="43">
        <f t="shared" si="28"/>
        <v>609600</v>
      </c>
      <c r="R37" s="43">
        <f t="shared" si="28"/>
        <v>1828800</v>
      </c>
      <c r="S37" s="43">
        <f t="shared" si="28"/>
        <v>1828800</v>
      </c>
      <c r="T37" s="43">
        <f t="shared" si="28"/>
        <v>1524000</v>
      </c>
      <c r="U37" s="45">
        <f t="shared" si="28"/>
        <v>6096000</v>
      </c>
    </row>
    <row r="38" spans="1:21" x14ac:dyDescent="0.3">
      <c r="A38" s="261"/>
      <c r="B38" s="264"/>
      <c r="C38" s="43" t="s">
        <v>388</v>
      </c>
      <c r="D38" s="43">
        <v>543</v>
      </c>
      <c r="E38" s="43"/>
      <c r="F38" s="43"/>
      <c r="G38" s="43">
        <v>461.55</v>
      </c>
      <c r="H38" s="47">
        <v>0.25</v>
      </c>
      <c r="I38" s="43">
        <f t="shared" si="21"/>
        <v>1000</v>
      </c>
      <c r="J38" s="43">
        <f t="shared" si="21"/>
        <v>50</v>
      </c>
      <c r="K38" s="43">
        <f t="shared" si="21"/>
        <v>100</v>
      </c>
      <c r="L38" s="43">
        <f t="shared" si="21"/>
        <v>300</v>
      </c>
      <c r="M38" s="43">
        <f t="shared" si="21"/>
        <v>300</v>
      </c>
      <c r="N38" s="43">
        <f t="shared" si="21"/>
        <v>250</v>
      </c>
      <c r="O38" s="43">
        <f t="shared" si="21"/>
        <v>1000</v>
      </c>
      <c r="P38" s="43">
        <f t="shared" ref="P38:U38" si="29">P25+P12</f>
        <v>24435</v>
      </c>
      <c r="Q38" s="43">
        <f t="shared" si="29"/>
        <v>48870</v>
      </c>
      <c r="R38" s="43">
        <f t="shared" si="29"/>
        <v>146610</v>
      </c>
      <c r="S38" s="43">
        <f t="shared" si="29"/>
        <v>146610</v>
      </c>
      <c r="T38" s="43">
        <f t="shared" si="29"/>
        <v>122175</v>
      </c>
      <c r="U38" s="45">
        <f t="shared" si="29"/>
        <v>488700</v>
      </c>
    </row>
    <row r="39" spans="1:21" x14ac:dyDescent="0.3">
      <c r="A39" s="261"/>
      <c r="B39" s="264"/>
      <c r="C39" s="43" t="s">
        <v>389</v>
      </c>
      <c r="D39" s="43">
        <v>440</v>
      </c>
      <c r="E39" s="43"/>
      <c r="F39" s="43"/>
      <c r="G39" s="43">
        <v>374</v>
      </c>
      <c r="H39" s="47">
        <v>0.5</v>
      </c>
      <c r="I39" s="43">
        <f t="shared" si="21"/>
        <v>2000</v>
      </c>
      <c r="J39" s="43">
        <f t="shared" si="21"/>
        <v>100</v>
      </c>
      <c r="K39" s="43">
        <f t="shared" si="21"/>
        <v>200</v>
      </c>
      <c r="L39" s="43">
        <f t="shared" si="21"/>
        <v>600</v>
      </c>
      <c r="M39" s="43">
        <f t="shared" si="21"/>
        <v>600</v>
      </c>
      <c r="N39" s="43">
        <f t="shared" si="21"/>
        <v>500</v>
      </c>
      <c r="O39" s="43">
        <f t="shared" si="21"/>
        <v>2000</v>
      </c>
      <c r="P39" s="43">
        <f t="shared" ref="P39:U39" si="30">P26+P13</f>
        <v>41800</v>
      </c>
      <c r="Q39" s="43">
        <f t="shared" si="30"/>
        <v>83600</v>
      </c>
      <c r="R39" s="43">
        <f t="shared" si="30"/>
        <v>250800</v>
      </c>
      <c r="S39" s="43">
        <f t="shared" si="30"/>
        <v>250800</v>
      </c>
      <c r="T39" s="43">
        <f t="shared" si="30"/>
        <v>209000</v>
      </c>
      <c r="U39" s="45">
        <f t="shared" si="30"/>
        <v>836000</v>
      </c>
    </row>
    <row r="40" spans="1:21" x14ac:dyDescent="0.3">
      <c r="A40" s="261"/>
      <c r="B40" s="264"/>
      <c r="C40" s="43" t="s">
        <v>390</v>
      </c>
      <c r="D40" s="43">
        <v>415</v>
      </c>
      <c r="E40" s="43"/>
      <c r="F40" s="43"/>
      <c r="G40" s="43">
        <v>1000</v>
      </c>
      <c r="H40" s="47">
        <v>0.5</v>
      </c>
      <c r="I40" s="43">
        <f t="shared" si="21"/>
        <v>7824</v>
      </c>
      <c r="J40" s="43">
        <f t="shared" si="21"/>
        <v>391.2</v>
      </c>
      <c r="K40" s="43">
        <f t="shared" si="21"/>
        <v>782.4</v>
      </c>
      <c r="L40" s="43">
        <f t="shared" si="21"/>
        <v>2347.1999999999998</v>
      </c>
      <c r="M40" s="43">
        <f t="shared" si="21"/>
        <v>2347.1999999999998</v>
      </c>
      <c r="N40" s="43">
        <f t="shared" si="21"/>
        <v>1956</v>
      </c>
      <c r="O40" s="43">
        <f t="shared" si="21"/>
        <v>7824</v>
      </c>
      <c r="P40" s="43">
        <f t="shared" ref="P40:U40" si="31">P27+P14</f>
        <v>157160.5</v>
      </c>
      <c r="Q40" s="43">
        <f t="shared" si="31"/>
        <v>314321</v>
      </c>
      <c r="R40" s="43">
        <f t="shared" si="31"/>
        <v>942963</v>
      </c>
      <c r="S40" s="43">
        <f t="shared" si="31"/>
        <v>942963</v>
      </c>
      <c r="T40" s="43">
        <f t="shared" si="31"/>
        <v>785802.5</v>
      </c>
      <c r="U40" s="45">
        <f t="shared" si="31"/>
        <v>3143210</v>
      </c>
    </row>
    <row r="41" spans="1:21" x14ac:dyDescent="0.3">
      <c r="A41" s="262"/>
      <c r="B41" s="265"/>
      <c r="C41" s="43" t="s">
        <v>345</v>
      </c>
      <c r="D41" s="43">
        <v>470</v>
      </c>
      <c r="E41" s="43"/>
      <c r="F41" s="43"/>
      <c r="G41" s="43">
        <v>1000</v>
      </c>
      <c r="H41" s="47">
        <v>0.5</v>
      </c>
      <c r="I41" s="43">
        <f t="shared" si="21"/>
        <v>5000</v>
      </c>
      <c r="J41" s="43">
        <f t="shared" si="21"/>
        <v>250</v>
      </c>
      <c r="K41" s="43">
        <f t="shared" si="21"/>
        <v>500</v>
      </c>
      <c r="L41" s="43">
        <f t="shared" si="21"/>
        <v>1500</v>
      </c>
      <c r="M41" s="43">
        <f t="shared" si="21"/>
        <v>1500</v>
      </c>
      <c r="N41" s="43">
        <f t="shared" si="21"/>
        <v>1250</v>
      </c>
      <c r="O41" s="43">
        <f t="shared" si="21"/>
        <v>5000</v>
      </c>
      <c r="P41" s="43">
        <f t="shared" ref="P41:U41" si="32">P28+P15</f>
        <v>112800</v>
      </c>
      <c r="Q41" s="43">
        <f t="shared" si="32"/>
        <v>225600</v>
      </c>
      <c r="R41" s="43">
        <f t="shared" si="32"/>
        <v>676800</v>
      </c>
      <c r="S41" s="43">
        <f t="shared" si="32"/>
        <v>676800</v>
      </c>
      <c r="T41" s="43">
        <f t="shared" si="32"/>
        <v>564000</v>
      </c>
      <c r="U41" s="45">
        <f t="shared" si="32"/>
        <v>2256000</v>
      </c>
    </row>
    <row r="42" spans="1:21" x14ac:dyDescent="0.3">
      <c r="A42" s="53"/>
      <c r="B42" s="53"/>
      <c r="C42" s="48" t="s">
        <v>12</v>
      </c>
      <c r="D42" s="48">
        <f>AVERAGE(D30:D41)</f>
        <v>855.08333333333337</v>
      </c>
      <c r="E42" s="48"/>
      <c r="F42" s="48"/>
      <c r="G42" s="48"/>
      <c r="H42" s="48"/>
      <c r="I42" s="48">
        <f t="shared" si="21"/>
        <v>65048</v>
      </c>
      <c r="J42" s="48">
        <f t="shared" si="21"/>
        <v>3252.4</v>
      </c>
      <c r="K42" s="48">
        <f t="shared" si="21"/>
        <v>6504.8</v>
      </c>
      <c r="L42" s="48">
        <f t="shared" si="21"/>
        <v>19514.400000000001</v>
      </c>
      <c r="M42" s="48">
        <f t="shared" si="21"/>
        <v>19514.400000000001</v>
      </c>
      <c r="N42" s="48">
        <f t="shared" si="21"/>
        <v>16262</v>
      </c>
      <c r="O42" s="48">
        <f>O29+O16</f>
        <v>65048</v>
      </c>
      <c r="P42" s="48">
        <f t="shared" ref="P42:T42" si="33">P29+P16</f>
        <v>2048010.5</v>
      </c>
      <c r="Q42" s="48">
        <f t="shared" si="33"/>
        <v>4096021</v>
      </c>
      <c r="R42" s="48">
        <f t="shared" si="33"/>
        <v>12288063</v>
      </c>
      <c r="S42" s="48">
        <f t="shared" si="33"/>
        <v>12288063</v>
      </c>
      <c r="T42" s="48">
        <f t="shared" si="33"/>
        <v>10240052.5</v>
      </c>
      <c r="U42" s="48">
        <f>U29+U16</f>
        <v>40960210</v>
      </c>
    </row>
    <row r="43" spans="1:21" x14ac:dyDescent="0.3">
      <c r="J43" s="55"/>
    </row>
    <row r="45" spans="1:21" x14ac:dyDescent="0.3">
      <c r="B45" s="266" t="s">
        <v>424</v>
      </c>
      <c r="C45" s="267"/>
    </row>
    <row r="46" spans="1:21" x14ac:dyDescent="0.3">
      <c r="B46" s="43" t="s">
        <v>426</v>
      </c>
      <c r="C46" s="43">
        <v>2000000</v>
      </c>
    </row>
    <row r="47" spans="1:21" x14ac:dyDescent="0.3">
      <c r="B47" s="43" t="s">
        <v>425</v>
      </c>
      <c r="C47" s="43">
        <v>3</v>
      </c>
    </row>
    <row r="48" spans="1:21" x14ac:dyDescent="0.3">
      <c r="B48" s="43" t="s">
        <v>346</v>
      </c>
      <c r="C48" s="43">
        <f>C46*C47</f>
        <v>6000000</v>
      </c>
    </row>
    <row r="49" spans="2:8" x14ac:dyDescent="0.3">
      <c r="B49" s="43" t="s">
        <v>427</v>
      </c>
      <c r="C49" s="43">
        <f>C48*0.12</f>
        <v>720000</v>
      </c>
    </row>
    <row r="50" spans="2:8" x14ac:dyDescent="0.3">
      <c r="B50" s="43" t="s">
        <v>428</v>
      </c>
      <c r="C50" s="43">
        <f>C48-C49</f>
        <v>5280000</v>
      </c>
    </row>
    <row r="51" spans="2:8" x14ac:dyDescent="0.3">
      <c r="B51" s="43" t="s">
        <v>429</v>
      </c>
      <c r="C51" s="43">
        <v>120</v>
      </c>
      <c r="D51" s="56" t="s">
        <v>431</v>
      </c>
      <c r="E51" s="56" t="s">
        <v>432</v>
      </c>
      <c r="F51" s="56" t="s">
        <v>433</v>
      </c>
      <c r="G51" s="56" t="s">
        <v>434</v>
      </c>
      <c r="H51" s="56" t="s">
        <v>435</v>
      </c>
    </row>
    <row r="52" spans="2:8" x14ac:dyDescent="0.3">
      <c r="B52" s="43" t="s">
        <v>430</v>
      </c>
      <c r="C52" s="43">
        <f>C50/C51</f>
        <v>44000</v>
      </c>
      <c r="D52" s="43">
        <f>$C$52*J3</f>
        <v>2200</v>
      </c>
      <c r="E52" s="43">
        <f t="shared" ref="E52:H52" si="34">$C$52*K3</f>
        <v>4400</v>
      </c>
      <c r="F52" s="43">
        <f t="shared" si="34"/>
        <v>13200</v>
      </c>
      <c r="G52" s="43">
        <f t="shared" si="34"/>
        <v>13200</v>
      </c>
      <c r="H52" s="43">
        <f t="shared" si="34"/>
        <v>11000</v>
      </c>
    </row>
  </sheetData>
  <mergeCells count="16">
    <mergeCell ref="J1:O1"/>
    <mergeCell ref="P1:U1"/>
    <mergeCell ref="B3:C3"/>
    <mergeCell ref="B4:B6"/>
    <mergeCell ref="B7:B8"/>
    <mergeCell ref="A4:A15"/>
    <mergeCell ref="A17:A28"/>
    <mergeCell ref="B17:B19"/>
    <mergeCell ref="B20:B21"/>
    <mergeCell ref="B22:B28"/>
    <mergeCell ref="B9:B15"/>
    <mergeCell ref="A30:A41"/>
    <mergeCell ref="B30:B32"/>
    <mergeCell ref="B33:B34"/>
    <mergeCell ref="B35:B41"/>
    <mergeCell ref="B45:C4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V139"/>
  <sheetViews>
    <sheetView zoomScale="84" zoomScaleNormal="84" workbookViewId="0">
      <pane ySplit="1" topLeftCell="A44" activePane="bottomLeft" state="frozen"/>
      <selection pane="bottomLeft" activeCell="D56" sqref="D56"/>
    </sheetView>
  </sheetViews>
  <sheetFormatPr defaultColWidth="9.109375" defaultRowHeight="10.199999999999999" x14ac:dyDescent="0.2"/>
  <cols>
    <col min="1" max="1" width="9.109375" style="6"/>
    <col min="2" max="2" width="12.109375" style="9" bestFit="1" customWidth="1"/>
    <col min="3" max="3" width="7.33203125" style="6" customWidth="1"/>
    <col min="4" max="4" width="20.33203125" style="9" bestFit="1" customWidth="1"/>
    <col min="5" max="5" width="10.6640625" style="6" customWidth="1"/>
    <col min="6" max="6" width="19.109375" style="9" bestFit="1" customWidth="1"/>
    <col min="7" max="10" width="9.109375" style="6"/>
    <col min="11" max="11" width="11.88671875" style="6" bestFit="1" customWidth="1"/>
    <col min="12" max="12" width="10.6640625" style="6" bestFit="1" customWidth="1"/>
    <col min="13" max="13" width="11.6640625" style="6" bestFit="1" customWidth="1"/>
    <col min="14" max="255" width="9.109375" style="6"/>
    <col min="256" max="256" width="15.6640625" style="6" bestFit="1" customWidth="1"/>
    <col min="257" max="257" width="14.6640625" style="6" bestFit="1" customWidth="1"/>
    <col min="258" max="258" width="13.33203125" style="6" bestFit="1" customWidth="1"/>
    <col min="259" max="259" width="31.5546875" style="6" bestFit="1" customWidth="1"/>
    <col min="260" max="260" width="10.6640625" style="6" bestFit="1" customWidth="1"/>
    <col min="261" max="261" width="31.33203125" style="6" bestFit="1" customWidth="1"/>
    <col min="262" max="262" width="0" style="6" hidden="1" customWidth="1"/>
    <col min="263" max="511" width="9.109375" style="6"/>
    <col min="512" max="512" width="15.6640625" style="6" bestFit="1" customWidth="1"/>
    <col min="513" max="513" width="14.6640625" style="6" bestFit="1" customWidth="1"/>
    <col min="514" max="514" width="13.33203125" style="6" bestFit="1" customWidth="1"/>
    <col min="515" max="515" width="31.5546875" style="6" bestFit="1" customWidth="1"/>
    <col min="516" max="516" width="10.6640625" style="6" bestFit="1" customWidth="1"/>
    <col min="517" max="517" width="31.33203125" style="6" bestFit="1" customWidth="1"/>
    <col min="518" max="518" width="0" style="6" hidden="1" customWidth="1"/>
    <col min="519" max="767" width="9.109375" style="6"/>
    <col min="768" max="768" width="15.6640625" style="6" bestFit="1" customWidth="1"/>
    <col min="769" max="769" width="14.6640625" style="6" bestFit="1" customWidth="1"/>
    <col min="770" max="770" width="13.33203125" style="6" bestFit="1" customWidth="1"/>
    <col min="771" max="771" width="31.5546875" style="6" bestFit="1" customWidth="1"/>
    <col min="772" max="772" width="10.6640625" style="6" bestFit="1" customWidth="1"/>
    <col min="773" max="773" width="31.33203125" style="6" bestFit="1" customWidth="1"/>
    <col min="774" max="774" width="0" style="6" hidden="1" customWidth="1"/>
    <col min="775" max="1023" width="9.109375" style="6"/>
    <col min="1024" max="1024" width="15.6640625" style="6" bestFit="1" customWidth="1"/>
    <col min="1025" max="1025" width="14.6640625" style="6" bestFit="1" customWidth="1"/>
    <col min="1026" max="1026" width="13.33203125" style="6" bestFit="1" customWidth="1"/>
    <col min="1027" max="1027" width="31.5546875" style="6" bestFit="1" customWidth="1"/>
    <col min="1028" max="1028" width="10.6640625" style="6" bestFit="1" customWidth="1"/>
    <col min="1029" max="1029" width="31.33203125" style="6" bestFit="1" customWidth="1"/>
    <col min="1030" max="1030" width="0" style="6" hidden="1" customWidth="1"/>
    <col min="1031" max="1279" width="9.109375" style="6"/>
    <col min="1280" max="1280" width="15.6640625" style="6" bestFit="1" customWidth="1"/>
    <col min="1281" max="1281" width="14.6640625" style="6" bestFit="1" customWidth="1"/>
    <col min="1282" max="1282" width="13.33203125" style="6" bestFit="1" customWidth="1"/>
    <col min="1283" max="1283" width="31.5546875" style="6" bestFit="1" customWidth="1"/>
    <col min="1284" max="1284" width="10.6640625" style="6" bestFit="1" customWidth="1"/>
    <col min="1285" max="1285" width="31.33203125" style="6" bestFit="1" customWidth="1"/>
    <col min="1286" max="1286" width="0" style="6" hidden="1" customWidth="1"/>
    <col min="1287" max="1535" width="9.109375" style="6"/>
    <col min="1536" max="1536" width="15.6640625" style="6" bestFit="1" customWidth="1"/>
    <col min="1537" max="1537" width="14.6640625" style="6" bestFit="1" customWidth="1"/>
    <col min="1538" max="1538" width="13.33203125" style="6" bestFit="1" customWidth="1"/>
    <col min="1539" max="1539" width="31.5546875" style="6" bestFit="1" customWidth="1"/>
    <col min="1540" max="1540" width="10.6640625" style="6" bestFit="1" customWidth="1"/>
    <col min="1541" max="1541" width="31.33203125" style="6" bestFit="1" customWidth="1"/>
    <col min="1542" max="1542" width="0" style="6" hidden="1" customWidth="1"/>
    <col min="1543" max="1791" width="9.109375" style="6"/>
    <col min="1792" max="1792" width="15.6640625" style="6" bestFit="1" customWidth="1"/>
    <col min="1793" max="1793" width="14.6640625" style="6" bestFit="1" customWidth="1"/>
    <col min="1794" max="1794" width="13.33203125" style="6" bestFit="1" customWidth="1"/>
    <col min="1795" max="1795" width="31.5546875" style="6" bestFit="1" customWidth="1"/>
    <col min="1796" max="1796" width="10.6640625" style="6" bestFit="1" customWidth="1"/>
    <col min="1797" max="1797" width="31.33203125" style="6" bestFit="1" customWidth="1"/>
    <col min="1798" max="1798" width="0" style="6" hidden="1" customWidth="1"/>
    <col min="1799" max="2047" width="9.109375" style="6"/>
    <col min="2048" max="2048" width="15.6640625" style="6" bestFit="1" customWidth="1"/>
    <col min="2049" max="2049" width="14.6640625" style="6" bestFit="1" customWidth="1"/>
    <col min="2050" max="2050" width="13.33203125" style="6" bestFit="1" customWidth="1"/>
    <col min="2051" max="2051" width="31.5546875" style="6" bestFit="1" customWidth="1"/>
    <col min="2052" max="2052" width="10.6640625" style="6" bestFit="1" customWidth="1"/>
    <col min="2053" max="2053" width="31.33203125" style="6" bestFit="1" customWidth="1"/>
    <col min="2054" max="2054" width="0" style="6" hidden="1" customWidth="1"/>
    <col min="2055" max="2303" width="9.109375" style="6"/>
    <col min="2304" max="2304" width="15.6640625" style="6" bestFit="1" customWidth="1"/>
    <col min="2305" max="2305" width="14.6640625" style="6" bestFit="1" customWidth="1"/>
    <col min="2306" max="2306" width="13.33203125" style="6" bestFit="1" customWidth="1"/>
    <col min="2307" max="2307" width="31.5546875" style="6" bestFit="1" customWidth="1"/>
    <col min="2308" max="2308" width="10.6640625" style="6" bestFit="1" customWidth="1"/>
    <col min="2309" max="2309" width="31.33203125" style="6" bestFit="1" customWidth="1"/>
    <col min="2310" max="2310" width="0" style="6" hidden="1" customWidth="1"/>
    <col min="2311" max="2559" width="9.109375" style="6"/>
    <col min="2560" max="2560" width="15.6640625" style="6" bestFit="1" customWidth="1"/>
    <col min="2561" max="2561" width="14.6640625" style="6" bestFit="1" customWidth="1"/>
    <col min="2562" max="2562" width="13.33203125" style="6" bestFit="1" customWidth="1"/>
    <col min="2563" max="2563" width="31.5546875" style="6" bestFit="1" customWidth="1"/>
    <col min="2564" max="2564" width="10.6640625" style="6" bestFit="1" customWidth="1"/>
    <col min="2565" max="2565" width="31.33203125" style="6" bestFit="1" customWidth="1"/>
    <col min="2566" max="2566" width="0" style="6" hidden="1" customWidth="1"/>
    <col min="2567" max="2815" width="9.109375" style="6"/>
    <col min="2816" max="2816" width="15.6640625" style="6" bestFit="1" customWidth="1"/>
    <col min="2817" max="2817" width="14.6640625" style="6" bestFit="1" customWidth="1"/>
    <col min="2818" max="2818" width="13.33203125" style="6" bestFit="1" customWidth="1"/>
    <col min="2819" max="2819" width="31.5546875" style="6" bestFit="1" customWidth="1"/>
    <col min="2820" max="2820" width="10.6640625" style="6" bestFit="1" customWidth="1"/>
    <col min="2821" max="2821" width="31.33203125" style="6" bestFit="1" customWidth="1"/>
    <col min="2822" max="2822" width="0" style="6" hidden="1" customWidth="1"/>
    <col min="2823" max="3071" width="9.109375" style="6"/>
    <col min="3072" max="3072" width="15.6640625" style="6" bestFit="1" customWidth="1"/>
    <col min="3073" max="3073" width="14.6640625" style="6" bestFit="1" customWidth="1"/>
    <col min="3074" max="3074" width="13.33203125" style="6" bestFit="1" customWidth="1"/>
    <col min="3075" max="3075" width="31.5546875" style="6" bestFit="1" customWidth="1"/>
    <col min="3076" max="3076" width="10.6640625" style="6" bestFit="1" customWidth="1"/>
    <col min="3077" max="3077" width="31.33203125" style="6" bestFit="1" customWidth="1"/>
    <col min="3078" max="3078" width="0" style="6" hidden="1" customWidth="1"/>
    <col min="3079" max="3327" width="9.109375" style="6"/>
    <col min="3328" max="3328" width="15.6640625" style="6" bestFit="1" customWidth="1"/>
    <col min="3329" max="3329" width="14.6640625" style="6" bestFit="1" customWidth="1"/>
    <col min="3330" max="3330" width="13.33203125" style="6" bestFit="1" customWidth="1"/>
    <col min="3331" max="3331" width="31.5546875" style="6" bestFit="1" customWidth="1"/>
    <col min="3332" max="3332" width="10.6640625" style="6" bestFit="1" customWidth="1"/>
    <col min="3333" max="3333" width="31.33203125" style="6" bestFit="1" customWidth="1"/>
    <col min="3334" max="3334" width="0" style="6" hidden="1" customWidth="1"/>
    <col min="3335" max="3583" width="9.109375" style="6"/>
    <col min="3584" max="3584" width="15.6640625" style="6" bestFit="1" customWidth="1"/>
    <col min="3585" max="3585" width="14.6640625" style="6" bestFit="1" customWidth="1"/>
    <col min="3586" max="3586" width="13.33203125" style="6" bestFit="1" customWidth="1"/>
    <col min="3587" max="3587" width="31.5546875" style="6" bestFit="1" customWidth="1"/>
    <col min="3588" max="3588" width="10.6640625" style="6" bestFit="1" customWidth="1"/>
    <col min="3589" max="3589" width="31.33203125" style="6" bestFit="1" customWidth="1"/>
    <col min="3590" max="3590" width="0" style="6" hidden="1" customWidth="1"/>
    <col min="3591" max="3839" width="9.109375" style="6"/>
    <col min="3840" max="3840" width="15.6640625" style="6" bestFit="1" customWidth="1"/>
    <col min="3841" max="3841" width="14.6640625" style="6" bestFit="1" customWidth="1"/>
    <col min="3842" max="3842" width="13.33203125" style="6" bestFit="1" customWidth="1"/>
    <col min="3843" max="3843" width="31.5546875" style="6" bestFit="1" customWidth="1"/>
    <col min="3844" max="3844" width="10.6640625" style="6" bestFit="1" customWidth="1"/>
    <col min="3845" max="3845" width="31.33203125" style="6" bestFit="1" customWidth="1"/>
    <col min="3846" max="3846" width="0" style="6" hidden="1" customWidth="1"/>
    <col min="3847" max="4095" width="9.109375" style="6"/>
    <col min="4096" max="4096" width="15.6640625" style="6" bestFit="1" customWidth="1"/>
    <col min="4097" max="4097" width="14.6640625" style="6" bestFit="1" customWidth="1"/>
    <col min="4098" max="4098" width="13.33203125" style="6" bestFit="1" customWidth="1"/>
    <col min="4099" max="4099" width="31.5546875" style="6" bestFit="1" customWidth="1"/>
    <col min="4100" max="4100" width="10.6640625" style="6" bestFit="1" customWidth="1"/>
    <col min="4101" max="4101" width="31.33203125" style="6" bestFit="1" customWidth="1"/>
    <col min="4102" max="4102" width="0" style="6" hidden="1" customWidth="1"/>
    <col min="4103" max="4351" width="9.109375" style="6"/>
    <col min="4352" max="4352" width="15.6640625" style="6" bestFit="1" customWidth="1"/>
    <col min="4353" max="4353" width="14.6640625" style="6" bestFit="1" customWidth="1"/>
    <col min="4354" max="4354" width="13.33203125" style="6" bestFit="1" customWidth="1"/>
    <col min="4355" max="4355" width="31.5546875" style="6" bestFit="1" customWidth="1"/>
    <col min="4356" max="4356" width="10.6640625" style="6" bestFit="1" customWidth="1"/>
    <col min="4357" max="4357" width="31.33203125" style="6" bestFit="1" customWidth="1"/>
    <col min="4358" max="4358" width="0" style="6" hidden="1" customWidth="1"/>
    <col min="4359" max="4607" width="9.109375" style="6"/>
    <col min="4608" max="4608" width="15.6640625" style="6" bestFit="1" customWidth="1"/>
    <col min="4609" max="4609" width="14.6640625" style="6" bestFit="1" customWidth="1"/>
    <col min="4610" max="4610" width="13.33203125" style="6" bestFit="1" customWidth="1"/>
    <col min="4611" max="4611" width="31.5546875" style="6" bestFit="1" customWidth="1"/>
    <col min="4612" max="4612" width="10.6640625" style="6" bestFit="1" customWidth="1"/>
    <col min="4613" max="4613" width="31.33203125" style="6" bestFit="1" customWidth="1"/>
    <col min="4614" max="4614" width="0" style="6" hidden="1" customWidth="1"/>
    <col min="4615" max="4863" width="9.109375" style="6"/>
    <col min="4864" max="4864" width="15.6640625" style="6" bestFit="1" customWidth="1"/>
    <col min="4865" max="4865" width="14.6640625" style="6" bestFit="1" customWidth="1"/>
    <col min="4866" max="4866" width="13.33203125" style="6" bestFit="1" customWidth="1"/>
    <col min="4867" max="4867" width="31.5546875" style="6" bestFit="1" customWidth="1"/>
    <col min="4868" max="4868" width="10.6640625" style="6" bestFit="1" customWidth="1"/>
    <col min="4869" max="4869" width="31.33203125" style="6" bestFit="1" customWidth="1"/>
    <col min="4870" max="4870" width="0" style="6" hidden="1" customWidth="1"/>
    <col min="4871" max="5119" width="9.109375" style="6"/>
    <col min="5120" max="5120" width="15.6640625" style="6" bestFit="1" customWidth="1"/>
    <col min="5121" max="5121" width="14.6640625" style="6" bestFit="1" customWidth="1"/>
    <col min="5122" max="5122" width="13.33203125" style="6" bestFit="1" customWidth="1"/>
    <col min="5123" max="5123" width="31.5546875" style="6" bestFit="1" customWidth="1"/>
    <col min="5124" max="5124" width="10.6640625" style="6" bestFit="1" customWidth="1"/>
    <col min="5125" max="5125" width="31.33203125" style="6" bestFit="1" customWidth="1"/>
    <col min="5126" max="5126" width="0" style="6" hidden="1" customWidth="1"/>
    <col min="5127" max="5375" width="9.109375" style="6"/>
    <col min="5376" max="5376" width="15.6640625" style="6" bestFit="1" customWidth="1"/>
    <col min="5377" max="5377" width="14.6640625" style="6" bestFit="1" customWidth="1"/>
    <col min="5378" max="5378" width="13.33203125" style="6" bestFit="1" customWidth="1"/>
    <col min="5379" max="5379" width="31.5546875" style="6" bestFit="1" customWidth="1"/>
    <col min="5380" max="5380" width="10.6640625" style="6" bestFit="1" customWidth="1"/>
    <col min="5381" max="5381" width="31.33203125" style="6" bestFit="1" customWidth="1"/>
    <col min="5382" max="5382" width="0" style="6" hidden="1" customWidth="1"/>
    <col min="5383" max="5631" width="9.109375" style="6"/>
    <col min="5632" max="5632" width="15.6640625" style="6" bestFit="1" customWidth="1"/>
    <col min="5633" max="5633" width="14.6640625" style="6" bestFit="1" customWidth="1"/>
    <col min="5634" max="5634" width="13.33203125" style="6" bestFit="1" customWidth="1"/>
    <col min="5635" max="5635" width="31.5546875" style="6" bestFit="1" customWidth="1"/>
    <col min="5636" max="5636" width="10.6640625" style="6" bestFit="1" customWidth="1"/>
    <col min="5637" max="5637" width="31.33203125" style="6" bestFit="1" customWidth="1"/>
    <col min="5638" max="5638" width="0" style="6" hidden="1" customWidth="1"/>
    <col min="5639" max="5887" width="9.109375" style="6"/>
    <col min="5888" max="5888" width="15.6640625" style="6" bestFit="1" customWidth="1"/>
    <col min="5889" max="5889" width="14.6640625" style="6" bestFit="1" customWidth="1"/>
    <col min="5890" max="5890" width="13.33203125" style="6" bestFit="1" customWidth="1"/>
    <col min="5891" max="5891" width="31.5546875" style="6" bestFit="1" customWidth="1"/>
    <col min="5892" max="5892" width="10.6640625" style="6" bestFit="1" customWidth="1"/>
    <col min="5893" max="5893" width="31.33203125" style="6" bestFit="1" customWidth="1"/>
    <col min="5894" max="5894" width="0" style="6" hidden="1" customWidth="1"/>
    <col min="5895" max="6143" width="9.109375" style="6"/>
    <col min="6144" max="6144" width="15.6640625" style="6" bestFit="1" customWidth="1"/>
    <col min="6145" max="6145" width="14.6640625" style="6" bestFit="1" customWidth="1"/>
    <col min="6146" max="6146" width="13.33203125" style="6" bestFit="1" customWidth="1"/>
    <col min="6147" max="6147" width="31.5546875" style="6" bestFit="1" customWidth="1"/>
    <col min="6148" max="6148" width="10.6640625" style="6" bestFit="1" customWidth="1"/>
    <col min="6149" max="6149" width="31.33203125" style="6" bestFit="1" customWidth="1"/>
    <col min="6150" max="6150" width="0" style="6" hidden="1" customWidth="1"/>
    <col min="6151" max="6399" width="9.109375" style="6"/>
    <col min="6400" max="6400" width="15.6640625" style="6" bestFit="1" customWidth="1"/>
    <col min="6401" max="6401" width="14.6640625" style="6" bestFit="1" customWidth="1"/>
    <col min="6402" max="6402" width="13.33203125" style="6" bestFit="1" customWidth="1"/>
    <col min="6403" max="6403" width="31.5546875" style="6" bestFit="1" customWidth="1"/>
    <col min="6404" max="6404" width="10.6640625" style="6" bestFit="1" customWidth="1"/>
    <col min="6405" max="6405" width="31.33203125" style="6" bestFit="1" customWidth="1"/>
    <col min="6406" max="6406" width="0" style="6" hidden="1" customWidth="1"/>
    <col min="6407" max="6655" width="9.109375" style="6"/>
    <col min="6656" max="6656" width="15.6640625" style="6" bestFit="1" customWidth="1"/>
    <col min="6657" max="6657" width="14.6640625" style="6" bestFit="1" customWidth="1"/>
    <col min="6658" max="6658" width="13.33203125" style="6" bestFit="1" customWidth="1"/>
    <col min="6659" max="6659" width="31.5546875" style="6" bestFit="1" customWidth="1"/>
    <col min="6660" max="6660" width="10.6640625" style="6" bestFit="1" customWidth="1"/>
    <col min="6661" max="6661" width="31.33203125" style="6" bestFit="1" customWidth="1"/>
    <col min="6662" max="6662" width="0" style="6" hidden="1" customWidth="1"/>
    <col min="6663" max="6911" width="9.109375" style="6"/>
    <col min="6912" max="6912" width="15.6640625" style="6" bestFit="1" customWidth="1"/>
    <col min="6913" max="6913" width="14.6640625" style="6" bestFit="1" customWidth="1"/>
    <col min="6914" max="6914" width="13.33203125" style="6" bestFit="1" customWidth="1"/>
    <col min="6915" max="6915" width="31.5546875" style="6" bestFit="1" customWidth="1"/>
    <col min="6916" max="6916" width="10.6640625" style="6" bestFit="1" customWidth="1"/>
    <col min="6917" max="6917" width="31.33203125" style="6" bestFit="1" customWidth="1"/>
    <col min="6918" max="6918" width="0" style="6" hidden="1" customWidth="1"/>
    <col min="6919" max="7167" width="9.109375" style="6"/>
    <col min="7168" max="7168" width="15.6640625" style="6" bestFit="1" customWidth="1"/>
    <col min="7169" max="7169" width="14.6640625" style="6" bestFit="1" customWidth="1"/>
    <col min="7170" max="7170" width="13.33203125" style="6" bestFit="1" customWidth="1"/>
    <col min="7171" max="7171" width="31.5546875" style="6" bestFit="1" customWidth="1"/>
    <col min="7172" max="7172" width="10.6640625" style="6" bestFit="1" customWidth="1"/>
    <col min="7173" max="7173" width="31.33203125" style="6" bestFit="1" customWidth="1"/>
    <col min="7174" max="7174" width="0" style="6" hidden="1" customWidth="1"/>
    <col min="7175" max="7423" width="9.109375" style="6"/>
    <col min="7424" max="7424" width="15.6640625" style="6" bestFit="1" customWidth="1"/>
    <col min="7425" max="7425" width="14.6640625" style="6" bestFit="1" customWidth="1"/>
    <col min="7426" max="7426" width="13.33203125" style="6" bestFit="1" customWidth="1"/>
    <col min="7427" max="7427" width="31.5546875" style="6" bestFit="1" customWidth="1"/>
    <col min="7428" max="7428" width="10.6640625" style="6" bestFit="1" customWidth="1"/>
    <col min="7429" max="7429" width="31.33203125" style="6" bestFit="1" customWidth="1"/>
    <col min="7430" max="7430" width="0" style="6" hidden="1" customWidth="1"/>
    <col min="7431" max="7679" width="9.109375" style="6"/>
    <col min="7680" max="7680" width="15.6640625" style="6" bestFit="1" customWidth="1"/>
    <col min="7681" max="7681" width="14.6640625" style="6" bestFit="1" customWidth="1"/>
    <col min="7682" max="7682" width="13.33203125" style="6" bestFit="1" customWidth="1"/>
    <col min="7683" max="7683" width="31.5546875" style="6" bestFit="1" customWidth="1"/>
    <col min="7684" max="7684" width="10.6640625" style="6" bestFit="1" customWidth="1"/>
    <col min="7685" max="7685" width="31.33203125" style="6" bestFit="1" customWidth="1"/>
    <col min="7686" max="7686" width="0" style="6" hidden="1" customWidth="1"/>
    <col min="7687" max="7935" width="9.109375" style="6"/>
    <col min="7936" max="7936" width="15.6640625" style="6" bestFit="1" customWidth="1"/>
    <col min="7937" max="7937" width="14.6640625" style="6" bestFit="1" customWidth="1"/>
    <col min="7938" max="7938" width="13.33203125" style="6" bestFit="1" customWidth="1"/>
    <col min="7939" max="7939" width="31.5546875" style="6" bestFit="1" customWidth="1"/>
    <col min="7940" max="7940" width="10.6640625" style="6" bestFit="1" customWidth="1"/>
    <col min="7941" max="7941" width="31.33203125" style="6" bestFit="1" customWidth="1"/>
    <col min="7942" max="7942" width="0" style="6" hidden="1" customWidth="1"/>
    <col min="7943" max="8191" width="9.109375" style="6"/>
    <col min="8192" max="8192" width="15.6640625" style="6" bestFit="1" customWidth="1"/>
    <col min="8193" max="8193" width="14.6640625" style="6" bestFit="1" customWidth="1"/>
    <col min="8194" max="8194" width="13.33203125" style="6" bestFit="1" customWidth="1"/>
    <col min="8195" max="8195" width="31.5546875" style="6" bestFit="1" customWidth="1"/>
    <col min="8196" max="8196" width="10.6640625" style="6" bestFit="1" customWidth="1"/>
    <col min="8197" max="8197" width="31.33203125" style="6" bestFit="1" customWidth="1"/>
    <col min="8198" max="8198" width="0" style="6" hidden="1" customWidth="1"/>
    <col min="8199" max="8447" width="9.109375" style="6"/>
    <col min="8448" max="8448" width="15.6640625" style="6" bestFit="1" customWidth="1"/>
    <col min="8449" max="8449" width="14.6640625" style="6" bestFit="1" customWidth="1"/>
    <col min="8450" max="8450" width="13.33203125" style="6" bestFit="1" customWidth="1"/>
    <col min="8451" max="8451" width="31.5546875" style="6" bestFit="1" customWidth="1"/>
    <col min="8452" max="8452" width="10.6640625" style="6" bestFit="1" customWidth="1"/>
    <col min="8453" max="8453" width="31.33203125" style="6" bestFit="1" customWidth="1"/>
    <col min="8454" max="8454" width="0" style="6" hidden="1" customWidth="1"/>
    <col min="8455" max="8703" width="9.109375" style="6"/>
    <col min="8704" max="8704" width="15.6640625" style="6" bestFit="1" customWidth="1"/>
    <col min="8705" max="8705" width="14.6640625" style="6" bestFit="1" customWidth="1"/>
    <col min="8706" max="8706" width="13.33203125" style="6" bestFit="1" customWidth="1"/>
    <col min="8707" max="8707" width="31.5546875" style="6" bestFit="1" customWidth="1"/>
    <col min="8708" max="8708" width="10.6640625" style="6" bestFit="1" customWidth="1"/>
    <col min="8709" max="8709" width="31.33203125" style="6" bestFit="1" customWidth="1"/>
    <col min="8710" max="8710" width="0" style="6" hidden="1" customWidth="1"/>
    <col min="8711" max="8959" width="9.109375" style="6"/>
    <col min="8960" max="8960" width="15.6640625" style="6" bestFit="1" customWidth="1"/>
    <col min="8961" max="8961" width="14.6640625" style="6" bestFit="1" customWidth="1"/>
    <col min="8962" max="8962" width="13.33203125" style="6" bestFit="1" customWidth="1"/>
    <col min="8963" max="8963" width="31.5546875" style="6" bestFit="1" customWidth="1"/>
    <col min="8964" max="8964" width="10.6640625" style="6" bestFit="1" customWidth="1"/>
    <col min="8965" max="8965" width="31.33203125" style="6" bestFit="1" customWidth="1"/>
    <col min="8966" max="8966" width="0" style="6" hidden="1" customWidth="1"/>
    <col min="8967" max="9215" width="9.109375" style="6"/>
    <col min="9216" max="9216" width="15.6640625" style="6" bestFit="1" customWidth="1"/>
    <col min="9217" max="9217" width="14.6640625" style="6" bestFit="1" customWidth="1"/>
    <col min="9218" max="9218" width="13.33203125" style="6" bestFit="1" customWidth="1"/>
    <col min="9219" max="9219" width="31.5546875" style="6" bestFit="1" customWidth="1"/>
    <col min="9220" max="9220" width="10.6640625" style="6" bestFit="1" customWidth="1"/>
    <col min="9221" max="9221" width="31.33203125" style="6" bestFit="1" customWidth="1"/>
    <col min="9222" max="9222" width="0" style="6" hidden="1" customWidth="1"/>
    <col min="9223" max="9471" width="9.109375" style="6"/>
    <col min="9472" max="9472" width="15.6640625" style="6" bestFit="1" customWidth="1"/>
    <col min="9473" max="9473" width="14.6640625" style="6" bestFit="1" customWidth="1"/>
    <col min="9474" max="9474" width="13.33203125" style="6" bestFit="1" customWidth="1"/>
    <col min="9475" max="9475" width="31.5546875" style="6" bestFit="1" customWidth="1"/>
    <col min="9476" max="9476" width="10.6640625" style="6" bestFit="1" customWidth="1"/>
    <col min="9477" max="9477" width="31.33203125" style="6" bestFit="1" customWidth="1"/>
    <col min="9478" max="9478" width="0" style="6" hidden="1" customWidth="1"/>
    <col min="9479" max="9727" width="9.109375" style="6"/>
    <col min="9728" max="9728" width="15.6640625" style="6" bestFit="1" customWidth="1"/>
    <col min="9729" max="9729" width="14.6640625" style="6" bestFit="1" customWidth="1"/>
    <col min="9730" max="9730" width="13.33203125" style="6" bestFit="1" customWidth="1"/>
    <col min="9731" max="9731" width="31.5546875" style="6" bestFit="1" customWidth="1"/>
    <col min="9732" max="9732" width="10.6640625" style="6" bestFit="1" customWidth="1"/>
    <col min="9733" max="9733" width="31.33203125" style="6" bestFit="1" customWidth="1"/>
    <col min="9734" max="9734" width="0" style="6" hidden="1" customWidth="1"/>
    <col min="9735" max="9983" width="9.109375" style="6"/>
    <col min="9984" max="9984" width="15.6640625" style="6" bestFit="1" customWidth="1"/>
    <col min="9985" max="9985" width="14.6640625" style="6" bestFit="1" customWidth="1"/>
    <col min="9986" max="9986" width="13.33203125" style="6" bestFit="1" customWidth="1"/>
    <col min="9987" max="9987" width="31.5546875" style="6" bestFit="1" customWidth="1"/>
    <col min="9988" max="9988" width="10.6640625" style="6" bestFit="1" customWidth="1"/>
    <col min="9989" max="9989" width="31.33203125" style="6" bestFit="1" customWidth="1"/>
    <col min="9990" max="9990" width="0" style="6" hidden="1" customWidth="1"/>
    <col min="9991" max="10239" width="9.109375" style="6"/>
    <col min="10240" max="10240" width="15.6640625" style="6" bestFit="1" customWidth="1"/>
    <col min="10241" max="10241" width="14.6640625" style="6" bestFit="1" customWidth="1"/>
    <col min="10242" max="10242" width="13.33203125" style="6" bestFit="1" customWidth="1"/>
    <col min="10243" max="10243" width="31.5546875" style="6" bestFit="1" customWidth="1"/>
    <col min="10244" max="10244" width="10.6640625" style="6" bestFit="1" customWidth="1"/>
    <col min="10245" max="10245" width="31.33203125" style="6" bestFit="1" customWidth="1"/>
    <col min="10246" max="10246" width="0" style="6" hidden="1" customWidth="1"/>
    <col min="10247" max="10495" width="9.109375" style="6"/>
    <col min="10496" max="10496" width="15.6640625" style="6" bestFit="1" customWidth="1"/>
    <col min="10497" max="10497" width="14.6640625" style="6" bestFit="1" customWidth="1"/>
    <col min="10498" max="10498" width="13.33203125" style="6" bestFit="1" customWidth="1"/>
    <col min="10499" max="10499" width="31.5546875" style="6" bestFit="1" customWidth="1"/>
    <col min="10500" max="10500" width="10.6640625" style="6" bestFit="1" customWidth="1"/>
    <col min="10501" max="10501" width="31.33203125" style="6" bestFit="1" customWidth="1"/>
    <col min="10502" max="10502" width="0" style="6" hidden="1" customWidth="1"/>
    <col min="10503" max="10751" width="9.109375" style="6"/>
    <col min="10752" max="10752" width="15.6640625" style="6" bestFit="1" customWidth="1"/>
    <col min="10753" max="10753" width="14.6640625" style="6" bestFit="1" customWidth="1"/>
    <col min="10754" max="10754" width="13.33203125" style="6" bestFit="1" customWidth="1"/>
    <col min="10755" max="10755" width="31.5546875" style="6" bestFit="1" customWidth="1"/>
    <col min="10756" max="10756" width="10.6640625" style="6" bestFit="1" customWidth="1"/>
    <col min="10757" max="10757" width="31.33203125" style="6" bestFit="1" customWidth="1"/>
    <col min="10758" max="10758" width="0" style="6" hidden="1" customWidth="1"/>
    <col min="10759" max="11007" width="9.109375" style="6"/>
    <col min="11008" max="11008" width="15.6640625" style="6" bestFit="1" customWidth="1"/>
    <col min="11009" max="11009" width="14.6640625" style="6" bestFit="1" customWidth="1"/>
    <col min="11010" max="11010" width="13.33203125" style="6" bestFit="1" customWidth="1"/>
    <col min="11011" max="11011" width="31.5546875" style="6" bestFit="1" customWidth="1"/>
    <col min="11012" max="11012" width="10.6640625" style="6" bestFit="1" customWidth="1"/>
    <col min="11013" max="11013" width="31.33203125" style="6" bestFit="1" customWidth="1"/>
    <col min="11014" max="11014" width="0" style="6" hidden="1" customWidth="1"/>
    <col min="11015" max="11263" width="9.109375" style="6"/>
    <col min="11264" max="11264" width="15.6640625" style="6" bestFit="1" customWidth="1"/>
    <col min="11265" max="11265" width="14.6640625" style="6" bestFit="1" customWidth="1"/>
    <col min="11266" max="11266" width="13.33203125" style="6" bestFit="1" customWidth="1"/>
    <col min="11267" max="11267" width="31.5546875" style="6" bestFit="1" customWidth="1"/>
    <col min="11268" max="11268" width="10.6640625" style="6" bestFit="1" customWidth="1"/>
    <col min="11269" max="11269" width="31.33203125" style="6" bestFit="1" customWidth="1"/>
    <col min="11270" max="11270" width="0" style="6" hidden="1" customWidth="1"/>
    <col min="11271" max="11519" width="9.109375" style="6"/>
    <col min="11520" max="11520" width="15.6640625" style="6" bestFit="1" customWidth="1"/>
    <col min="11521" max="11521" width="14.6640625" style="6" bestFit="1" customWidth="1"/>
    <col min="11522" max="11522" width="13.33203125" style="6" bestFit="1" customWidth="1"/>
    <col min="11523" max="11523" width="31.5546875" style="6" bestFit="1" customWidth="1"/>
    <col min="11524" max="11524" width="10.6640625" style="6" bestFit="1" customWidth="1"/>
    <col min="11525" max="11525" width="31.33203125" style="6" bestFit="1" customWidth="1"/>
    <col min="11526" max="11526" width="0" style="6" hidden="1" customWidth="1"/>
    <col min="11527" max="11775" width="9.109375" style="6"/>
    <col min="11776" max="11776" width="15.6640625" style="6" bestFit="1" customWidth="1"/>
    <col min="11777" max="11777" width="14.6640625" style="6" bestFit="1" customWidth="1"/>
    <col min="11778" max="11778" width="13.33203125" style="6" bestFit="1" customWidth="1"/>
    <col min="11779" max="11779" width="31.5546875" style="6" bestFit="1" customWidth="1"/>
    <col min="11780" max="11780" width="10.6640625" style="6" bestFit="1" customWidth="1"/>
    <col min="11781" max="11781" width="31.33203125" style="6" bestFit="1" customWidth="1"/>
    <col min="11782" max="11782" width="0" style="6" hidden="1" customWidth="1"/>
    <col min="11783" max="12031" width="9.109375" style="6"/>
    <col min="12032" max="12032" width="15.6640625" style="6" bestFit="1" customWidth="1"/>
    <col min="12033" max="12033" width="14.6640625" style="6" bestFit="1" customWidth="1"/>
    <col min="12034" max="12034" width="13.33203125" style="6" bestFit="1" customWidth="1"/>
    <col min="12035" max="12035" width="31.5546875" style="6" bestFit="1" customWidth="1"/>
    <col min="12036" max="12036" width="10.6640625" style="6" bestFit="1" customWidth="1"/>
    <col min="12037" max="12037" width="31.33203125" style="6" bestFit="1" customWidth="1"/>
    <col min="12038" max="12038" width="0" style="6" hidden="1" customWidth="1"/>
    <col min="12039" max="12287" width="9.109375" style="6"/>
    <col min="12288" max="12288" width="15.6640625" style="6" bestFit="1" customWidth="1"/>
    <col min="12289" max="12289" width="14.6640625" style="6" bestFit="1" customWidth="1"/>
    <col min="12290" max="12290" width="13.33203125" style="6" bestFit="1" customWidth="1"/>
    <col min="12291" max="12291" width="31.5546875" style="6" bestFit="1" customWidth="1"/>
    <col min="12292" max="12292" width="10.6640625" style="6" bestFit="1" customWidth="1"/>
    <col min="12293" max="12293" width="31.33203125" style="6" bestFit="1" customWidth="1"/>
    <col min="12294" max="12294" width="0" style="6" hidden="1" customWidth="1"/>
    <col min="12295" max="12543" width="9.109375" style="6"/>
    <col min="12544" max="12544" width="15.6640625" style="6" bestFit="1" customWidth="1"/>
    <col min="12545" max="12545" width="14.6640625" style="6" bestFit="1" customWidth="1"/>
    <col min="12546" max="12546" width="13.33203125" style="6" bestFit="1" customWidth="1"/>
    <col min="12547" max="12547" width="31.5546875" style="6" bestFit="1" customWidth="1"/>
    <col min="12548" max="12548" width="10.6640625" style="6" bestFit="1" customWidth="1"/>
    <col min="12549" max="12549" width="31.33203125" style="6" bestFit="1" customWidth="1"/>
    <col min="12550" max="12550" width="0" style="6" hidden="1" customWidth="1"/>
    <col min="12551" max="12799" width="9.109375" style="6"/>
    <col min="12800" max="12800" width="15.6640625" style="6" bestFit="1" customWidth="1"/>
    <col min="12801" max="12801" width="14.6640625" style="6" bestFit="1" customWidth="1"/>
    <col min="12802" max="12802" width="13.33203125" style="6" bestFit="1" customWidth="1"/>
    <col min="12803" max="12803" width="31.5546875" style="6" bestFit="1" customWidth="1"/>
    <col min="12804" max="12804" width="10.6640625" style="6" bestFit="1" customWidth="1"/>
    <col min="12805" max="12805" width="31.33203125" style="6" bestFit="1" customWidth="1"/>
    <col min="12806" max="12806" width="0" style="6" hidden="1" customWidth="1"/>
    <col min="12807" max="13055" width="9.109375" style="6"/>
    <col min="13056" max="13056" width="15.6640625" style="6" bestFit="1" customWidth="1"/>
    <col min="13057" max="13057" width="14.6640625" style="6" bestFit="1" customWidth="1"/>
    <col min="13058" max="13058" width="13.33203125" style="6" bestFit="1" customWidth="1"/>
    <col min="13059" max="13059" width="31.5546875" style="6" bestFit="1" customWidth="1"/>
    <col min="13060" max="13060" width="10.6640625" style="6" bestFit="1" customWidth="1"/>
    <col min="13061" max="13061" width="31.33203125" style="6" bestFit="1" customWidth="1"/>
    <col min="13062" max="13062" width="0" style="6" hidden="1" customWidth="1"/>
    <col min="13063" max="13311" width="9.109375" style="6"/>
    <col min="13312" max="13312" width="15.6640625" style="6" bestFit="1" customWidth="1"/>
    <col min="13313" max="13313" width="14.6640625" style="6" bestFit="1" customWidth="1"/>
    <col min="13314" max="13314" width="13.33203125" style="6" bestFit="1" customWidth="1"/>
    <col min="13315" max="13315" width="31.5546875" style="6" bestFit="1" customWidth="1"/>
    <col min="13316" max="13316" width="10.6640625" style="6" bestFit="1" customWidth="1"/>
    <col min="13317" max="13317" width="31.33203125" style="6" bestFit="1" customWidth="1"/>
    <col min="13318" max="13318" width="0" style="6" hidden="1" customWidth="1"/>
    <col min="13319" max="13567" width="9.109375" style="6"/>
    <col min="13568" max="13568" width="15.6640625" style="6" bestFit="1" customWidth="1"/>
    <col min="13569" max="13569" width="14.6640625" style="6" bestFit="1" customWidth="1"/>
    <col min="13570" max="13570" width="13.33203125" style="6" bestFit="1" customWidth="1"/>
    <col min="13571" max="13571" width="31.5546875" style="6" bestFit="1" customWidth="1"/>
    <col min="13572" max="13572" width="10.6640625" style="6" bestFit="1" customWidth="1"/>
    <col min="13573" max="13573" width="31.33203125" style="6" bestFit="1" customWidth="1"/>
    <col min="13574" max="13574" width="0" style="6" hidden="1" customWidth="1"/>
    <col min="13575" max="13823" width="9.109375" style="6"/>
    <col min="13824" max="13824" width="15.6640625" style="6" bestFit="1" customWidth="1"/>
    <col min="13825" max="13825" width="14.6640625" style="6" bestFit="1" customWidth="1"/>
    <col min="13826" max="13826" width="13.33203125" style="6" bestFit="1" customWidth="1"/>
    <col min="13827" max="13827" width="31.5546875" style="6" bestFit="1" customWidth="1"/>
    <col min="13828" max="13828" width="10.6640625" style="6" bestFit="1" customWidth="1"/>
    <col min="13829" max="13829" width="31.33203125" style="6" bestFit="1" customWidth="1"/>
    <col min="13830" max="13830" width="0" style="6" hidden="1" customWidth="1"/>
    <col min="13831" max="14079" width="9.109375" style="6"/>
    <col min="14080" max="14080" width="15.6640625" style="6" bestFit="1" customWidth="1"/>
    <col min="14081" max="14081" width="14.6640625" style="6" bestFit="1" customWidth="1"/>
    <col min="14082" max="14082" width="13.33203125" style="6" bestFit="1" customWidth="1"/>
    <col min="14083" max="14083" width="31.5546875" style="6" bestFit="1" customWidth="1"/>
    <col min="14084" max="14084" width="10.6640625" style="6" bestFit="1" customWidth="1"/>
    <col min="14085" max="14085" width="31.33203125" style="6" bestFit="1" customWidth="1"/>
    <col min="14086" max="14086" width="0" style="6" hidden="1" customWidth="1"/>
    <col min="14087" max="14335" width="9.109375" style="6"/>
    <col min="14336" max="14336" width="15.6640625" style="6" bestFit="1" customWidth="1"/>
    <col min="14337" max="14337" width="14.6640625" style="6" bestFit="1" customWidth="1"/>
    <col min="14338" max="14338" width="13.33203125" style="6" bestFit="1" customWidth="1"/>
    <col min="14339" max="14339" width="31.5546875" style="6" bestFit="1" customWidth="1"/>
    <col min="14340" max="14340" width="10.6640625" style="6" bestFit="1" customWidth="1"/>
    <col min="14341" max="14341" width="31.33203125" style="6" bestFit="1" customWidth="1"/>
    <col min="14342" max="14342" width="0" style="6" hidden="1" customWidth="1"/>
    <col min="14343" max="14591" width="9.109375" style="6"/>
    <col min="14592" max="14592" width="15.6640625" style="6" bestFit="1" customWidth="1"/>
    <col min="14593" max="14593" width="14.6640625" style="6" bestFit="1" customWidth="1"/>
    <col min="14594" max="14594" width="13.33203125" style="6" bestFit="1" customWidth="1"/>
    <col min="14595" max="14595" width="31.5546875" style="6" bestFit="1" customWidth="1"/>
    <col min="14596" max="14596" width="10.6640625" style="6" bestFit="1" customWidth="1"/>
    <col min="14597" max="14597" width="31.33203125" style="6" bestFit="1" customWidth="1"/>
    <col min="14598" max="14598" width="0" style="6" hidden="1" customWidth="1"/>
    <col min="14599" max="14847" width="9.109375" style="6"/>
    <col min="14848" max="14848" width="15.6640625" style="6" bestFit="1" customWidth="1"/>
    <col min="14849" max="14849" width="14.6640625" style="6" bestFit="1" customWidth="1"/>
    <col min="14850" max="14850" width="13.33203125" style="6" bestFit="1" customWidth="1"/>
    <col min="14851" max="14851" width="31.5546875" style="6" bestFit="1" customWidth="1"/>
    <col min="14852" max="14852" width="10.6640625" style="6" bestFit="1" customWidth="1"/>
    <col min="14853" max="14853" width="31.33203125" style="6" bestFit="1" customWidth="1"/>
    <col min="14854" max="14854" width="0" style="6" hidden="1" customWidth="1"/>
    <col min="14855" max="15103" width="9.109375" style="6"/>
    <col min="15104" max="15104" width="15.6640625" style="6" bestFit="1" customWidth="1"/>
    <col min="15105" max="15105" width="14.6640625" style="6" bestFit="1" customWidth="1"/>
    <col min="15106" max="15106" width="13.33203125" style="6" bestFit="1" customWidth="1"/>
    <col min="15107" max="15107" width="31.5546875" style="6" bestFit="1" customWidth="1"/>
    <col min="15108" max="15108" width="10.6640625" style="6" bestFit="1" customWidth="1"/>
    <col min="15109" max="15109" width="31.33203125" style="6" bestFit="1" customWidth="1"/>
    <col min="15110" max="15110" width="0" style="6" hidden="1" customWidth="1"/>
    <col min="15111" max="15359" width="9.109375" style="6"/>
    <col min="15360" max="15360" width="15.6640625" style="6" bestFit="1" customWidth="1"/>
    <col min="15361" max="15361" width="14.6640625" style="6" bestFit="1" customWidth="1"/>
    <col min="15362" max="15362" width="13.33203125" style="6" bestFit="1" customWidth="1"/>
    <col min="15363" max="15363" width="31.5546875" style="6" bestFit="1" customWidth="1"/>
    <col min="15364" max="15364" width="10.6640625" style="6" bestFit="1" customWidth="1"/>
    <col min="15365" max="15365" width="31.33203125" style="6" bestFit="1" customWidth="1"/>
    <col min="15366" max="15366" width="0" style="6" hidden="1" customWidth="1"/>
    <col min="15367" max="15615" width="9.109375" style="6"/>
    <col min="15616" max="15616" width="15.6640625" style="6" bestFit="1" customWidth="1"/>
    <col min="15617" max="15617" width="14.6640625" style="6" bestFit="1" customWidth="1"/>
    <col min="15618" max="15618" width="13.33203125" style="6" bestFit="1" customWidth="1"/>
    <col min="15619" max="15619" width="31.5546875" style="6" bestFit="1" customWidth="1"/>
    <col min="15620" max="15620" width="10.6640625" style="6" bestFit="1" customWidth="1"/>
    <col min="15621" max="15621" width="31.33203125" style="6" bestFit="1" customWidth="1"/>
    <col min="15622" max="15622" width="0" style="6" hidden="1" customWidth="1"/>
    <col min="15623" max="15871" width="9.109375" style="6"/>
    <col min="15872" max="15872" width="15.6640625" style="6" bestFit="1" customWidth="1"/>
    <col min="15873" max="15873" width="14.6640625" style="6" bestFit="1" customWidth="1"/>
    <col min="15874" max="15874" width="13.33203125" style="6" bestFit="1" customWidth="1"/>
    <col min="15875" max="15875" width="31.5546875" style="6" bestFit="1" customWidth="1"/>
    <col min="15876" max="15876" width="10.6640625" style="6" bestFit="1" customWidth="1"/>
    <col min="15877" max="15877" width="31.33203125" style="6" bestFit="1" customWidth="1"/>
    <col min="15878" max="15878" width="0" style="6" hidden="1" customWidth="1"/>
    <col min="15879" max="16127" width="9.109375" style="6"/>
    <col min="16128" max="16128" width="15.6640625" style="6" bestFit="1" customWidth="1"/>
    <col min="16129" max="16129" width="14.6640625" style="6" bestFit="1" customWidth="1"/>
    <col min="16130" max="16130" width="13.33203125" style="6" bestFit="1" customWidth="1"/>
    <col min="16131" max="16131" width="31.5546875" style="6" bestFit="1" customWidth="1"/>
    <col min="16132" max="16132" width="10.6640625" style="6" bestFit="1" customWidth="1"/>
    <col min="16133" max="16133" width="31.33203125" style="6" bestFit="1" customWidth="1"/>
    <col min="16134" max="16134" width="0" style="6" hidden="1" customWidth="1"/>
    <col min="16135" max="16384" width="9.109375" style="6"/>
  </cols>
  <sheetData>
    <row r="1" spans="2:21" x14ac:dyDescent="0.2">
      <c r="B1" s="7" t="s">
        <v>17</v>
      </c>
      <c r="C1" s="8" t="s">
        <v>18</v>
      </c>
      <c r="D1" s="7" t="s">
        <v>19</v>
      </c>
      <c r="E1" s="8" t="s">
        <v>20</v>
      </c>
      <c r="F1" s="7" t="s">
        <v>21</v>
      </c>
      <c r="G1" s="7" t="s">
        <v>331</v>
      </c>
      <c r="H1" s="7" t="s">
        <v>332</v>
      </c>
      <c r="I1" s="7" t="s">
        <v>3</v>
      </c>
      <c r="J1" s="7" t="s">
        <v>4</v>
      </c>
      <c r="K1" s="7" t="s">
        <v>333</v>
      </c>
      <c r="L1" s="7" t="s">
        <v>6</v>
      </c>
      <c r="M1" s="7" t="s">
        <v>7</v>
      </c>
      <c r="N1" s="7" t="s">
        <v>334</v>
      </c>
      <c r="O1" s="7" t="s">
        <v>8</v>
      </c>
      <c r="P1" s="7" t="s">
        <v>352</v>
      </c>
      <c r="Q1" s="7" t="s">
        <v>342</v>
      </c>
      <c r="R1" s="7" t="s">
        <v>343</v>
      </c>
      <c r="S1" s="7" t="s">
        <v>353</v>
      </c>
      <c r="T1" s="7" t="s">
        <v>344</v>
      </c>
      <c r="U1" s="7" t="s">
        <v>345</v>
      </c>
    </row>
    <row r="2" spans="2:21" x14ac:dyDescent="0.2">
      <c r="B2" s="9" t="s">
        <v>22</v>
      </c>
      <c r="C2" s="6">
        <v>313</v>
      </c>
      <c r="D2" s="9" t="s">
        <v>24</v>
      </c>
      <c r="E2" s="6" t="s">
        <v>25</v>
      </c>
      <c r="F2" s="9" t="s">
        <v>23</v>
      </c>
      <c r="G2" s="6">
        <v>1</v>
      </c>
      <c r="K2" s="6">
        <v>10</v>
      </c>
    </row>
    <row r="3" spans="2:21" x14ac:dyDescent="0.2">
      <c r="B3" s="9" t="s">
        <v>22</v>
      </c>
      <c r="C3" s="6">
        <v>313</v>
      </c>
      <c r="D3" s="9" t="s">
        <v>24</v>
      </c>
      <c r="E3" s="6" t="s">
        <v>26</v>
      </c>
      <c r="F3" s="9" t="s">
        <v>27</v>
      </c>
      <c r="G3" s="6">
        <v>1</v>
      </c>
      <c r="I3" s="6">
        <v>40</v>
      </c>
      <c r="K3" s="6">
        <v>10</v>
      </c>
      <c r="O3" s="6">
        <v>300</v>
      </c>
    </row>
    <row r="4" spans="2:21" x14ac:dyDescent="0.2">
      <c r="B4" s="9" t="s">
        <v>22</v>
      </c>
      <c r="C4" s="6">
        <v>313</v>
      </c>
      <c r="D4" s="9" t="s">
        <v>24</v>
      </c>
      <c r="E4" s="6" t="s">
        <v>28</v>
      </c>
      <c r="F4" s="9" t="s">
        <v>29</v>
      </c>
      <c r="G4" s="6">
        <v>1</v>
      </c>
      <c r="I4" s="6">
        <v>40</v>
      </c>
      <c r="K4" s="6">
        <v>10</v>
      </c>
    </row>
    <row r="5" spans="2:21" x14ac:dyDescent="0.2">
      <c r="B5" s="9" t="s">
        <v>22</v>
      </c>
      <c r="C5" s="6">
        <v>323</v>
      </c>
      <c r="D5" s="9" t="s">
        <v>31</v>
      </c>
      <c r="E5" s="6" t="s">
        <v>32</v>
      </c>
      <c r="F5" s="9" t="s">
        <v>33</v>
      </c>
      <c r="I5" s="6">
        <v>40</v>
      </c>
      <c r="K5" s="6">
        <v>10</v>
      </c>
    </row>
    <row r="6" spans="2:21" x14ac:dyDescent="0.2">
      <c r="B6" s="9" t="s">
        <v>22</v>
      </c>
      <c r="C6" s="6">
        <v>323</v>
      </c>
      <c r="D6" s="9" t="s">
        <v>31</v>
      </c>
      <c r="E6" s="6" t="s">
        <v>34</v>
      </c>
      <c r="F6" s="9" t="s">
        <v>35</v>
      </c>
      <c r="I6" s="6">
        <v>20</v>
      </c>
      <c r="O6" s="6">
        <v>300</v>
      </c>
    </row>
    <row r="7" spans="2:21" x14ac:dyDescent="0.2">
      <c r="B7" s="9" t="s">
        <v>22</v>
      </c>
      <c r="C7" s="6">
        <v>323</v>
      </c>
      <c r="D7" s="9" t="s">
        <v>31</v>
      </c>
      <c r="E7" s="6" t="s">
        <v>36</v>
      </c>
      <c r="F7" s="9" t="s">
        <v>37</v>
      </c>
      <c r="I7" s="6">
        <v>40</v>
      </c>
      <c r="K7" s="6">
        <v>10</v>
      </c>
      <c r="O7" s="6">
        <v>300</v>
      </c>
    </row>
    <row r="8" spans="2:21" x14ac:dyDescent="0.2">
      <c r="B8" s="9" t="s">
        <v>22</v>
      </c>
      <c r="C8" s="6">
        <v>331</v>
      </c>
      <c r="D8" s="9" t="s">
        <v>38</v>
      </c>
      <c r="E8" s="6" t="s">
        <v>39</v>
      </c>
      <c r="F8" s="9" t="s">
        <v>40</v>
      </c>
      <c r="G8" s="6">
        <v>1</v>
      </c>
      <c r="H8" s="6">
        <v>1</v>
      </c>
      <c r="I8" s="6">
        <v>10</v>
      </c>
      <c r="O8" s="6">
        <v>400</v>
      </c>
      <c r="P8" s="6">
        <v>400</v>
      </c>
    </row>
    <row r="9" spans="2:21" x14ac:dyDescent="0.2">
      <c r="B9" s="9" t="s">
        <v>22</v>
      </c>
      <c r="C9" s="6">
        <v>331</v>
      </c>
      <c r="D9" s="9" t="s">
        <v>38</v>
      </c>
      <c r="E9" s="6" t="s">
        <v>41</v>
      </c>
      <c r="F9" s="9" t="s">
        <v>42</v>
      </c>
      <c r="G9" s="6">
        <v>1</v>
      </c>
      <c r="H9" s="6">
        <v>1</v>
      </c>
      <c r="O9" s="6">
        <v>300</v>
      </c>
      <c r="P9" s="6">
        <v>300</v>
      </c>
    </row>
    <row r="10" spans="2:21" x14ac:dyDescent="0.2">
      <c r="B10" s="9" t="s">
        <v>22</v>
      </c>
      <c r="C10" s="6">
        <v>331</v>
      </c>
      <c r="D10" s="9" t="s">
        <v>38</v>
      </c>
      <c r="E10" s="6" t="s">
        <v>43</v>
      </c>
      <c r="F10" s="9" t="s">
        <v>44</v>
      </c>
      <c r="G10" s="6">
        <v>1</v>
      </c>
      <c r="H10" s="6">
        <v>1</v>
      </c>
      <c r="P10" s="6">
        <v>300</v>
      </c>
    </row>
    <row r="11" spans="2:21" x14ac:dyDescent="0.2">
      <c r="B11" s="9" t="s">
        <v>22</v>
      </c>
      <c r="C11" s="6">
        <v>331</v>
      </c>
      <c r="D11" s="9" t="s">
        <v>38</v>
      </c>
      <c r="E11" s="6" t="s">
        <v>45</v>
      </c>
      <c r="F11" s="9" t="s">
        <v>46</v>
      </c>
      <c r="G11" s="6">
        <v>1</v>
      </c>
      <c r="H11" s="6">
        <v>1</v>
      </c>
      <c r="P11" s="6">
        <v>300</v>
      </c>
    </row>
    <row r="12" spans="2:21" x14ac:dyDescent="0.2">
      <c r="B12" s="9" t="s">
        <v>22</v>
      </c>
      <c r="C12" s="6">
        <v>331</v>
      </c>
      <c r="D12" s="9" t="s">
        <v>38</v>
      </c>
      <c r="E12" s="6" t="s">
        <v>47</v>
      </c>
      <c r="F12" s="9" t="s">
        <v>48</v>
      </c>
      <c r="G12" s="6">
        <v>1</v>
      </c>
      <c r="H12" s="6">
        <v>1</v>
      </c>
      <c r="P12" s="6">
        <v>300</v>
      </c>
    </row>
    <row r="13" spans="2:21" x14ac:dyDescent="0.2">
      <c r="B13" s="9" t="s">
        <v>22</v>
      </c>
      <c r="C13" s="6">
        <v>331</v>
      </c>
      <c r="D13" s="9" t="s">
        <v>38</v>
      </c>
      <c r="E13" s="6" t="s">
        <v>49</v>
      </c>
      <c r="F13" s="9" t="s">
        <v>50</v>
      </c>
      <c r="G13" s="6">
        <v>1</v>
      </c>
      <c r="H13" s="6">
        <v>1</v>
      </c>
    </row>
    <row r="14" spans="2:21" x14ac:dyDescent="0.2">
      <c r="B14" s="9" t="s">
        <v>22</v>
      </c>
      <c r="C14" s="6">
        <v>332</v>
      </c>
      <c r="D14" s="9" t="s">
        <v>51</v>
      </c>
      <c r="E14" s="6" t="s">
        <v>52</v>
      </c>
      <c r="F14" s="9" t="s">
        <v>53</v>
      </c>
      <c r="G14" s="6">
        <v>1</v>
      </c>
      <c r="H14" s="6">
        <v>1</v>
      </c>
      <c r="O14" s="6">
        <v>500</v>
      </c>
      <c r="T14" s="6">
        <v>500</v>
      </c>
    </row>
    <row r="15" spans="2:21" x14ac:dyDescent="0.2">
      <c r="B15" s="9" t="s">
        <v>22</v>
      </c>
      <c r="C15" s="6">
        <v>332</v>
      </c>
      <c r="D15" s="9" t="s">
        <v>51</v>
      </c>
      <c r="E15" s="6" t="s">
        <v>54</v>
      </c>
      <c r="F15" s="9" t="s">
        <v>55</v>
      </c>
      <c r="G15" s="6">
        <v>1</v>
      </c>
      <c r="H15" s="6">
        <v>1</v>
      </c>
      <c r="O15" s="6">
        <v>500</v>
      </c>
      <c r="T15" s="6">
        <v>500</v>
      </c>
    </row>
    <row r="16" spans="2:21" x14ac:dyDescent="0.2">
      <c r="B16" s="9" t="s">
        <v>22</v>
      </c>
      <c r="C16" s="6">
        <v>332</v>
      </c>
      <c r="D16" s="9" t="s">
        <v>51</v>
      </c>
      <c r="E16" s="6" t="s">
        <v>56</v>
      </c>
      <c r="F16" s="9" t="s">
        <v>57</v>
      </c>
      <c r="G16" s="6">
        <v>1</v>
      </c>
      <c r="H16" s="6">
        <v>1</v>
      </c>
      <c r="O16" s="6">
        <v>500</v>
      </c>
    </row>
    <row r="17" spans="2:20" x14ac:dyDescent="0.2">
      <c r="B17" s="9" t="s">
        <v>22</v>
      </c>
      <c r="C17" s="6">
        <v>341</v>
      </c>
      <c r="D17" s="9" t="s">
        <v>58</v>
      </c>
      <c r="E17" s="6" t="s">
        <v>59</v>
      </c>
      <c r="F17" s="9" t="s">
        <v>60</v>
      </c>
      <c r="H17" s="6">
        <v>1</v>
      </c>
      <c r="I17" s="6">
        <v>10</v>
      </c>
      <c r="K17" s="6">
        <v>10</v>
      </c>
      <c r="L17" s="6">
        <v>20</v>
      </c>
      <c r="O17" s="6">
        <v>300</v>
      </c>
      <c r="Q17" s="6">
        <v>150</v>
      </c>
    </row>
    <row r="18" spans="2:20" x14ac:dyDescent="0.2">
      <c r="B18" s="9" t="s">
        <v>22</v>
      </c>
      <c r="C18" s="6">
        <v>341</v>
      </c>
      <c r="D18" s="9" t="s">
        <v>58</v>
      </c>
      <c r="E18" s="6" t="s">
        <v>61</v>
      </c>
      <c r="F18" s="9" t="s">
        <v>62</v>
      </c>
      <c r="H18" s="6">
        <v>1</v>
      </c>
      <c r="I18" s="6">
        <v>10</v>
      </c>
      <c r="K18" s="6">
        <v>10</v>
      </c>
      <c r="O18" s="6">
        <v>300</v>
      </c>
      <c r="Q18" s="6">
        <v>150</v>
      </c>
    </row>
    <row r="19" spans="2:20" x14ac:dyDescent="0.2">
      <c r="B19" s="9" t="s">
        <v>22</v>
      </c>
      <c r="C19" s="6">
        <v>341</v>
      </c>
      <c r="D19" s="9" t="s">
        <v>58</v>
      </c>
      <c r="E19" s="6" t="s">
        <v>63</v>
      </c>
      <c r="F19" s="9" t="s">
        <v>64</v>
      </c>
      <c r="H19" s="6">
        <v>1</v>
      </c>
      <c r="I19" s="6">
        <v>20</v>
      </c>
      <c r="K19" s="6">
        <v>50</v>
      </c>
      <c r="L19" s="6">
        <v>25</v>
      </c>
    </row>
    <row r="20" spans="2:20" x14ac:dyDescent="0.2">
      <c r="B20" s="9" t="s">
        <v>22</v>
      </c>
      <c r="C20" s="6">
        <v>341</v>
      </c>
      <c r="D20" s="9" t="s">
        <v>58</v>
      </c>
      <c r="E20" s="6" t="s">
        <v>65</v>
      </c>
      <c r="F20" s="9" t="s">
        <v>66</v>
      </c>
      <c r="H20" s="6">
        <v>1</v>
      </c>
      <c r="I20" s="6">
        <v>20</v>
      </c>
      <c r="K20" s="6">
        <v>30</v>
      </c>
      <c r="L20" s="6">
        <v>25</v>
      </c>
      <c r="T20" s="6">
        <v>500</v>
      </c>
    </row>
    <row r="21" spans="2:20" x14ac:dyDescent="0.2">
      <c r="B21" s="9" t="s">
        <v>22</v>
      </c>
      <c r="C21" s="6">
        <v>342</v>
      </c>
      <c r="D21" s="9" t="s">
        <v>67</v>
      </c>
      <c r="E21" s="6" t="s">
        <v>68</v>
      </c>
      <c r="F21" s="9" t="s">
        <v>69</v>
      </c>
      <c r="L21" s="6">
        <v>30</v>
      </c>
    </row>
    <row r="22" spans="2:20" x14ac:dyDescent="0.2">
      <c r="B22" s="9" t="s">
        <v>22</v>
      </c>
      <c r="C22" s="6">
        <v>342</v>
      </c>
      <c r="D22" s="9" t="s">
        <v>67</v>
      </c>
      <c r="E22" s="6" t="s">
        <v>70</v>
      </c>
      <c r="F22" s="9" t="s">
        <v>71</v>
      </c>
    </row>
    <row r="23" spans="2:20" x14ac:dyDescent="0.2">
      <c r="B23" s="9" t="s">
        <v>22</v>
      </c>
      <c r="C23" s="6">
        <v>342</v>
      </c>
      <c r="D23" s="9" t="s">
        <v>67</v>
      </c>
      <c r="E23" s="6" t="s">
        <v>72</v>
      </c>
      <c r="F23" s="9" t="s">
        <v>73</v>
      </c>
    </row>
    <row r="24" spans="2:20" x14ac:dyDescent="0.2">
      <c r="B24" s="9" t="s">
        <v>22</v>
      </c>
      <c r="C24" s="6">
        <v>342</v>
      </c>
      <c r="D24" s="9" t="s">
        <v>67</v>
      </c>
      <c r="E24" s="6" t="s">
        <v>74</v>
      </c>
      <c r="F24" s="9" t="s">
        <v>75</v>
      </c>
    </row>
    <row r="25" spans="2:20" x14ac:dyDescent="0.2">
      <c r="B25" s="9" t="s">
        <v>22</v>
      </c>
      <c r="C25" s="6">
        <v>342</v>
      </c>
      <c r="D25" s="9" t="s">
        <v>67</v>
      </c>
      <c r="E25" s="6" t="s">
        <v>76</v>
      </c>
      <c r="F25" s="9" t="s">
        <v>77</v>
      </c>
    </row>
    <row r="26" spans="2:20" x14ac:dyDescent="0.2">
      <c r="B26" s="9" t="s">
        <v>22</v>
      </c>
      <c r="C26" s="6">
        <v>361</v>
      </c>
      <c r="D26" s="9" t="s">
        <v>78</v>
      </c>
      <c r="E26" s="6" t="s">
        <v>79</v>
      </c>
      <c r="F26" s="9" t="s">
        <v>80</v>
      </c>
      <c r="P26" s="6">
        <v>300</v>
      </c>
    </row>
    <row r="27" spans="2:20" x14ac:dyDescent="0.2">
      <c r="B27" s="9" t="s">
        <v>22</v>
      </c>
      <c r="C27" s="6">
        <v>361</v>
      </c>
      <c r="D27" s="9" t="s">
        <v>78</v>
      </c>
      <c r="E27" s="6" t="s">
        <v>81</v>
      </c>
      <c r="F27" s="9" t="s">
        <v>82</v>
      </c>
      <c r="P27" s="6">
        <v>300</v>
      </c>
      <c r="S27" s="6">
        <v>200</v>
      </c>
    </row>
    <row r="28" spans="2:20" x14ac:dyDescent="0.2">
      <c r="B28" s="9" t="s">
        <v>22</v>
      </c>
      <c r="C28" s="6">
        <v>361</v>
      </c>
      <c r="D28" s="9" t="s">
        <v>78</v>
      </c>
      <c r="E28" s="6" t="s">
        <v>83</v>
      </c>
      <c r="F28" s="9" t="s">
        <v>84</v>
      </c>
      <c r="O28" s="6">
        <v>300</v>
      </c>
      <c r="P28" s="6">
        <v>300</v>
      </c>
      <c r="S28" s="6">
        <v>200</v>
      </c>
    </row>
    <row r="29" spans="2:20" x14ac:dyDescent="0.2">
      <c r="B29" s="9" t="s">
        <v>22</v>
      </c>
      <c r="C29" s="6">
        <v>361</v>
      </c>
      <c r="D29" s="9" t="s">
        <v>78</v>
      </c>
      <c r="E29" s="6" t="s">
        <v>85</v>
      </c>
      <c r="F29" s="9" t="s">
        <v>30</v>
      </c>
      <c r="O29" s="6">
        <v>300</v>
      </c>
      <c r="P29" s="6">
        <v>300</v>
      </c>
    </row>
    <row r="30" spans="2:20" x14ac:dyDescent="0.2">
      <c r="B30" s="9" t="s">
        <v>22</v>
      </c>
      <c r="C30" s="6">
        <v>361</v>
      </c>
      <c r="D30" s="9" t="s">
        <v>78</v>
      </c>
      <c r="E30" s="6" t="s">
        <v>86</v>
      </c>
      <c r="F30" s="9" t="s">
        <v>87</v>
      </c>
    </row>
    <row r="31" spans="2:20" x14ac:dyDescent="0.2">
      <c r="B31" s="9" t="s">
        <v>22</v>
      </c>
      <c r="C31" s="6">
        <v>361</v>
      </c>
      <c r="D31" s="9" t="s">
        <v>78</v>
      </c>
      <c r="E31" s="6" t="s">
        <v>88</v>
      </c>
      <c r="F31" s="9" t="s">
        <v>89</v>
      </c>
      <c r="P31" s="6">
        <v>300</v>
      </c>
    </row>
    <row r="32" spans="2:20" x14ac:dyDescent="0.2">
      <c r="B32" s="9" t="s">
        <v>22</v>
      </c>
      <c r="C32" s="6">
        <v>362</v>
      </c>
      <c r="D32" s="9" t="s">
        <v>90</v>
      </c>
      <c r="E32" s="6" t="s">
        <v>91</v>
      </c>
      <c r="F32" s="9" t="s">
        <v>92</v>
      </c>
      <c r="P32" s="6">
        <v>300</v>
      </c>
    </row>
    <row r="33" spans="2:16" x14ac:dyDescent="0.2">
      <c r="B33" s="9" t="s">
        <v>22</v>
      </c>
      <c r="C33" s="6">
        <v>362</v>
      </c>
      <c r="D33" s="9" t="s">
        <v>90</v>
      </c>
      <c r="E33" s="6" t="s">
        <v>93</v>
      </c>
      <c r="F33" s="9" t="s">
        <v>94</v>
      </c>
    </row>
    <row r="34" spans="2:16" x14ac:dyDescent="0.2">
      <c r="B34" s="9" t="s">
        <v>22</v>
      </c>
      <c r="C34" s="6">
        <v>371</v>
      </c>
      <c r="D34" s="9" t="s">
        <v>95</v>
      </c>
      <c r="E34" s="6" t="s">
        <v>96</v>
      </c>
      <c r="F34" s="9" t="s">
        <v>97</v>
      </c>
    </row>
    <row r="35" spans="2:16" x14ac:dyDescent="0.2">
      <c r="B35" s="9" t="s">
        <v>22</v>
      </c>
      <c r="C35" s="6">
        <v>371</v>
      </c>
      <c r="D35" s="9" t="s">
        <v>95</v>
      </c>
      <c r="E35" s="6" t="s">
        <v>98</v>
      </c>
      <c r="F35" s="9" t="s">
        <v>99</v>
      </c>
      <c r="O35" s="6">
        <v>350</v>
      </c>
      <c r="P35" s="6">
        <v>200</v>
      </c>
    </row>
    <row r="36" spans="2:16" x14ac:dyDescent="0.2">
      <c r="B36" s="9" t="s">
        <v>22</v>
      </c>
      <c r="C36" s="6">
        <v>371</v>
      </c>
      <c r="D36" s="9" t="s">
        <v>95</v>
      </c>
      <c r="E36" s="6" t="s">
        <v>100</v>
      </c>
      <c r="F36" s="9" t="s">
        <v>101</v>
      </c>
    </row>
    <row r="37" spans="2:16" x14ac:dyDescent="0.2">
      <c r="B37" s="9" t="s">
        <v>22</v>
      </c>
      <c r="C37" s="6">
        <v>371</v>
      </c>
      <c r="D37" s="9" t="s">
        <v>95</v>
      </c>
      <c r="E37" s="6" t="s">
        <v>102</v>
      </c>
      <c r="F37" s="9" t="s">
        <v>103</v>
      </c>
    </row>
    <row r="38" spans="2:16" x14ac:dyDescent="0.2">
      <c r="B38" s="9" t="s">
        <v>22</v>
      </c>
      <c r="C38" s="6">
        <v>371</v>
      </c>
      <c r="D38" s="9" t="s">
        <v>95</v>
      </c>
      <c r="E38" s="6" t="s">
        <v>104</v>
      </c>
      <c r="F38" s="9" t="s">
        <v>105</v>
      </c>
      <c r="P38" s="6">
        <v>200</v>
      </c>
    </row>
    <row r="39" spans="2:16" x14ac:dyDescent="0.2">
      <c r="B39" s="9" t="s">
        <v>22</v>
      </c>
      <c r="C39" s="6">
        <v>371</v>
      </c>
      <c r="D39" s="9" t="s">
        <v>95</v>
      </c>
      <c r="E39" s="6" t="s">
        <v>106</v>
      </c>
      <c r="F39" s="9" t="s">
        <v>107</v>
      </c>
    </row>
    <row r="40" spans="2:16" x14ac:dyDescent="0.2">
      <c r="B40" s="9" t="s">
        <v>22</v>
      </c>
      <c r="C40" s="6">
        <v>371</v>
      </c>
      <c r="D40" s="9" t="s">
        <v>95</v>
      </c>
      <c r="E40" s="6" t="s">
        <v>108</v>
      </c>
      <c r="F40" s="9" t="s">
        <v>109</v>
      </c>
      <c r="O40" s="6">
        <v>350</v>
      </c>
      <c r="P40" s="6">
        <v>200</v>
      </c>
    </row>
    <row r="41" spans="2:16" x14ac:dyDescent="0.2">
      <c r="B41" s="9" t="s">
        <v>22</v>
      </c>
      <c r="C41" s="6">
        <v>371</v>
      </c>
      <c r="D41" s="9" t="s">
        <v>95</v>
      </c>
      <c r="E41" s="6" t="s">
        <v>110</v>
      </c>
      <c r="F41" s="9" t="s">
        <v>111</v>
      </c>
    </row>
    <row r="42" spans="2:16" x14ac:dyDescent="0.2">
      <c r="B42" s="9" t="s">
        <v>22</v>
      </c>
      <c r="C42" s="6">
        <v>372</v>
      </c>
      <c r="D42" s="9" t="s">
        <v>112</v>
      </c>
      <c r="E42" s="6" t="s">
        <v>113</v>
      </c>
      <c r="F42" s="9" t="s">
        <v>114</v>
      </c>
    </row>
    <row r="43" spans="2:16" x14ac:dyDescent="0.2">
      <c r="B43" s="9" t="s">
        <v>22</v>
      </c>
      <c r="C43" s="6">
        <v>372</v>
      </c>
      <c r="D43" s="9" t="s">
        <v>112</v>
      </c>
      <c r="E43" s="6" t="s">
        <v>115</v>
      </c>
      <c r="F43" s="9" t="s">
        <v>116</v>
      </c>
    </row>
    <row r="44" spans="2:16" x14ac:dyDescent="0.2">
      <c r="B44" s="9" t="s">
        <v>22</v>
      </c>
      <c r="C44" s="6">
        <v>372</v>
      </c>
      <c r="D44" s="9" t="s">
        <v>112</v>
      </c>
      <c r="E44" s="6" t="s">
        <v>117</v>
      </c>
      <c r="F44" s="9" t="s">
        <v>118</v>
      </c>
    </row>
    <row r="45" spans="2:16" x14ac:dyDescent="0.2">
      <c r="B45" s="9" t="s">
        <v>22</v>
      </c>
      <c r="C45" s="6">
        <v>372</v>
      </c>
      <c r="D45" s="9" t="s">
        <v>112</v>
      </c>
      <c r="E45" s="6" t="s">
        <v>119</v>
      </c>
      <c r="F45" s="9" t="s">
        <v>120</v>
      </c>
    </row>
    <row r="46" spans="2:16" x14ac:dyDescent="0.2">
      <c r="B46" s="9" t="s">
        <v>22</v>
      </c>
      <c r="C46" s="6">
        <v>372</v>
      </c>
      <c r="D46" s="9" t="s">
        <v>112</v>
      </c>
      <c r="E46" s="6" t="s">
        <v>121</v>
      </c>
      <c r="F46" s="9" t="s">
        <v>122</v>
      </c>
    </row>
    <row r="47" spans="2:16" x14ac:dyDescent="0.2">
      <c r="B47" s="9" t="s">
        <v>22</v>
      </c>
      <c r="C47" s="6">
        <v>372</v>
      </c>
      <c r="D47" s="9" t="s">
        <v>112</v>
      </c>
      <c r="E47" s="6" t="s">
        <v>123</v>
      </c>
      <c r="F47" s="9" t="s">
        <v>124</v>
      </c>
    </row>
    <row r="48" spans="2:16" x14ac:dyDescent="0.2">
      <c r="B48" s="9" t="s">
        <v>22</v>
      </c>
      <c r="C48" s="6">
        <v>372</v>
      </c>
      <c r="D48" s="9" t="s">
        <v>112</v>
      </c>
      <c r="E48" s="6" t="s">
        <v>125</v>
      </c>
      <c r="F48" s="9" t="s">
        <v>126</v>
      </c>
    </row>
    <row r="49" spans="2:20" x14ac:dyDescent="0.2">
      <c r="B49" s="9" t="s">
        <v>22</v>
      </c>
      <c r="C49" s="6">
        <v>372</v>
      </c>
      <c r="D49" s="9" t="s">
        <v>112</v>
      </c>
      <c r="E49" s="6" t="s">
        <v>127</v>
      </c>
      <c r="F49" s="9" t="s">
        <v>128</v>
      </c>
    </row>
    <row r="50" spans="2:20" x14ac:dyDescent="0.2">
      <c r="B50" s="9" t="s">
        <v>129</v>
      </c>
      <c r="C50" s="6">
        <v>431</v>
      </c>
      <c r="D50" s="9" t="s">
        <v>130</v>
      </c>
      <c r="E50" s="6" t="s">
        <v>131</v>
      </c>
      <c r="F50" s="9" t="s">
        <v>132</v>
      </c>
      <c r="G50" s="6">
        <v>1</v>
      </c>
      <c r="I50" s="6">
        <v>25</v>
      </c>
      <c r="K50" s="6">
        <v>30</v>
      </c>
      <c r="L50" s="6">
        <v>100</v>
      </c>
    </row>
    <row r="51" spans="2:20" x14ac:dyDescent="0.2">
      <c r="B51" s="9" t="s">
        <v>129</v>
      </c>
      <c r="C51" s="6">
        <v>431</v>
      </c>
      <c r="D51" s="9" t="s">
        <v>130</v>
      </c>
      <c r="E51" s="6" t="s">
        <v>133</v>
      </c>
      <c r="F51" s="9" t="s">
        <v>134</v>
      </c>
      <c r="G51" s="6">
        <v>1</v>
      </c>
      <c r="K51" s="6">
        <v>30</v>
      </c>
      <c r="L51" s="6">
        <v>100</v>
      </c>
      <c r="O51" s="6">
        <v>400</v>
      </c>
      <c r="T51" s="6">
        <v>500</v>
      </c>
    </row>
    <row r="52" spans="2:20" x14ac:dyDescent="0.2">
      <c r="B52" s="9" t="s">
        <v>129</v>
      </c>
      <c r="C52" s="6">
        <v>431</v>
      </c>
      <c r="D52" s="9" t="s">
        <v>130</v>
      </c>
      <c r="E52" s="6" t="s">
        <v>135</v>
      </c>
      <c r="F52" s="9" t="s">
        <v>136</v>
      </c>
      <c r="G52" s="6">
        <v>1</v>
      </c>
      <c r="I52" s="6">
        <v>50</v>
      </c>
      <c r="K52" s="6">
        <v>45</v>
      </c>
      <c r="L52" s="6">
        <v>100</v>
      </c>
      <c r="O52" s="6">
        <v>400</v>
      </c>
    </row>
    <row r="53" spans="2:20" x14ac:dyDescent="0.2">
      <c r="B53" s="9" t="s">
        <v>129</v>
      </c>
      <c r="C53" s="6">
        <v>432</v>
      </c>
      <c r="D53" s="9" t="s">
        <v>137</v>
      </c>
      <c r="E53" s="6" t="s">
        <v>138</v>
      </c>
      <c r="F53" s="9" t="s">
        <v>139</v>
      </c>
      <c r="G53" s="6">
        <v>1</v>
      </c>
      <c r="O53" s="6">
        <v>200</v>
      </c>
      <c r="T53" s="6">
        <v>500</v>
      </c>
    </row>
    <row r="54" spans="2:20" x14ac:dyDescent="0.2">
      <c r="B54" s="9" t="s">
        <v>129</v>
      </c>
      <c r="C54" s="6">
        <v>432</v>
      </c>
      <c r="D54" s="9" t="s">
        <v>137</v>
      </c>
      <c r="E54" s="6" t="s">
        <v>140</v>
      </c>
      <c r="F54" s="9" t="s">
        <v>141</v>
      </c>
      <c r="G54" s="6">
        <v>1</v>
      </c>
      <c r="O54" s="6">
        <v>200</v>
      </c>
    </row>
    <row r="55" spans="2:20" x14ac:dyDescent="0.2">
      <c r="B55" s="9" t="s">
        <v>129</v>
      </c>
      <c r="C55" s="6">
        <v>432</v>
      </c>
      <c r="D55" s="9" t="s">
        <v>137</v>
      </c>
      <c r="E55" s="6" t="s">
        <v>142</v>
      </c>
      <c r="F55" s="9" t="s">
        <v>143</v>
      </c>
      <c r="G55" s="6">
        <v>1</v>
      </c>
      <c r="O55" s="6">
        <v>200</v>
      </c>
    </row>
    <row r="56" spans="2:20" x14ac:dyDescent="0.2">
      <c r="B56" s="9" t="s">
        <v>129</v>
      </c>
      <c r="C56" s="6">
        <v>432</v>
      </c>
      <c r="D56" s="9" t="s">
        <v>137</v>
      </c>
      <c r="E56" s="6" t="s">
        <v>144</v>
      </c>
      <c r="F56" s="9" t="s">
        <v>145</v>
      </c>
      <c r="G56" s="6">
        <v>1</v>
      </c>
      <c r="O56" s="6">
        <v>200</v>
      </c>
    </row>
    <row r="57" spans="2:20" x14ac:dyDescent="0.2">
      <c r="B57" s="9" t="s">
        <v>129</v>
      </c>
      <c r="C57" s="6">
        <v>432</v>
      </c>
      <c r="D57" s="9" t="s">
        <v>137</v>
      </c>
      <c r="E57" s="6" t="s">
        <v>146</v>
      </c>
      <c r="F57" s="9" t="s">
        <v>147</v>
      </c>
      <c r="G57" s="6">
        <v>1</v>
      </c>
      <c r="O57" s="6">
        <v>200</v>
      </c>
    </row>
    <row r="58" spans="2:20" x14ac:dyDescent="0.2">
      <c r="B58" s="9" t="s">
        <v>129</v>
      </c>
      <c r="C58" s="6">
        <v>432</v>
      </c>
      <c r="D58" s="9" t="s">
        <v>137</v>
      </c>
      <c r="E58" s="6" t="s">
        <v>148</v>
      </c>
      <c r="F58" s="9" t="s">
        <v>149</v>
      </c>
      <c r="G58" s="6">
        <v>1</v>
      </c>
      <c r="O58" s="6">
        <v>200</v>
      </c>
    </row>
    <row r="59" spans="2:20" x14ac:dyDescent="0.2">
      <c r="B59" s="9" t="s">
        <v>129</v>
      </c>
      <c r="C59" s="6">
        <v>433</v>
      </c>
      <c r="D59" s="9" t="s">
        <v>150</v>
      </c>
      <c r="E59" s="6" t="s">
        <v>151</v>
      </c>
      <c r="F59" s="9" t="s">
        <v>152</v>
      </c>
      <c r="G59" s="6">
        <v>1</v>
      </c>
      <c r="K59" s="6">
        <v>30</v>
      </c>
    </row>
    <row r="60" spans="2:20" x14ac:dyDescent="0.2">
      <c r="B60" s="9" t="s">
        <v>129</v>
      </c>
      <c r="C60" s="6">
        <v>433</v>
      </c>
      <c r="D60" s="9" t="s">
        <v>150</v>
      </c>
      <c r="E60" s="6" t="s">
        <v>153</v>
      </c>
      <c r="F60" s="9" t="s">
        <v>154</v>
      </c>
      <c r="G60" s="6">
        <v>1</v>
      </c>
      <c r="K60" s="6">
        <v>45</v>
      </c>
      <c r="L60" s="6">
        <v>50</v>
      </c>
      <c r="O60" s="6">
        <v>500</v>
      </c>
    </row>
    <row r="61" spans="2:20" x14ac:dyDescent="0.2">
      <c r="B61" s="9" t="s">
        <v>129</v>
      </c>
      <c r="C61" s="6">
        <v>434</v>
      </c>
      <c r="D61" s="9" t="s">
        <v>155</v>
      </c>
      <c r="E61" s="6" t="s">
        <v>156</v>
      </c>
      <c r="F61" s="9" t="s">
        <v>157</v>
      </c>
      <c r="G61" s="6">
        <v>1</v>
      </c>
      <c r="K61" s="6">
        <v>10</v>
      </c>
      <c r="L61" s="6">
        <v>20</v>
      </c>
    </row>
    <row r="62" spans="2:20" x14ac:dyDescent="0.2">
      <c r="B62" s="9" t="s">
        <v>129</v>
      </c>
      <c r="C62" s="6">
        <v>434</v>
      </c>
      <c r="D62" s="9" t="s">
        <v>155</v>
      </c>
      <c r="E62" s="6" t="s">
        <v>158</v>
      </c>
      <c r="F62" s="9" t="s">
        <v>159</v>
      </c>
      <c r="G62" s="6">
        <v>1</v>
      </c>
      <c r="I62" s="6">
        <v>25</v>
      </c>
      <c r="K62" s="6">
        <v>10</v>
      </c>
      <c r="L62" s="6">
        <v>30</v>
      </c>
    </row>
    <row r="63" spans="2:20" x14ac:dyDescent="0.2">
      <c r="B63" s="9" t="s">
        <v>160</v>
      </c>
      <c r="C63" s="6">
        <v>551</v>
      </c>
      <c r="D63" s="9" t="s">
        <v>162</v>
      </c>
      <c r="E63" s="6" t="s">
        <v>163</v>
      </c>
      <c r="F63" s="9" t="s">
        <v>164</v>
      </c>
      <c r="H63" s="6">
        <v>1</v>
      </c>
    </row>
    <row r="64" spans="2:20" x14ac:dyDescent="0.2">
      <c r="B64" s="9" t="s">
        <v>160</v>
      </c>
      <c r="C64" s="6">
        <v>551</v>
      </c>
      <c r="D64" s="9" t="s">
        <v>162</v>
      </c>
      <c r="E64" s="6" t="s">
        <v>165</v>
      </c>
      <c r="F64" s="9" t="s">
        <v>166</v>
      </c>
      <c r="H64" s="6">
        <v>1</v>
      </c>
      <c r="K64" s="6">
        <v>10</v>
      </c>
      <c r="M64" s="6">
        <v>20</v>
      </c>
      <c r="O64" s="6">
        <v>100</v>
      </c>
      <c r="R64" s="6">
        <v>400</v>
      </c>
    </row>
    <row r="65" spans="2:20" x14ac:dyDescent="0.2">
      <c r="B65" s="9" t="s">
        <v>160</v>
      </c>
      <c r="C65" s="6">
        <v>551</v>
      </c>
      <c r="D65" s="9" t="s">
        <v>162</v>
      </c>
      <c r="E65" s="6" t="s">
        <v>167</v>
      </c>
      <c r="F65" s="9" t="s">
        <v>168</v>
      </c>
      <c r="H65" s="6">
        <v>1</v>
      </c>
      <c r="K65" s="6">
        <v>10</v>
      </c>
      <c r="M65" s="6">
        <v>5</v>
      </c>
      <c r="O65" s="6">
        <v>100</v>
      </c>
      <c r="Q65" s="6">
        <v>150</v>
      </c>
      <c r="T65" s="6">
        <v>300</v>
      </c>
    </row>
    <row r="66" spans="2:20" x14ac:dyDescent="0.2">
      <c r="B66" s="9" t="s">
        <v>160</v>
      </c>
      <c r="C66" s="6">
        <v>551</v>
      </c>
      <c r="D66" s="9" t="s">
        <v>162</v>
      </c>
      <c r="E66" s="6" t="s">
        <v>169</v>
      </c>
      <c r="F66" s="9" t="s">
        <v>170</v>
      </c>
      <c r="H66" s="6">
        <v>1</v>
      </c>
      <c r="K66" s="6">
        <v>10</v>
      </c>
      <c r="O66" s="6">
        <v>100</v>
      </c>
      <c r="Q66" s="6">
        <v>150</v>
      </c>
    </row>
    <row r="67" spans="2:20" x14ac:dyDescent="0.2">
      <c r="B67" s="9" t="s">
        <v>160</v>
      </c>
      <c r="C67" s="6">
        <v>551</v>
      </c>
      <c r="D67" s="9" t="s">
        <v>162</v>
      </c>
      <c r="E67" s="6" t="s">
        <v>171</v>
      </c>
      <c r="F67" s="9" t="s">
        <v>172</v>
      </c>
      <c r="H67" s="6">
        <v>1</v>
      </c>
    </row>
    <row r="68" spans="2:20" x14ac:dyDescent="0.2">
      <c r="B68" s="9" t="s">
        <v>160</v>
      </c>
      <c r="C68" s="6">
        <v>551</v>
      </c>
      <c r="D68" s="9" t="s">
        <v>162</v>
      </c>
      <c r="E68" s="6" t="s">
        <v>173</v>
      </c>
      <c r="F68" s="9" t="s">
        <v>174</v>
      </c>
      <c r="H68" s="6">
        <v>1</v>
      </c>
      <c r="K68" s="6">
        <v>10</v>
      </c>
      <c r="O68" s="6">
        <v>200</v>
      </c>
    </row>
    <row r="69" spans="2:20" x14ac:dyDescent="0.2">
      <c r="B69" s="9" t="s">
        <v>160</v>
      </c>
      <c r="C69" s="6">
        <v>551</v>
      </c>
      <c r="D69" s="9" t="s">
        <v>162</v>
      </c>
      <c r="E69" s="6" t="s">
        <v>175</v>
      </c>
      <c r="F69" s="9" t="s">
        <v>176</v>
      </c>
      <c r="H69" s="6">
        <v>1</v>
      </c>
    </row>
    <row r="70" spans="2:20" x14ac:dyDescent="0.2">
      <c r="B70" s="9" t="s">
        <v>160</v>
      </c>
      <c r="C70" s="6">
        <v>551</v>
      </c>
      <c r="D70" s="9" t="s">
        <v>162</v>
      </c>
      <c r="E70" s="6" t="s">
        <v>177</v>
      </c>
      <c r="F70" s="9" t="s">
        <v>178</v>
      </c>
      <c r="H70" s="6">
        <v>1</v>
      </c>
      <c r="K70" s="6">
        <v>10</v>
      </c>
      <c r="M70" s="6">
        <v>5</v>
      </c>
      <c r="R70" s="6">
        <v>300</v>
      </c>
    </row>
    <row r="71" spans="2:20" x14ac:dyDescent="0.2">
      <c r="B71" s="9" t="s">
        <v>160</v>
      </c>
      <c r="C71" s="6">
        <v>552</v>
      </c>
      <c r="D71" s="9" t="s">
        <v>179</v>
      </c>
      <c r="E71" s="6" t="s">
        <v>180</v>
      </c>
      <c r="F71" s="9" t="s">
        <v>181</v>
      </c>
      <c r="T71" s="6">
        <v>300</v>
      </c>
    </row>
    <row r="72" spans="2:20" x14ac:dyDescent="0.2">
      <c r="B72" s="9" t="s">
        <v>160</v>
      </c>
      <c r="C72" s="6">
        <v>552</v>
      </c>
      <c r="D72" s="9" t="s">
        <v>179</v>
      </c>
      <c r="E72" s="6" t="s">
        <v>182</v>
      </c>
      <c r="F72" s="9" t="s">
        <v>183</v>
      </c>
      <c r="S72" s="6">
        <v>500</v>
      </c>
    </row>
    <row r="73" spans="2:20" x14ac:dyDescent="0.2">
      <c r="B73" s="9" t="s">
        <v>160</v>
      </c>
      <c r="C73" s="6">
        <v>552</v>
      </c>
      <c r="D73" s="9" t="s">
        <v>179</v>
      </c>
      <c r="E73" s="6" t="s">
        <v>184</v>
      </c>
      <c r="F73" s="9" t="s">
        <v>185</v>
      </c>
    </row>
    <row r="74" spans="2:20" x14ac:dyDescent="0.2">
      <c r="B74" s="9" t="s">
        <v>186</v>
      </c>
      <c r="C74" s="6">
        <v>613</v>
      </c>
      <c r="D74" s="9" t="s">
        <v>187</v>
      </c>
      <c r="E74" s="6" t="s">
        <v>188</v>
      </c>
      <c r="F74" s="9" t="s">
        <v>189</v>
      </c>
      <c r="I74" s="6">
        <v>50</v>
      </c>
      <c r="K74" s="6">
        <v>30</v>
      </c>
      <c r="M74" s="6">
        <v>30</v>
      </c>
      <c r="O74" s="6">
        <v>300</v>
      </c>
      <c r="R74" s="6">
        <v>300</v>
      </c>
      <c r="T74" s="6">
        <v>500</v>
      </c>
    </row>
    <row r="75" spans="2:20" x14ac:dyDescent="0.2">
      <c r="B75" s="9" t="s">
        <v>186</v>
      </c>
      <c r="C75" s="6">
        <v>613</v>
      </c>
      <c r="D75" s="9" t="s">
        <v>187</v>
      </c>
      <c r="E75" s="6" t="s">
        <v>190</v>
      </c>
      <c r="F75" s="9" t="s">
        <v>191</v>
      </c>
      <c r="K75" s="6">
        <v>20</v>
      </c>
      <c r="O75" s="6">
        <v>200</v>
      </c>
      <c r="T75" s="6">
        <v>500</v>
      </c>
    </row>
    <row r="76" spans="2:20" x14ac:dyDescent="0.2">
      <c r="B76" s="9" t="s">
        <v>186</v>
      </c>
      <c r="C76" s="6">
        <v>613</v>
      </c>
      <c r="D76" s="9" t="s">
        <v>187</v>
      </c>
      <c r="E76" s="6" t="s">
        <v>192</v>
      </c>
      <c r="F76" s="9" t="s">
        <v>193</v>
      </c>
    </row>
    <row r="77" spans="2:20" x14ac:dyDescent="0.2">
      <c r="B77" s="9" t="s">
        <v>194</v>
      </c>
      <c r="C77" s="6">
        <v>712</v>
      </c>
      <c r="D77" s="9" t="s">
        <v>195</v>
      </c>
      <c r="E77" s="6" t="s">
        <v>196</v>
      </c>
      <c r="F77" s="9" t="s">
        <v>197</v>
      </c>
      <c r="G77" s="6">
        <v>1</v>
      </c>
      <c r="L77" s="6">
        <v>100</v>
      </c>
      <c r="N77" s="6">
        <v>15</v>
      </c>
    </row>
    <row r="78" spans="2:20" x14ac:dyDescent="0.2">
      <c r="B78" s="9" t="s">
        <v>194</v>
      </c>
      <c r="C78" s="6">
        <v>712</v>
      </c>
      <c r="D78" s="9" t="s">
        <v>195</v>
      </c>
      <c r="E78" s="6" t="s">
        <v>198</v>
      </c>
      <c r="F78" s="9" t="s">
        <v>199</v>
      </c>
      <c r="G78" s="6">
        <v>1</v>
      </c>
      <c r="L78" s="6">
        <v>100</v>
      </c>
      <c r="N78" s="6">
        <v>15</v>
      </c>
    </row>
    <row r="79" spans="2:20" x14ac:dyDescent="0.2">
      <c r="B79" s="9" t="s">
        <v>194</v>
      </c>
      <c r="C79" s="6">
        <v>712</v>
      </c>
      <c r="D79" s="9" t="s">
        <v>195</v>
      </c>
      <c r="E79" s="6" t="s">
        <v>200</v>
      </c>
      <c r="F79" s="9" t="s">
        <v>201</v>
      </c>
      <c r="G79" s="6">
        <v>1</v>
      </c>
    </row>
    <row r="80" spans="2:20" x14ac:dyDescent="0.2">
      <c r="B80" s="9" t="s">
        <v>194</v>
      </c>
      <c r="C80" s="6">
        <v>712</v>
      </c>
      <c r="D80" s="9" t="s">
        <v>195</v>
      </c>
      <c r="E80" s="6" t="s">
        <v>202</v>
      </c>
      <c r="F80" s="9" t="s">
        <v>203</v>
      </c>
      <c r="G80" s="6">
        <v>1</v>
      </c>
    </row>
    <row r="81" spans="2:21" x14ac:dyDescent="0.2">
      <c r="B81" s="9" t="s">
        <v>194</v>
      </c>
      <c r="C81" s="6">
        <v>713</v>
      </c>
      <c r="D81" s="9" t="s">
        <v>204</v>
      </c>
      <c r="E81" s="6" t="s">
        <v>205</v>
      </c>
      <c r="F81" s="9" t="s">
        <v>206</v>
      </c>
      <c r="G81" s="6">
        <v>1</v>
      </c>
    </row>
    <row r="82" spans="2:21" x14ac:dyDescent="0.2">
      <c r="B82" s="9" t="s">
        <v>194</v>
      </c>
      <c r="C82" s="6">
        <v>713</v>
      </c>
      <c r="D82" s="9" t="s">
        <v>204</v>
      </c>
      <c r="E82" s="6" t="s">
        <v>207</v>
      </c>
      <c r="F82" s="9" t="s">
        <v>208</v>
      </c>
      <c r="G82" s="6">
        <v>1</v>
      </c>
      <c r="L82" s="6">
        <v>50</v>
      </c>
      <c r="N82" s="6">
        <v>10</v>
      </c>
      <c r="O82" s="6">
        <v>300</v>
      </c>
    </row>
    <row r="83" spans="2:21" x14ac:dyDescent="0.2">
      <c r="B83" s="9" t="s">
        <v>194</v>
      </c>
      <c r="C83" s="6">
        <v>713</v>
      </c>
      <c r="D83" s="9" t="s">
        <v>204</v>
      </c>
      <c r="E83" s="6" t="s">
        <v>209</v>
      </c>
      <c r="F83" s="9" t="s">
        <v>210</v>
      </c>
      <c r="G83" s="6">
        <v>1</v>
      </c>
    </row>
    <row r="84" spans="2:21" x14ac:dyDescent="0.2">
      <c r="B84" s="9" t="s">
        <v>194</v>
      </c>
      <c r="C84" s="6">
        <v>714</v>
      </c>
      <c r="D84" s="9" t="s">
        <v>211</v>
      </c>
      <c r="E84" s="6" t="s">
        <v>212</v>
      </c>
      <c r="F84" s="9" t="s">
        <v>213</v>
      </c>
      <c r="G84" s="6">
        <v>1</v>
      </c>
      <c r="H84" s="6">
        <v>1</v>
      </c>
      <c r="L84" s="6">
        <v>150</v>
      </c>
      <c r="N84" s="6">
        <v>20</v>
      </c>
    </row>
    <row r="85" spans="2:21" x14ac:dyDescent="0.2">
      <c r="B85" s="9" t="s">
        <v>194</v>
      </c>
      <c r="C85" s="6">
        <v>714</v>
      </c>
      <c r="D85" s="9" t="s">
        <v>211</v>
      </c>
      <c r="E85" s="6" t="s">
        <v>214</v>
      </c>
      <c r="F85" s="9" t="s">
        <v>215</v>
      </c>
      <c r="G85" s="6">
        <v>1</v>
      </c>
      <c r="H85" s="6">
        <v>1</v>
      </c>
      <c r="O85" s="6">
        <v>300</v>
      </c>
      <c r="P85" s="6">
        <v>400</v>
      </c>
      <c r="S85" s="6">
        <v>100</v>
      </c>
      <c r="U85" s="6">
        <v>250</v>
      </c>
    </row>
    <row r="86" spans="2:21" x14ac:dyDescent="0.2">
      <c r="B86" s="9" t="s">
        <v>194</v>
      </c>
      <c r="C86" s="6">
        <v>714</v>
      </c>
      <c r="D86" s="9" t="s">
        <v>211</v>
      </c>
      <c r="E86" s="6" t="s">
        <v>216</v>
      </c>
      <c r="F86" s="9" t="s">
        <v>217</v>
      </c>
      <c r="G86" s="6">
        <v>1</v>
      </c>
      <c r="H86" s="6">
        <v>1</v>
      </c>
      <c r="P86" s="6">
        <v>300</v>
      </c>
      <c r="S86" s="6">
        <v>100</v>
      </c>
      <c r="U86" s="6">
        <v>250</v>
      </c>
    </row>
    <row r="87" spans="2:21" x14ac:dyDescent="0.2">
      <c r="B87" s="9" t="s">
        <v>194</v>
      </c>
      <c r="C87" s="6">
        <v>715</v>
      </c>
      <c r="D87" s="9" t="s">
        <v>218</v>
      </c>
      <c r="E87" s="6" t="s">
        <v>219</v>
      </c>
      <c r="F87" s="9" t="s">
        <v>220</v>
      </c>
      <c r="G87" s="6">
        <v>1</v>
      </c>
      <c r="H87" s="6">
        <v>1</v>
      </c>
      <c r="O87" s="6">
        <v>300</v>
      </c>
    </row>
    <row r="88" spans="2:21" x14ac:dyDescent="0.2">
      <c r="B88" s="9" t="s">
        <v>194</v>
      </c>
      <c r="C88" s="6">
        <v>715</v>
      </c>
      <c r="D88" s="9" t="s">
        <v>218</v>
      </c>
      <c r="E88" s="6" t="s">
        <v>221</v>
      </c>
      <c r="F88" s="9" t="s">
        <v>222</v>
      </c>
      <c r="G88" s="6">
        <v>1</v>
      </c>
      <c r="H88" s="6">
        <v>1</v>
      </c>
      <c r="L88" s="6">
        <v>100</v>
      </c>
      <c r="N88" s="6">
        <v>20</v>
      </c>
      <c r="O88" s="6">
        <v>300</v>
      </c>
      <c r="T88" s="6">
        <v>250</v>
      </c>
    </row>
    <row r="89" spans="2:21" x14ac:dyDescent="0.2">
      <c r="B89" s="9" t="s">
        <v>194</v>
      </c>
      <c r="C89" s="6">
        <v>715</v>
      </c>
      <c r="D89" s="9" t="s">
        <v>218</v>
      </c>
      <c r="E89" s="6" t="s">
        <v>223</v>
      </c>
      <c r="F89" s="9" t="s">
        <v>224</v>
      </c>
      <c r="G89" s="6">
        <v>1</v>
      </c>
      <c r="H89" s="6">
        <v>1</v>
      </c>
      <c r="N89" s="6">
        <v>20</v>
      </c>
      <c r="O89" s="6">
        <v>300</v>
      </c>
      <c r="P89" s="6">
        <v>300</v>
      </c>
      <c r="T89" s="6">
        <v>250</v>
      </c>
      <c r="U89" s="6">
        <v>200</v>
      </c>
    </row>
    <row r="90" spans="2:21" x14ac:dyDescent="0.2">
      <c r="B90" s="9" t="s">
        <v>225</v>
      </c>
      <c r="C90" s="6">
        <v>811</v>
      </c>
      <c r="D90" s="9" t="s">
        <v>226</v>
      </c>
      <c r="E90" s="6" t="s">
        <v>227</v>
      </c>
      <c r="F90" s="9" t="s">
        <v>228</v>
      </c>
      <c r="G90" s="6">
        <v>1</v>
      </c>
      <c r="O90" s="12">
        <v>2500</v>
      </c>
      <c r="T90" s="12">
        <v>1000</v>
      </c>
    </row>
    <row r="91" spans="2:21" x14ac:dyDescent="0.2">
      <c r="B91" s="9" t="s">
        <v>225</v>
      </c>
      <c r="C91" s="6">
        <v>811</v>
      </c>
      <c r="D91" s="9" t="s">
        <v>226</v>
      </c>
      <c r="E91" s="6" t="s">
        <v>229</v>
      </c>
      <c r="F91" s="9" t="s">
        <v>230</v>
      </c>
      <c r="G91" s="6">
        <v>1</v>
      </c>
      <c r="O91" s="12"/>
      <c r="T91" s="12"/>
    </row>
    <row r="92" spans="2:21" x14ac:dyDescent="0.2">
      <c r="B92" s="9" t="s">
        <v>225</v>
      </c>
      <c r="C92" s="6">
        <v>811</v>
      </c>
      <c r="D92" s="9" t="s">
        <v>226</v>
      </c>
      <c r="E92" s="6" t="s">
        <v>231</v>
      </c>
      <c r="F92" s="9" t="s">
        <v>232</v>
      </c>
      <c r="G92" s="6">
        <v>1</v>
      </c>
      <c r="O92" s="12"/>
      <c r="T92" s="12"/>
    </row>
    <row r="93" spans="2:21" x14ac:dyDescent="0.2">
      <c r="B93" s="9" t="s">
        <v>225</v>
      </c>
      <c r="C93" s="6">
        <v>811</v>
      </c>
      <c r="D93" s="9" t="s">
        <v>226</v>
      </c>
      <c r="E93" s="6" t="s">
        <v>233</v>
      </c>
      <c r="F93" s="9" t="s">
        <v>234</v>
      </c>
      <c r="G93" s="6">
        <v>1</v>
      </c>
      <c r="O93" s="12"/>
      <c r="T93" s="12"/>
    </row>
    <row r="94" spans="2:21" x14ac:dyDescent="0.2">
      <c r="B94" s="9" t="s">
        <v>225</v>
      </c>
      <c r="C94" s="6">
        <v>811</v>
      </c>
      <c r="D94" s="9" t="s">
        <v>226</v>
      </c>
      <c r="E94" s="6" t="s">
        <v>235</v>
      </c>
      <c r="F94" s="9" t="s">
        <v>236</v>
      </c>
      <c r="G94" s="6">
        <v>1</v>
      </c>
      <c r="O94" s="12"/>
      <c r="T94" s="12"/>
    </row>
    <row r="95" spans="2:21" x14ac:dyDescent="0.2">
      <c r="B95" s="9" t="s">
        <v>225</v>
      </c>
      <c r="C95" s="6">
        <v>811</v>
      </c>
      <c r="D95" s="9" t="s">
        <v>226</v>
      </c>
      <c r="E95" s="6" t="s">
        <v>237</v>
      </c>
      <c r="F95" s="9" t="s">
        <v>238</v>
      </c>
      <c r="G95" s="6">
        <v>1</v>
      </c>
      <c r="O95" s="12"/>
      <c r="T95" s="12"/>
    </row>
    <row r="96" spans="2:21" x14ac:dyDescent="0.2">
      <c r="B96" s="9" t="s">
        <v>225</v>
      </c>
      <c r="C96" s="6">
        <v>811</v>
      </c>
      <c r="D96" s="9" t="s">
        <v>226</v>
      </c>
      <c r="E96" s="6" t="s">
        <v>239</v>
      </c>
      <c r="F96" s="9" t="s">
        <v>240</v>
      </c>
      <c r="G96" s="6">
        <v>1</v>
      </c>
      <c r="O96" s="12"/>
      <c r="T96" s="12"/>
    </row>
    <row r="97" spans="2:20" x14ac:dyDescent="0.2">
      <c r="B97" s="9" t="s">
        <v>225</v>
      </c>
      <c r="C97" s="6">
        <v>811</v>
      </c>
      <c r="D97" s="9" t="s">
        <v>226</v>
      </c>
      <c r="E97" s="6" t="s">
        <v>241</v>
      </c>
      <c r="F97" s="9" t="s">
        <v>242</v>
      </c>
      <c r="G97" s="6">
        <v>1</v>
      </c>
      <c r="O97" s="12"/>
      <c r="T97" s="12"/>
    </row>
    <row r="98" spans="2:20" x14ac:dyDescent="0.2">
      <c r="B98" s="9" t="s">
        <v>225</v>
      </c>
      <c r="C98" s="6">
        <v>811</v>
      </c>
      <c r="D98" s="9" t="s">
        <v>226</v>
      </c>
      <c r="E98" s="6" t="s">
        <v>243</v>
      </c>
      <c r="F98" s="9" t="s">
        <v>244</v>
      </c>
      <c r="G98" s="6">
        <v>1</v>
      </c>
      <c r="O98" s="12"/>
      <c r="T98" s="12"/>
    </row>
    <row r="99" spans="2:20" x14ac:dyDescent="0.2">
      <c r="B99" s="9" t="s">
        <v>225</v>
      </c>
      <c r="C99" s="6">
        <v>812</v>
      </c>
      <c r="D99" s="9" t="s">
        <v>245</v>
      </c>
      <c r="E99" s="6" t="s">
        <v>246</v>
      </c>
      <c r="F99" s="9" t="s">
        <v>247</v>
      </c>
      <c r="O99" s="12">
        <v>1000</v>
      </c>
      <c r="P99" s="12">
        <v>1000</v>
      </c>
      <c r="T99" s="12">
        <v>500</v>
      </c>
    </row>
    <row r="100" spans="2:20" x14ac:dyDescent="0.2">
      <c r="B100" s="9" t="s">
        <v>225</v>
      </c>
      <c r="C100" s="6">
        <v>812</v>
      </c>
      <c r="D100" s="9" t="s">
        <v>245</v>
      </c>
      <c r="E100" s="6" t="s">
        <v>248</v>
      </c>
      <c r="F100" s="9" t="s">
        <v>249</v>
      </c>
      <c r="P100" s="12"/>
      <c r="T100" s="12"/>
    </row>
    <row r="101" spans="2:20" x14ac:dyDescent="0.2">
      <c r="B101" s="9" t="s">
        <v>225</v>
      </c>
      <c r="C101" s="6">
        <v>812</v>
      </c>
      <c r="D101" s="9" t="s">
        <v>245</v>
      </c>
      <c r="E101" s="6" t="s">
        <v>250</v>
      </c>
      <c r="F101" s="9" t="s">
        <v>251</v>
      </c>
      <c r="P101" s="12"/>
      <c r="T101" s="12"/>
    </row>
    <row r="102" spans="2:20" x14ac:dyDescent="0.2">
      <c r="B102" s="9" t="s">
        <v>225</v>
      </c>
      <c r="C102" s="6">
        <v>812</v>
      </c>
      <c r="D102" s="9" t="s">
        <v>245</v>
      </c>
      <c r="E102" s="6" t="s">
        <v>252</v>
      </c>
      <c r="F102" s="9" t="s">
        <v>253</v>
      </c>
      <c r="P102" s="12"/>
      <c r="T102" s="12"/>
    </row>
    <row r="103" spans="2:20" x14ac:dyDescent="0.2">
      <c r="B103" s="9" t="s">
        <v>225</v>
      </c>
      <c r="C103" s="6">
        <v>813</v>
      </c>
      <c r="D103" s="9" t="s">
        <v>254</v>
      </c>
      <c r="E103" s="6" t="s">
        <v>255</v>
      </c>
      <c r="F103" s="9" t="s">
        <v>256</v>
      </c>
      <c r="O103" s="12">
        <v>500</v>
      </c>
      <c r="P103" s="12">
        <v>500</v>
      </c>
      <c r="T103" s="12">
        <v>500</v>
      </c>
    </row>
    <row r="104" spans="2:20" x14ac:dyDescent="0.2">
      <c r="B104" s="9" t="s">
        <v>225</v>
      </c>
      <c r="C104" s="6">
        <v>814</v>
      </c>
      <c r="D104" s="9" t="s">
        <v>257</v>
      </c>
      <c r="E104" s="6" t="s">
        <v>258</v>
      </c>
      <c r="F104" s="9" t="s">
        <v>259</v>
      </c>
      <c r="O104" s="12">
        <v>500</v>
      </c>
      <c r="P104" s="12">
        <v>1500</v>
      </c>
      <c r="S104" s="12">
        <v>200</v>
      </c>
      <c r="T104" s="12"/>
    </row>
    <row r="105" spans="2:20" x14ac:dyDescent="0.2">
      <c r="B105" s="9" t="s">
        <v>225</v>
      </c>
      <c r="C105" s="6">
        <v>814</v>
      </c>
      <c r="D105" s="9" t="s">
        <v>257</v>
      </c>
      <c r="E105" s="6" t="s">
        <v>260</v>
      </c>
      <c r="F105" s="9" t="s">
        <v>161</v>
      </c>
      <c r="O105" s="12"/>
      <c r="P105" s="12"/>
      <c r="T105" s="12"/>
    </row>
    <row r="106" spans="2:20" x14ac:dyDescent="0.2">
      <c r="B106" s="9" t="s">
        <v>225</v>
      </c>
      <c r="C106" s="6">
        <v>814</v>
      </c>
      <c r="D106" s="9" t="s">
        <v>257</v>
      </c>
      <c r="E106" s="6" t="s">
        <v>261</v>
      </c>
      <c r="F106" s="9" t="s">
        <v>262</v>
      </c>
      <c r="O106" s="12"/>
      <c r="P106" s="12"/>
      <c r="T106" s="12"/>
    </row>
    <row r="107" spans="2:20" x14ac:dyDescent="0.2">
      <c r="B107" s="9" t="s">
        <v>225</v>
      </c>
      <c r="C107" s="6">
        <v>815</v>
      </c>
      <c r="D107" s="9" t="s">
        <v>263</v>
      </c>
      <c r="E107" s="6" t="s">
        <v>264</v>
      </c>
      <c r="F107" s="9" t="s">
        <v>265</v>
      </c>
      <c r="O107" s="12">
        <v>500</v>
      </c>
      <c r="P107" s="12">
        <v>1500</v>
      </c>
      <c r="S107" s="12">
        <v>300</v>
      </c>
      <c r="T107" s="12"/>
    </row>
    <row r="108" spans="2:20" x14ac:dyDescent="0.2">
      <c r="B108" s="9" t="s">
        <v>225</v>
      </c>
      <c r="C108" s="6">
        <v>815</v>
      </c>
      <c r="D108" s="9" t="s">
        <v>263</v>
      </c>
      <c r="E108" s="6" t="s">
        <v>266</v>
      </c>
      <c r="F108" s="9" t="s">
        <v>267</v>
      </c>
      <c r="O108" s="12"/>
      <c r="P108" s="12"/>
      <c r="T108" s="12"/>
    </row>
    <row r="109" spans="2:20" x14ac:dyDescent="0.2">
      <c r="B109" s="9" t="s">
        <v>225</v>
      </c>
      <c r="C109" s="6">
        <v>821</v>
      </c>
      <c r="D109" s="9" t="s">
        <v>268</v>
      </c>
      <c r="E109" s="6" t="s">
        <v>269</v>
      </c>
      <c r="F109" s="9" t="s">
        <v>270</v>
      </c>
      <c r="O109" s="12">
        <v>500</v>
      </c>
      <c r="P109" s="12">
        <v>1500</v>
      </c>
      <c r="T109" s="12">
        <v>500</v>
      </c>
    </row>
    <row r="110" spans="2:20" x14ac:dyDescent="0.2">
      <c r="B110" s="9" t="s">
        <v>225</v>
      </c>
      <c r="C110" s="6">
        <v>821</v>
      </c>
      <c r="D110" s="9" t="s">
        <v>268</v>
      </c>
      <c r="E110" s="6" t="s">
        <v>271</v>
      </c>
      <c r="F110" s="9" t="s">
        <v>272</v>
      </c>
      <c r="O110" s="12"/>
      <c r="P110" s="12"/>
      <c r="T110" s="12"/>
    </row>
    <row r="111" spans="2:20" x14ac:dyDescent="0.2">
      <c r="B111" s="9" t="s">
        <v>225</v>
      </c>
      <c r="C111" s="6">
        <v>821</v>
      </c>
      <c r="D111" s="9" t="s">
        <v>268</v>
      </c>
      <c r="E111" s="6" t="s">
        <v>273</v>
      </c>
      <c r="F111" s="9" t="s">
        <v>274</v>
      </c>
      <c r="O111" s="12"/>
      <c r="P111" s="12"/>
      <c r="T111" s="12"/>
    </row>
    <row r="112" spans="2:20" x14ac:dyDescent="0.2">
      <c r="B112" s="9" t="s">
        <v>225</v>
      </c>
      <c r="C112" s="6">
        <v>821</v>
      </c>
      <c r="D112" s="9" t="s">
        <v>268</v>
      </c>
      <c r="E112" s="6" t="s">
        <v>275</v>
      </c>
      <c r="F112" s="9" t="s">
        <v>276</v>
      </c>
      <c r="O112" s="12"/>
      <c r="P112" s="12"/>
      <c r="T112" s="12"/>
    </row>
    <row r="113" spans="2:20" x14ac:dyDescent="0.2">
      <c r="B113" s="9" t="s">
        <v>225</v>
      </c>
      <c r="C113" s="6">
        <v>822</v>
      </c>
      <c r="D113" s="9" t="s">
        <v>277</v>
      </c>
      <c r="E113" s="6" t="s">
        <v>278</v>
      </c>
      <c r="F113" s="9" t="s">
        <v>279</v>
      </c>
      <c r="O113" s="12">
        <v>1000</v>
      </c>
      <c r="P113" s="12">
        <v>2000</v>
      </c>
      <c r="T113" s="12"/>
    </row>
    <row r="114" spans="2:20" x14ac:dyDescent="0.2">
      <c r="B114" s="9" t="s">
        <v>225</v>
      </c>
      <c r="C114" s="6">
        <v>822</v>
      </c>
      <c r="D114" s="9" t="s">
        <v>277</v>
      </c>
      <c r="E114" s="6" t="s">
        <v>280</v>
      </c>
      <c r="F114" s="9" t="s">
        <v>281</v>
      </c>
      <c r="O114" s="12"/>
      <c r="P114" s="12"/>
      <c r="T114" s="12"/>
    </row>
    <row r="115" spans="2:20" x14ac:dyDescent="0.2">
      <c r="B115" s="9" t="s">
        <v>225</v>
      </c>
      <c r="C115" s="6">
        <v>822</v>
      </c>
      <c r="D115" s="9" t="s">
        <v>277</v>
      </c>
      <c r="E115" s="6" t="s">
        <v>282</v>
      </c>
      <c r="F115" s="9" t="s">
        <v>283</v>
      </c>
      <c r="O115" s="12"/>
      <c r="P115" s="12"/>
      <c r="T115" s="12"/>
    </row>
    <row r="116" spans="2:20" x14ac:dyDescent="0.2">
      <c r="B116" s="9" t="s">
        <v>225</v>
      </c>
      <c r="C116" s="6">
        <v>822</v>
      </c>
      <c r="D116" s="9" t="s">
        <v>277</v>
      </c>
      <c r="E116" s="6" t="s">
        <v>284</v>
      </c>
      <c r="F116" s="9" t="s">
        <v>285</v>
      </c>
      <c r="O116" s="12"/>
      <c r="P116" s="12"/>
      <c r="T116" s="12"/>
    </row>
    <row r="117" spans="2:20" x14ac:dyDescent="0.2">
      <c r="B117" s="9" t="s">
        <v>225</v>
      </c>
      <c r="C117" s="6">
        <v>822</v>
      </c>
      <c r="D117" s="9" t="s">
        <v>277</v>
      </c>
      <c r="E117" s="6" t="s">
        <v>286</v>
      </c>
      <c r="F117" s="9" t="s">
        <v>287</v>
      </c>
      <c r="O117" s="12"/>
      <c r="P117" s="12"/>
      <c r="T117" s="12"/>
    </row>
    <row r="118" spans="2:20" x14ac:dyDescent="0.2">
      <c r="B118" s="9" t="s">
        <v>225</v>
      </c>
      <c r="C118" s="6">
        <v>823</v>
      </c>
      <c r="D118" s="9" t="s">
        <v>288</v>
      </c>
      <c r="E118" s="6" t="s">
        <v>289</v>
      </c>
      <c r="F118" s="9" t="s">
        <v>290</v>
      </c>
      <c r="O118" s="12">
        <v>1000</v>
      </c>
      <c r="P118" s="12">
        <v>1500</v>
      </c>
      <c r="T118" s="12">
        <v>1000</v>
      </c>
    </row>
    <row r="119" spans="2:20" x14ac:dyDescent="0.2">
      <c r="B119" s="9" t="s">
        <v>225</v>
      </c>
      <c r="C119" s="6">
        <v>823</v>
      </c>
      <c r="D119" s="9" t="s">
        <v>288</v>
      </c>
      <c r="E119" s="6" t="s">
        <v>291</v>
      </c>
      <c r="F119" s="9" t="s">
        <v>292</v>
      </c>
      <c r="O119" s="12"/>
      <c r="T119" s="12"/>
    </row>
    <row r="120" spans="2:20" x14ac:dyDescent="0.2">
      <c r="B120" s="9" t="s">
        <v>225</v>
      </c>
      <c r="C120" s="6">
        <v>823</v>
      </c>
      <c r="D120" s="9" t="s">
        <v>288</v>
      </c>
      <c r="E120" s="6" t="s">
        <v>293</v>
      </c>
      <c r="F120" s="9" t="s">
        <v>294</v>
      </c>
      <c r="O120" s="12"/>
      <c r="T120" s="12"/>
    </row>
    <row r="121" spans="2:20" x14ac:dyDescent="0.2">
      <c r="B121" s="9" t="s">
        <v>225</v>
      </c>
      <c r="C121" s="6">
        <v>831</v>
      </c>
      <c r="D121" s="9" t="s">
        <v>295</v>
      </c>
      <c r="E121" s="6" t="s">
        <v>296</v>
      </c>
      <c r="F121" s="9" t="s">
        <v>297</v>
      </c>
      <c r="O121" s="12"/>
      <c r="T121" s="12">
        <v>1000</v>
      </c>
    </row>
    <row r="122" spans="2:20" x14ac:dyDescent="0.2">
      <c r="B122" s="9" t="s">
        <v>225</v>
      </c>
      <c r="C122" s="6">
        <v>831</v>
      </c>
      <c r="D122" s="9" t="s">
        <v>295</v>
      </c>
      <c r="E122" s="6" t="s">
        <v>298</v>
      </c>
      <c r="F122" s="9" t="s">
        <v>299</v>
      </c>
      <c r="O122" s="12"/>
      <c r="T122" s="12"/>
    </row>
    <row r="123" spans="2:20" x14ac:dyDescent="0.2">
      <c r="B123" s="9" t="s">
        <v>225</v>
      </c>
      <c r="C123" s="6">
        <v>831</v>
      </c>
      <c r="D123" s="9" t="s">
        <v>295</v>
      </c>
      <c r="E123" s="6" t="s">
        <v>300</v>
      </c>
      <c r="F123" s="9" t="s">
        <v>301</v>
      </c>
      <c r="O123" s="12"/>
      <c r="T123" s="12"/>
    </row>
    <row r="124" spans="2:20" x14ac:dyDescent="0.2">
      <c r="B124" s="9" t="s">
        <v>225</v>
      </c>
      <c r="C124" s="6">
        <v>832</v>
      </c>
      <c r="D124" s="9" t="s">
        <v>302</v>
      </c>
      <c r="E124" s="6" t="s">
        <v>303</v>
      </c>
      <c r="F124" s="9" t="s">
        <v>304</v>
      </c>
      <c r="G124" s="6">
        <v>1</v>
      </c>
      <c r="O124" s="12">
        <v>1000</v>
      </c>
      <c r="T124" s="12">
        <v>1000</v>
      </c>
    </row>
    <row r="125" spans="2:20" x14ac:dyDescent="0.2">
      <c r="B125" s="9" t="s">
        <v>225</v>
      </c>
      <c r="C125" s="6">
        <v>832</v>
      </c>
      <c r="D125" s="9" t="s">
        <v>302</v>
      </c>
      <c r="E125" s="6" t="s">
        <v>305</v>
      </c>
      <c r="F125" s="9" t="s">
        <v>306</v>
      </c>
      <c r="G125" s="6">
        <v>1</v>
      </c>
      <c r="O125" s="12"/>
      <c r="T125" s="12"/>
    </row>
    <row r="126" spans="2:20" x14ac:dyDescent="0.2">
      <c r="B126" s="9" t="s">
        <v>225</v>
      </c>
      <c r="C126" s="6">
        <v>832</v>
      </c>
      <c r="D126" s="9" t="s">
        <v>302</v>
      </c>
      <c r="E126" s="6" t="s">
        <v>307</v>
      </c>
      <c r="F126" s="9" t="s">
        <v>308</v>
      </c>
      <c r="G126" s="6">
        <v>1</v>
      </c>
      <c r="O126" s="12"/>
      <c r="T126" s="12"/>
    </row>
    <row r="127" spans="2:20" x14ac:dyDescent="0.2">
      <c r="B127" s="9" t="s">
        <v>225</v>
      </c>
      <c r="C127" s="6">
        <v>832</v>
      </c>
      <c r="D127" s="9" t="s">
        <v>302</v>
      </c>
      <c r="E127" s="6" t="s">
        <v>309</v>
      </c>
      <c r="F127" s="9" t="s">
        <v>310</v>
      </c>
      <c r="G127" s="6">
        <v>1</v>
      </c>
      <c r="O127" s="12"/>
      <c r="T127" s="12"/>
    </row>
    <row r="128" spans="2:20" x14ac:dyDescent="0.2">
      <c r="B128" s="9" t="s">
        <v>225</v>
      </c>
      <c r="C128" s="6">
        <v>833</v>
      </c>
      <c r="D128" s="9" t="s">
        <v>311</v>
      </c>
      <c r="E128" s="6" t="s">
        <v>312</v>
      </c>
      <c r="F128" s="9" t="s">
        <v>313</v>
      </c>
      <c r="O128" s="12">
        <v>1000</v>
      </c>
      <c r="S128" s="12">
        <v>200</v>
      </c>
      <c r="T128" s="12"/>
    </row>
    <row r="129" spans="2:22" x14ac:dyDescent="0.2">
      <c r="B129" s="9" t="s">
        <v>225</v>
      </c>
      <c r="C129" s="6">
        <v>833</v>
      </c>
      <c r="D129" s="9" t="s">
        <v>311</v>
      </c>
      <c r="E129" s="6" t="s">
        <v>314</v>
      </c>
      <c r="F129" s="9" t="s">
        <v>315</v>
      </c>
      <c r="O129" s="12"/>
      <c r="T129" s="12"/>
    </row>
    <row r="130" spans="2:22" x14ac:dyDescent="0.2">
      <c r="B130" s="9" t="s">
        <v>225</v>
      </c>
      <c r="C130" s="6">
        <v>833</v>
      </c>
      <c r="D130" s="9" t="s">
        <v>311</v>
      </c>
      <c r="E130" s="6" t="s">
        <v>316</v>
      </c>
      <c r="F130" s="9" t="s">
        <v>317</v>
      </c>
      <c r="O130" s="12"/>
      <c r="T130" s="12"/>
    </row>
    <row r="131" spans="2:22" x14ac:dyDescent="0.2">
      <c r="B131" s="9" t="s">
        <v>225</v>
      </c>
      <c r="C131" s="6">
        <v>834</v>
      </c>
      <c r="D131" s="9" t="s">
        <v>318</v>
      </c>
      <c r="E131" s="6" t="s">
        <v>319</v>
      </c>
      <c r="F131" s="9" t="s">
        <v>320</v>
      </c>
      <c r="O131" s="12">
        <v>1000</v>
      </c>
      <c r="T131" s="12">
        <v>1000</v>
      </c>
    </row>
    <row r="132" spans="2:22" x14ac:dyDescent="0.2">
      <c r="B132" s="9" t="s">
        <v>225</v>
      </c>
      <c r="C132" s="6">
        <v>834</v>
      </c>
      <c r="D132" s="9" t="s">
        <v>318</v>
      </c>
      <c r="E132" s="6" t="s">
        <v>321</v>
      </c>
      <c r="F132" s="9" t="s">
        <v>322</v>
      </c>
    </row>
    <row r="133" spans="2:22" x14ac:dyDescent="0.2">
      <c r="B133" s="9" t="s">
        <v>225</v>
      </c>
      <c r="C133" s="6">
        <v>834</v>
      </c>
      <c r="D133" s="9" t="s">
        <v>318</v>
      </c>
      <c r="E133" s="6" t="s">
        <v>323</v>
      </c>
      <c r="F133" s="9" t="s">
        <v>324</v>
      </c>
    </row>
    <row r="134" spans="2:22" x14ac:dyDescent="0.2">
      <c r="B134" s="9" t="s">
        <v>225</v>
      </c>
      <c r="C134" s="6">
        <v>834</v>
      </c>
      <c r="D134" s="9" t="s">
        <v>318</v>
      </c>
      <c r="E134" s="6" t="s">
        <v>325</v>
      </c>
      <c r="F134" s="9" t="s">
        <v>326</v>
      </c>
    </row>
    <row r="135" spans="2:22" x14ac:dyDescent="0.2">
      <c r="B135" s="9" t="s">
        <v>225</v>
      </c>
      <c r="C135" s="6">
        <v>834</v>
      </c>
      <c r="D135" s="9" t="s">
        <v>318</v>
      </c>
      <c r="E135" s="6" t="s">
        <v>327</v>
      </c>
      <c r="F135" s="9" t="s">
        <v>328</v>
      </c>
    </row>
    <row r="136" spans="2:22" x14ac:dyDescent="0.2">
      <c r="B136" s="9" t="s">
        <v>225</v>
      </c>
      <c r="C136" s="6">
        <v>834</v>
      </c>
      <c r="D136" s="9" t="s">
        <v>318</v>
      </c>
      <c r="E136" s="6" t="s">
        <v>329</v>
      </c>
      <c r="F136" s="9" t="s">
        <v>330</v>
      </c>
    </row>
    <row r="137" spans="2:22" ht="14.4" x14ac:dyDescent="0.3">
      <c r="I137" s="4">
        <f>SUM(I2:I136)</f>
        <v>400</v>
      </c>
      <c r="J137" s="4">
        <f t="shared" ref="J137:U137" si="0">SUM(J2:J136)</f>
        <v>0</v>
      </c>
      <c r="K137" s="4">
        <f t="shared" si="0"/>
        <v>450</v>
      </c>
      <c r="L137" s="4">
        <f t="shared" si="0"/>
        <v>1000</v>
      </c>
      <c r="M137" s="4">
        <f t="shared" si="0"/>
        <v>60</v>
      </c>
      <c r="N137" s="4">
        <f t="shared" si="0"/>
        <v>100</v>
      </c>
      <c r="O137" s="4">
        <f t="shared" si="0"/>
        <v>20500</v>
      </c>
      <c r="P137" s="4">
        <f t="shared" si="0"/>
        <v>14500</v>
      </c>
      <c r="Q137" s="4">
        <f t="shared" si="0"/>
        <v>600</v>
      </c>
      <c r="R137" s="4">
        <f t="shared" si="0"/>
        <v>1000</v>
      </c>
      <c r="S137" s="4">
        <f t="shared" si="0"/>
        <v>1800</v>
      </c>
      <c r="T137" s="4">
        <f t="shared" si="0"/>
        <v>11100</v>
      </c>
      <c r="U137" s="4">
        <f t="shared" si="0"/>
        <v>700</v>
      </c>
      <c r="V137" s="4">
        <f>SUM(I137:U137)</f>
        <v>52210</v>
      </c>
    </row>
    <row r="138" spans="2:22" ht="14.4" x14ac:dyDescent="0.3">
      <c r="I138" s="4">
        <v>1300</v>
      </c>
      <c r="J138" s="4">
        <v>500</v>
      </c>
      <c r="K138" s="4">
        <v>2300</v>
      </c>
      <c r="L138" s="4">
        <v>70</v>
      </c>
      <c r="M138" s="4">
        <v>1700</v>
      </c>
      <c r="N138" s="4">
        <v>480</v>
      </c>
      <c r="O138" s="4">
        <v>790</v>
      </c>
      <c r="P138" s="4">
        <v>815</v>
      </c>
      <c r="Q138" s="4">
        <v>508</v>
      </c>
      <c r="R138" s="4">
        <v>543</v>
      </c>
      <c r="S138" s="4">
        <v>440</v>
      </c>
      <c r="T138" s="4">
        <v>415</v>
      </c>
      <c r="U138" s="4">
        <v>470</v>
      </c>
      <c r="V138" s="4"/>
    </row>
    <row r="139" spans="2:22" ht="14.4" x14ac:dyDescent="0.3">
      <c r="I139" s="4">
        <f>I137*I138</f>
        <v>520000</v>
      </c>
      <c r="J139" s="4">
        <f t="shared" ref="J139:U139" si="1">J137*J138</f>
        <v>0</v>
      </c>
      <c r="K139" s="4">
        <f t="shared" si="1"/>
        <v>1035000</v>
      </c>
      <c r="L139" s="4">
        <f t="shared" si="1"/>
        <v>70000</v>
      </c>
      <c r="M139" s="4">
        <f t="shared" si="1"/>
        <v>102000</v>
      </c>
      <c r="N139" s="4">
        <f t="shared" si="1"/>
        <v>48000</v>
      </c>
      <c r="O139" s="4">
        <f t="shared" si="1"/>
        <v>16195000</v>
      </c>
      <c r="P139" s="4">
        <f t="shared" si="1"/>
        <v>11817500</v>
      </c>
      <c r="Q139" s="4">
        <f t="shared" si="1"/>
        <v>304800</v>
      </c>
      <c r="R139" s="4">
        <f t="shared" si="1"/>
        <v>543000</v>
      </c>
      <c r="S139" s="4">
        <f t="shared" si="1"/>
        <v>792000</v>
      </c>
      <c r="T139" s="4">
        <f t="shared" si="1"/>
        <v>4606500</v>
      </c>
      <c r="U139" s="4">
        <f t="shared" si="1"/>
        <v>329000</v>
      </c>
      <c r="V139" s="4">
        <f>SUM(I139:U139)</f>
        <v>36362800</v>
      </c>
    </row>
  </sheetData>
  <autoFilter ref="B1:F136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C3924620A613B458493E3E74B9718D3" ma:contentTypeVersion="26" ma:contentTypeDescription="A content type to manage public (operations) IDB documents" ma:contentTypeScope="" ma:versionID="ae5ee2ee1065ab514842e562a97d45a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R0000576733</Record_x0020_Number>
    <Key_x0020_Document xmlns="cdc7663a-08f0-4737-9e8c-148ce897a09c">false</Key_x0020_Document>
    <Division_x0020_or_x0020_Unit xmlns="cdc7663a-08f0-4737-9e8c-148ce897a09c">CSD/RND</Division_x0020_or_x0020_Unit>
    <Other_x0020_Author xmlns="cdc7663a-08f0-4737-9e8c-148ce897a09c" xsi:nil="true"/>
    <IDBDocs_x0020_Number xmlns="cdc7663a-08f0-4737-9e8c-148ce897a09c" xsi:nil="true"/>
    <Document_x0020_Author xmlns="cdc7663a-08f0-4737-9e8c-148ce897a09c">Restrepo, Lisa Sofia</Document_x0020_Author>
    <_dlc_DocId xmlns="cdc7663a-08f0-4737-9e8c-148ce897a09c">EZSHARE-2047280280-3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TaxCatchAll xmlns="cdc7663a-08f0-4737-9e8c-148ce897a09c">
      <Value>41</Value>
      <Value>40</Value>
      <Value>39</Value>
      <Value>3</Value>
      <Value>42</Value>
    </TaxCatchAll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HA-L1107</Project_x0020_Number>
    <Package_x0020_Code xmlns="cdc7663a-08f0-4737-9e8c-148ce897a09c" xsi:nil="true"/>
    <Migration_x0020_Info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AGRICULTURE AND RURAL DEVELOPMENT</TermName>
          <TermId xmlns="http://schemas.microsoft.com/office/infopath/2007/PartnerControls">d219a801-c2c3-4618-9f55-1bc987044feb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AGRICULTURAL TECHNOLOGY ADOPTION</TermName>
          <TermId xmlns="http://schemas.microsoft.com/office/infopath/2007/PartnerControls">db8b8452-d8b2-4894-b528-07e8f73b4d05</TermId>
        </TermInfo>
      </Terms>
    </b2ec7cfb18674cb8803df6b262e8b107>
    <Document_x0020_Language_x0020_IDB xmlns="cdc7663a-08f0-4737-9e8c-148ce897a09c">English</Document_x0020_Language_x0020_IDB>
    <_dlc_DocIdUrl xmlns="cdc7663a-08f0-4737-9e8c-148ce897a09c">
      <Url>https://idbg.sharepoint.com/teams/EZ-HA-LON/HA-L1107/_layouts/15/DocIdRedir.aspx?ID=EZSHARE-2047280280-3</Url>
      <Description>EZSHARE-2047280280-3</Description>
    </_dlc_DocIdUrl>
    <Phase xmlns="cdc7663a-08f0-4737-9e8c-148ce897a09c">ACTIVE</Phase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C696C33F-A62C-4877-B8BA-57274BA5BA7F}"/>
</file>

<file path=customXml/itemProps2.xml><?xml version="1.0" encoding="utf-8"?>
<ds:datastoreItem xmlns:ds="http://schemas.openxmlformats.org/officeDocument/2006/customXml" ds:itemID="{3B8C5435-4B11-422C-831B-32D72EEC00FC}"/>
</file>

<file path=customXml/itemProps3.xml><?xml version="1.0" encoding="utf-8"?>
<ds:datastoreItem xmlns:ds="http://schemas.openxmlformats.org/officeDocument/2006/customXml" ds:itemID="{49F084D7-E07B-4555-A0C9-098291241971}"/>
</file>

<file path=customXml/itemProps4.xml><?xml version="1.0" encoding="utf-8"?>
<ds:datastoreItem xmlns:ds="http://schemas.openxmlformats.org/officeDocument/2006/customXml" ds:itemID="{EBAE8B71-2713-4327-9F67-20553B71D5BC}"/>
</file>

<file path=customXml/itemProps5.xml><?xml version="1.0" encoding="utf-8"?>
<ds:datastoreItem xmlns:ds="http://schemas.openxmlformats.org/officeDocument/2006/customXml" ds:itemID="{01868942-20CA-43F5-B02D-03172D2A4BEB}"/>
</file>

<file path=customXml/itemProps6.xml><?xml version="1.0" encoding="utf-8"?>
<ds:datastoreItem xmlns:ds="http://schemas.openxmlformats.org/officeDocument/2006/customXml" ds:itemID="{0FE33081-D824-40DA-96A9-DDA0FFAEB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Pour POD</vt:lpstr>
      <vt:lpstr>PEP-Budget par produit</vt:lpstr>
      <vt:lpstr>POA Annee 1</vt:lpstr>
      <vt:lpstr>Plan Passation des Marches</vt:lpstr>
      <vt:lpstr>Total Incitations + AT</vt:lpstr>
      <vt:lpstr>Incitations par section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IADB</dc:creator>
  <cp:keywords/>
  <cp:lastModifiedBy>De Salvo, Carmine Paolo</cp:lastModifiedBy>
  <dcterms:created xsi:type="dcterms:W3CDTF">2016-05-11T19:36:09Z</dcterms:created>
  <dcterms:modified xsi:type="dcterms:W3CDTF">2017-08-10T21:23:38Z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RecordStorageActiveId">
    <vt:lpwstr>9737e68d-bc39-4f43-b6b6-7205b1199f6c</vt:lpwstr>
  </property>
  <property fmtid="{D5CDD505-2E9C-101B-9397-08002B2CF9AE}" pid="6" name="Series Operations IDB">
    <vt:lpwstr/>
  </property>
  <property fmtid="{D5CDD505-2E9C-101B-9397-08002B2CF9AE}" pid="7" name="Sub-Sector">
    <vt:lpwstr>41;#AGRICULTURAL TECHNOLOGY ADOPTION|db8b8452-d8b2-4894-b528-07e8f73b4d05</vt:lpwstr>
  </property>
  <property fmtid="{D5CDD505-2E9C-101B-9397-08002B2CF9AE}" pid="8" name="Country">
    <vt:lpwstr>42;#Haiti|77a11ace-c854-4e9c-9e19-c924bca0dd43</vt:lpwstr>
  </property>
  <property fmtid="{D5CDD505-2E9C-101B-9397-08002B2CF9AE}" pid="9" name="Fund IDB">
    <vt:lpwstr>40;#GRF|91c131c5-8288-4ee4-8c9c-34395b8e8fd9</vt:lpwstr>
  </property>
  <property fmtid="{D5CDD505-2E9C-101B-9397-08002B2CF9AE}" pid="10" name="_dlc_DocIdItemGuid">
    <vt:lpwstr>54126e12-4f73-402c-8e97-c91a1d1eca5a</vt:lpwstr>
  </property>
  <property fmtid="{D5CDD505-2E9C-101B-9397-08002B2CF9AE}" pid="11" name="Sector IDB">
    <vt:lpwstr>39;#AGRICULTURE AND RURAL DEVELOPMENT|d219a801-c2c3-4618-9f55-1bc987044feb</vt:lpwstr>
  </property>
  <property fmtid="{D5CDD505-2E9C-101B-9397-08002B2CF9AE}" pid="12" name="RecordPoint_ActiveItemMoved">
    <vt:lpwstr>/teams/EZ-HA-LON/HA-L1107/15 LifeCycle Milestones/Draft Area/POD - Required Link - PEP-POA-PA - HA-L1107.xlsx</vt:lpwstr>
  </property>
  <property fmtid="{D5CDD505-2E9C-101B-9397-08002B2CF9AE}" pid="13" name="Function Operations IDB">
    <vt:lpwstr>3;#Monitoring and Reporting|df3c2aa1-d63e-41aa-b1f5-bb15dee691ca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0x0101001A458A224826124E8B45B1D613300CFC005C3924620A613B458493E3E74B9718D3</vt:lpwstr>
  </property>
</Properties>
</file>