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IGORG\Desktop\"/>
    </mc:Choice>
  </mc:AlternateContent>
  <xr:revisionPtr revIDLastSave="0" documentId="13_ncr:1_{2943A654-9FA4-45E5-93BE-E765A2F6A1BF}" xr6:coauthVersionLast="41" xr6:coauthVersionMax="41" xr10:uidLastSave="{00000000-0000-0000-0000-000000000000}"/>
  <bookViews>
    <workbookView xWindow="-120" yWindow="-120" windowWidth="29040" windowHeight="15840" tabRatio="183" xr2:uid="{00000000-000D-0000-FFFF-FFFF00000000}"/>
  </bookViews>
  <sheets>
    <sheet name="PA" sheetId="2" r:id="rId1"/>
    <sheet name="Plan1" sheetId="3" r:id="rId2"/>
  </sheets>
  <definedNames>
    <definedName name="_xlnm._FilterDatabase" localSheetId="0" hidden="1">PA!$A$1:$X$276</definedName>
    <definedName name="_xlnm.Print_Area" localSheetId="0">PA!$A$9:$M$262</definedName>
    <definedName name="_xlnm.Print_Titles" localSheetId="0">PA!$1:$9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2" l="1"/>
  <c r="D198" i="2" l="1"/>
  <c r="D201" i="2"/>
  <c r="D202" i="2"/>
  <c r="D197" i="2"/>
  <c r="D203" i="2" l="1"/>
  <c r="D200" i="2" l="1"/>
  <c r="D205" i="2" l="1"/>
  <c r="D204" i="2" l="1"/>
  <c r="D152" i="2" l="1"/>
  <c r="D159" i="2"/>
  <c r="D158" i="2" l="1"/>
  <c r="D157" i="2"/>
  <c r="D151" i="2"/>
  <c r="D148" i="2"/>
  <c r="D147" i="2" l="1"/>
  <c r="D141" i="2"/>
  <c r="D193" i="2" l="1"/>
  <c r="R204" i="2" l="1"/>
  <c r="Q204" i="2"/>
  <c r="R202" i="2" l="1"/>
  <c r="Q202" i="2"/>
  <c r="R201" i="2" l="1"/>
  <c r="Q201" i="2"/>
  <c r="R203" i="2"/>
  <c r="Q203" i="2"/>
  <c r="R206" i="2"/>
  <c r="Q206" i="2"/>
  <c r="R200" i="2"/>
  <c r="Q200" i="2"/>
  <c r="Q211" i="2" l="1"/>
  <c r="R211" i="2"/>
  <c r="Q212" i="2"/>
  <c r="R212" i="2"/>
  <c r="Q213" i="2"/>
  <c r="R213" i="2"/>
  <c r="Q214" i="2"/>
  <c r="R214" i="2"/>
  <c r="Q215" i="2"/>
  <c r="R215" i="2"/>
  <c r="Q216" i="2"/>
  <c r="R216" i="2"/>
  <c r="Q217" i="2"/>
  <c r="R217" i="2"/>
  <c r="Q218" i="2"/>
  <c r="R218" i="2"/>
  <c r="Q219" i="2"/>
  <c r="R219" i="2"/>
  <c r="Q220" i="2"/>
  <c r="Q221" i="2"/>
  <c r="Q222" i="2"/>
  <c r="R222" i="2"/>
  <c r="Q223" i="2"/>
  <c r="R223" i="2"/>
  <c r="Q224" i="2"/>
  <c r="R224" i="2"/>
  <c r="Q225" i="2"/>
  <c r="R225" i="2"/>
  <c r="Q226" i="2"/>
  <c r="R226" i="2"/>
  <c r="Q227" i="2"/>
  <c r="Q228" i="2"/>
  <c r="R228" i="2"/>
  <c r="Q229" i="2"/>
  <c r="R229" i="2"/>
  <c r="Q232" i="2"/>
  <c r="R232" i="2"/>
  <c r="Q234" i="2"/>
  <c r="R234" i="2"/>
  <c r="Q235" i="2"/>
  <c r="R235" i="2"/>
  <c r="Q237" i="2"/>
  <c r="R237" i="2"/>
  <c r="Q238" i="2"/>
  <c r="R238" i="2"/>
  <c r="Q239" i="2"/>
  <c r="R239" i="2"/>
  <c r="Q240" i="2"/>
  <c r="R240" i="2"/>
  <c r="Q241" i="2"/>
  <c r="R241" i="2"/>
  <c r="Q242" i="2"/>
  <c r="R242" i="2"/>
  <c r="Q243" i="2"/>
  <c r="R243" i="2"/>
  <c r="Q244" i="2"/>
  <c r="R244" i="2"/>
  <c r="Q245" i="2"/>
  <c r="R245" i="2"/>
  <c r="Q140" i="2"/>
  <c r="R140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9" i="2"/>
  <c r="R149" i="2"/>
  <c r="Q150" i="2"/>
  <c r="R150" i="2"/>
  <c r="Q153" i="2"/>
  <c r="R153" i="2"/>
  <c r="Q154" i="2"/>
  <c r="R154" i="2"/>
  <c r="Q155" i="2"/>
  <c r="R155" i="2"/>
  <c r="Q156" i="2"/>
  <c r="R156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0" i="2"/>
  <c r="R170" i="2"/>
  <c r="Q171" i="2"/>
  <c r="R171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13" i="2"/>
  <c r="R13" i="2"/>
  <c r="Q14" i="2"/>
  <c r="R14" i="2"/>
  <c r="Q15" i="2"/>
  <c r="R15" i="2"/>
  <c r="Q16" i="2"/>
  <c r="R16" i="2"/>
  <c r="Q17" i="2"/>
  <c r="R17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9" i="2"/>
  <c r="R29" i="2"/>
  <c r="Q31" i="2"/>
  <c r="R31" i="2"/>
  <c r="Q32" i="2"/>
  <c r="R32" i="2"/>
  <c r="Q34" i="2"/>
  <c r="R34" i="2"/>
  <c r="Q35" i="2"/>
  <c r="R35" i="2"/>
  <c r="Q36" i="2"/>
  <c r="R36" i="2"/>
  <c r="Q37" i="2"/>
  <c r="R37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3" i="2"/>
  <c r="R53" i="2"/>
  <c r="Q56" i="2"/>
  <c r="R56" i="2"/>
  <c r="Q59" i="2"/>
  <c r="R59" i="2"/>
  <c r="Q61" i="2"/>
  <c r="R61" i="2"/>
  <c r="Q63" i="2"/>
  <c r="R63" i="2"/>
  <c r="Q65" i="2"/>
  <c r="R65" i="2"/>
  <c r="Q66" i="2"/>
  <c r="R66" i="2"/>
  <c r="Q67" i="2"/>
  <c r="R67" i="2"/>
  <c r="Q69" i="2"/>
  <c r="R69" i="2"/>
  <c r="Q71" i="2"/>
  <c r="R71" i="2"/>
  <c r="Q72" i="2"/>
  <c r="R72" i="2"/>
  <c r="Q74" i="2"/>
  <c r="R74" i="2"/>
  <c r="Q76" i="2"/>
  <c r="R76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8" i="2"/>
  <c r="R119" i="2"/>
  <c r="R120" i="2"/>
  <c r="R121" i="2"/>
  <c r="R123" i="2"/>
  <c r="R124" i="2"/>
  <c r="R125" i="2"/>
  <c r="R126" i="2"/>
  <c r="R129" i="2"/>
  <c r="R130" i="2"/>
  <c r="R131" i="2"/>
  <c r="R132" i="2"/>
  <c r="R133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8" i="2"/>
  <c r="Q119" i="2"/>
  <c r="Q120" i="2"/>
  <c r="Q121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48" i="2" l="1"/>
  <c r="R148" i="2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1" i="3"/>
  <c r="D183" i="2" l="1"/>
  <c r="Q183" i="2" l="1"/>
  <c r="R183" i="2"/>
  <c r="H115" i="2"/>
  <c r="R274" i="2" l="1"/>
  <c r="R273" i="2"/>
  <c r="R259" i="2"/>
  <c r="Q259" i="2"/>
  <c r="R139" i="2"/>
  <c r="Q139" i="2"/>
  <c r="R96" i="2"/>
  <c r="Q96" i="2"/>
  <c r="R268" i="2"/>
  <c r="Q268" i="2"/>
  <c r="S259" i="2" l="1"/>
  <c r="H227" i="2"/>
  <c r="R227" i="2" s="1"/>
  <c r="H220" i="2"/>
  <c r="H134" i="2"/>
  <c r="R134" i="2" s="1"/>
  <c r="R220" i="2" l="1"/>
  <c r="D73" i="2"/>
  <c r="D75" i="2"/>
  <c r="D230" i="2"/>
  <c r="H230" i="2" s="1"/>
  <c r="D210" i="2"/>
  <c r="D173" i="2"/>
  <c r="D172" i="2"/>
  <c r="D207" i="2" s="1"/>
  <c r="D77" i="2"/>
  <c r="D70" i="2"/>
  <c r="D68" i="2"/>
  <c r="D64" i="2"/>
  <c r="D62" i="2"/>
  <c r="D60" i="2"/>
  <c r="D58" i="2"/>
  <c r="D57" i="2"/>
  <c r="D55" i="2"/>
  <c r="D54" i="2"/>
  <c r="D52" i="2"/>
  <c r="D41" i="2"/>
  <c r="D40" i="2"/>
  <c r="D39" i="2"/>
  <c r="D38" i="2"/>
  <c r="D33" i="2"/>
  <c r="D30" i="2"/>
  <c r="D28" i="2"/>
  <c r="D27" i="2"/>
  <c r="D18" i="2"/>
  <c r="H135" i="2"/>
  <c r="R135" i="2" s="1"/>
  <c r="D93" i="2" l="1"/>
  <c r="G93" i="2"/>
  <c r="H93" i="2"/>
  <c r="G207" i="2"/>
  <c r="H207" i="2"/>
  <c r="Q18" i="2"/>
  <c r="R18" i="2"/>
  <c r="R33" i="2"/>
  <c r="Q33" i="2"/>
  <c r="R41" i="2"/>
  <c r="Q41" i="2"/>
  <c r="R57" i="2"/>
  <c r="Q57" i="2"/>
  <c r="Q64" i="2"/>
  <c r="R64" i="2"/>
  <c r="R141" i="2"/>
  <c r="Q141" i="2"/>
  <c r="R158" i="2"/>
  <c r="Q158" i="2"/>
  <c r="R27" i="2"/>
  <c r="Q27" i="2"/>
  <c r="Q38" i="2"/>
  <c r="R38" i="2"/>
  <c r="Q52" i="2"/>
  <c r="R52" i="2"/>
  <c r="Q58" i="2"/>
  <c r="R58" i="2"/>
  <c r="Q68" i="2"/>
  <c r="R68" i="2"/>
  <c r="Q151" i="2"/>
  <c r="R151" i="2"/>
  <c r="Q159" i="2"/>
  <c r="R159" i="2"/>
  <c r="Q28" i="2"/>
  <c r="R28" i="2"/>
  <c r="R39" i="2"/>
  <c r="Q39" i="2"/>
  <c r="Q54" i="2"/>
  <c r="R54" i="2"/>
  <c r="Q60" i="2"/>
  <c r="R60" i="2"/>
  <c r="Q70" i="2"/>
  <c r="R70" i="2"/>
  <c r="R152" i="2"/>
  <c r="Q152" i="2"/>
  <c r="R172" i="2"/>
  <c r="Q172" i="2"/>
  <c r="R75" i="2"/>
  <c r="Q75" i="2"/>
  <c r="Q30" i="2"/>
  <c r="R30" i="2"/>
  <c r="Q40" i="2"/>
  <c r="R40" i="2"/>
  <c r="R55" i="2"/>
  <c r="Q55" i="2"/>
  <c r="Q62" i="2"/>
  <c r="R62" i="2"/>
  <c r="Q77" i="2"/>
  <c r="R77" i="2"/>
  <c r="Q157" i="2"/>
  <c r="R157" i="2"/>
  <c r="Q173" i="2"/>
  <c r="R173" i="2"/>
  <c r="R73" i="2"/>
  <c r="Q73" i="2"/>
  <c r="G230" i="2"/>
  <c r="R230" i="2"/>
  <c r="D231" i="2"/>
  <c r="D236" i="2"/>
  <c r="Q230" i="2" l="1"/>
  <c r="R231" i="2"/>
  <c r="Q231" i="2"/>
  <c r="Q236" i="2"/>
  <c r="R236" i="2"/>
  <c r="D233" i="2"/>
  <c r="D246" i="2" s="1"/>
  <c r="H221" i="2"/>
  <c r="H246" i="2" s="1"/>
  <c r="G246" i="2" l="1"/>
  <c r="R233" i="2"/>
  <c r="Q233" i="2"/>
  <c r="R221" i="2"/>
  <c r="D122" i="2"/>
  <c r="Q122" i="2" s="1"/>
  <c r="D117" i="2"/>
  <c r="D116" i="2"/>
  <c r="D115" i="2"/>
  <c r="D136" i="2" l="1"/>
  <c r="G136" i="2"/>
  <c r="Q115" i="2"/>
  <c r="R115" i="2"/>
  <c r="D250" i="2"/>
  <c r="Q117" i="2"/>
  <c r="Q256" i="2" s="1"/>
  <c r="R117" i="2"/>
  <c r="R116" i="2"/>
  <c r="Q116" i="2"/>
  <c r="D249" i="2"/>
  <c r="D248" i="2"/>
  <c r="R266" i="2"/>
  <c r="Q266" i="2"/>
  <c r="R12" i="2"/>
  <c r="Q12" i="2"/>
  <c r="H128" i="2"/>
  <c r="R128" i="2" s="1"/>
  <c r="H127" i="2"/>
  <c r="R127" i="2" s="1"/>
  <c r="H122" i="2"/>
  <c r="Q265" i="2"/>
  <c r="R265" i="2"/>
  <c r="R258" i="2"/>
  <c r="Q258" i="2"/>
  <c r="R122" i="2" l="1"/>
  <c r="H136" i="2"/>
  <c r="G249" i="2"/>
  <c r="H249" i="2"/>
  <c r="R256" i="2"/>
  <c r="Q257" i="2"/>
  <c r="R257" i="2"/>
  <c r="R267" i="2"/>
  <c r="Q267" i="2"/>
  <c r="Q210" i="2"/>
  <c r="G250" i="2" s="1"/>
  <c r="R210" i="2"/>
  <c r="H250" i="2" s="1"/>
  <c r="Q264" i="2" l="1"/>
  <c r="R264" i="2"/>
  <c r="R269" i="2" s="1"/>
  <c r="S256" i="2"/>
  <c r="S268" i="2"/>
  <c r="S257" i="2"/>
  <c r="S267" i="2"/>
  <c r="G248" i="2"/>
  <c r="G253" i="2" s="1"/>
  <c r="H248" i="2"/>
  <c r="H253" i="2" s="1"/>
  <c r="S265" i="2"/>
  <c r="S258" i="2"/>
  <c r="Q260" i="2"/>
  <c r="Q273" i="2" s="1"/>
  <c r="R260" i="2" l="1"/>
  <c r="Q269" i="2"/>
  <c r="S266" i="2"/>
  <c r="S273" i="2"/>
  <c r="S264" i="2"/>
  <c r="S260" i="2"/>
  <c r="Q274" i="2" l="1"/>
  <c r="S274" i="2" s="1"/>
  <c r="S269" i="2"/>
</calcChain>
</file>

<file path=xl/sharedStrings.xml><?xml version="1.0" encoding="utf-8"?>
<sst xmlns="http://schemas.openxmlformats.org/spreadsheetml/2006/main" count="1877" uniqueCount="732">
  <si>
    <t>Item Orçamento Detalhado 5.2.3  Polícia Ambiental (PMA)  Ano 2: 2012 - Ano 3: 2013</t>
  </si>
  <si>
    <t>Aquisição de Eletrodomésticos  - Ano 3</t>
  </si>
  <si>
    <t>Aquisição de Cine-foto e som - Ano 3</t>
  </si>
  <si>
    <t>Aquisição de materiais de escritório - ano 3</t>
  </si>
  <si>
    <t>Aquisição de  insumos de informática - ano 3</t>
  </si>
  <si>
    <t>Aquisição de Equipamentos de Informática   - Ano 3</t>
  </si>
  <si>
    <t>Aquisição de Equipamentos de Precisão e Controle  - Ano 3</t>
  </si>
  <si>
    <t>Item Orçamento Detalhado - Componente 01 - Prod.01 - 1.2.12./  Fundação Florestal (FF)       
Ano 2: 2012</t>
  </si>
  <si>
    <t xml:space="preserve">Item Orçamento Detalhado - Componente 01 - Prod.01 - 1.2.12./ Fundação Florestal (FF)       
Ano 2: 2012 </t>
  </si>
  <si>
    <t xml:space="preserve">Item Orçamento Detalhado - Componente 01 - Prod. 03 - 3.1.9.  Fundação Florestal (FF)       Ano 2: 2012 </t>
  </si>
  <si>
    <t>Aquisição de Implementos agrícolas  - Ano 3</t>
  </si>
  <si>
    <t>Aquisição de Extintores de Incêndio</t>
  </si>
  <si>
    <t>Item Orçamento Detalhado - Componente 01 - 1.2.12  Fundação Florestal (FF)       
Ano 2: 2012 - Ano 2: 2012</t>
  </si>
  <si>
    <t>Contratação de firma de Auditoria Externa Contábil.</t>
  </si>
  <si>
    <t>Custo Estim.
(1000 US$)</t>
  </si>
  <si>
    <t>Mét. Aquis.
(1)</t>
  </si>
  <si>
    <t>Revisão 
(2)</t>
  </si>
  <si>
    <t>BID
 (%)</t>
  </si>
  <si>
    <t>Status 
(3)</t>
  </si>
  <si>
    <t xml:space="preserve">Item Orçamento Detalhado - Componente 01 - Prod. 01-  1.2.12  ,Prod. . 02 - 2.5.6.a ,  Prod. 03 - 3.1.9/3,.,2.8..  Fundação Florestal (FF), Prod.05 - 5.2.5. Policia Ambiental (PMA)       Ano 2: 2012 </t>
  </si>
  <si>
    <t>1.38</t>
  </si>
  <si>
    <t>Aquisição de Embarcações- Ano 3</t>
  </si>
  <si>
    <t>1.39</t>
  </si>
  <si>
    <t>Item Orçamento Detalhado - Componente 01 - 1.2.12 e 3.1.9 - Ano 3:2013</t>
  </si>
  <si>
    <t>1.42</t>
  </si>
  <si>
    <t>1.43</t>
  </si>
  <si>
    <t>1.44</t>
  </si>
  <si>
    <t>Contrato de Obras e serviços de infra-estrutura, fundações dos prédios e paisagismo "Novo Bairro Jardim Casqueiro Residencial Rubens Lara"</t>
  </si>
  <si>
    <t>Contrato para o processamento de blocos de rocha; obras e serviços de infra-estrutura e implantação do parque público "Novo Bairro Bolsão IX"</t>
  </si>
  <si>
    <t>Contrato de Obras e serviços de infra-estrutura, terraplene com controle tecnológico incluindo instrumentação e monitoramento dos aterros e execução de drenagem fibroquímicos "Novo Bairro Bolsão VII"</t>
  </si>
  <si>
    <t>Contrato de Obras e serviços de infra-estrutura, geotécnica e desconstrução "Bairro Cota 95/100"</t>
  </si>
  <si>
    <t>Contrato de Obras e serviços de infra-estrutura, geotécnica e desconstrução "Bairro Cota 200"</t>
  </si>
  <si>
    <t>Aquisição de pneus  - ano 3</t>
  </si>
  <si>
    <t>Contratação de firma para o desenvolvimento e implantação da comunicação visual dos Centros de Vistantes e Bases Conjugadas nos núcleos do PESM</t>
  </si>
  <si>
    <t>Tomada de Preço (Técnica e Preço)</t>
  </si>
  <si>
    <t>Contrato de obras  no Parque Estadual Xixova Japuí - Base Conjugada e Guarita</t>
  </si>
  <si>
    <t xml:space="preserve">Aquisição de Equipamentos de Radiocomunicação - Ano 3 </t>
  </si>
  <si>
    <t xml:space="preserve">Aquisição de Materiais de Acampamento - Ano 3 </t>
  </si>
  <si>
    <t>4.49</t>
  </si>
  <si>
    <t>SUBTOTAL DE BENS</t>
  </si>
  <si>
    <t>VALOR TOTAL</t>
  </si>
  <si>
    <t>SUBTOTAL DE OBRAS</t>
  </si>
  <si>
    <t>3. SERVIÇOS DIFERENTES A CONSULTORIA</t>
  </si>
  <si>
    <t>2. OBRAS</t>
  </si>
  <si>
    <t>4. CONSULTORIA</t>
  </si>
  <si>
    <t>SUBTOTAL DE CONSULTORIA</t>
  </si>
  <si>
    <t>1. BENS</t>
  </si>
  <si>
    <t>Programa "Recuperação Socioambiental da Serra do Mar e Sistema de Mosaicos da Mata Atlântica"</t>
  </si>
  <si>
    <t>Contrato de Empréstimo: 2376/OC-BR</t>
  </si>
  <si>
    <t xml:space="preserve">PLANO DE AQUISIÇÕES (PA) - 18 MESES </t>
  </si>
  <si>
    <t>Aquisição de um Sistema de Monitoramento Físico Financeiro do Programa</t>
  </si>
  <si>
    <t>Contrato de obras  no Parque Estadual Ilha Anchieta - PIER</t>
  </si>
  <si>
    <t>Contratação de firma para a elaboração do Plano de Manejo: APA da Ilha Comprida.</t>
  </si>
  <si>
    <t>Item Orçamento 1.2.1.Fundação Florestal (FF)   
Ano 3: 2013</t>
  </si>
  <si>
    <t>Contrato de Obras para término das Obras na Base de Proteção, Guarita e Sanitário no PESM/ Núcleo Itutinga Piloes</t>
  </si>
  <si>
    <t>4.60</t>
  </si>
  <si>
    <t>Contrato de Obra para construcao de Base de Protecao - Núcleo Caraguatatuba - 2056/10</t>
  </si>
  <si>
    <t xml:space="preserve">Item Orçamento 2.4.1.Fundação Florestal (FF) 
 Ano 2: 2012     </t>
  </si>
  <si>
    <t>Contratação de firma para obra da Sede do 1º Batalhão</t>
  </si>
  <si>
    <t>1.33</t>
  </si>
  <si>
    <t>1.34</t>
  </si>
  <si>
    <t>Contratação de firma especializada em Resolução de Conflitos.</t>
  </si>
  <si>
    <t>Contratação de firma gerenciadora para apoio a UGP e UEP/SH-CDHU</t>
  </si>
  <si>
    <t>Contratação de firma para a elaboração do Plano de Manejo Florestal.</t>
  </si>
  <si>
    <t>Contratação de firma para avaliação das áreas e benfeitorias no Núcleo Santa Virgínia e Cunha.</t>
  </si>
  <si>
    <t>Contratação de firma para o desenvolvimento e implementação do Programa de Educação Sócio Ambiental.</t>
  </si>
  <si>
    <t>Contratação de firma para o desenvolvimento e implementação do Programa de Capacitação Técnica dos Policiais Ambientais.</t>
  </si>
  <si>
    <t>Contratação de firma nacional para apoio operativo - UE/SMA-FF</t>
  </si>
  <si>
    <t>Contratação de firma para a implementação do Plano de Comunicação do Programa.</t>
  </si>
  <si>
    <t>4.40</t>
  </si>
  <si>
    <t>4.44</t>
  </si>
  <si>
    <t>4.46</t>
  </si>
  <si>
    <t>4.47</t>
  </si>
  <si>
    <t>Tomada de preços (Técnica e Preço)</t>
  </si>
  <si>
    <t>SBQ</t>
  </si>
  <si>
    <t>SBQC</t>
  </si>
  <si>
    <t>CCIN</t>
  </si>
  <si>
    <t>Descrição do Contrato</t>
  </si>
  <si>
    <t>(1)</t>
  </si>
  <si>
    <t>LPI</t>
  </si>
  <si>
    <t>Pregão Eletrônico</t>
  </si>
  <si>
    <t>LPN</t>
  </si>
  <si>
    <t>Ex-post</t>
  </si>
  <si>
    <t>Ex-ante</t>
  </si>
  <si>
    <t>Pendente</t>
  </si>
  <si>
    <t>Aquisição de Eletrodomésticos  - Ano 1</t>
  </si>
  <si>
    <t>Aquisição de Implementos agrícolas  - Ano 1</t>
  </si>
  <si>
    <t>Aquisição de Equipamentos de Informática  - Ano 1</t>
  </si>
  <si>
    <t>Aquisição de Equipamentos de Instrumentos de precisão e controle  - Ano 1</t>
  </si>
  <si>
    <t>Aquisição de Mobiliário  - Ano 1</t>
  </si>
  <si>
    <t>Aquisição de Equipamentos Telefonia  - Ano 1</t>
  </si>
  <si>
    <t>Aquisição de Veículos  - Ano 1</t>
  </si>
  <si>
    <t>Aquisição de aeronave tipo helicóptero.</t>
  </si>
  <si>
    <t>Aquisição de embarcações- Ano 2</t>
  </si>
  <si>
    <t>Aquisição de materiais de escritório e insumos de informática - Ano 1</t>
  </si>
  <si>
    <t>Aquisição de Equipamento Náutico  - Ano 1</t>
  </si>
  <si>
    <t>2.2</t>
  </si>
  <si>
    <t>2.3</t>
  </si>
  <si>
    <t>2.6</t>
  </si>
  <si>
    <t>2.14</t>
  </si>
  <si>
    <t>2.16</t>
  </si>
  <si>
    <t>2.20</t>
  </si>
  <si>
    <t>2.21</t>
  </si>
  <si>
    <t>Contrato de obras para acessos da Estação Ecológica da Jureia</t>
  </si>
  <si>
    <t>2.22</t>
  </si>
  <si>
    <t>Tomada de Preço</t>
  </si>
  <si>
    <t>1.2</t>
  </si>
  <si>
    <t>1.3</t>
  </si>
  <si>
    <t>1.5</t>
  </si>
  <si>
    <t>1.6</t>
  </si>
  <si>
    <t>1.7</t>
  </si>
  <si>
    <t>1.9</t>
  </si>
  <si>
    <t>1.10</t>
  </si>
  <si>
    <t>1.11</t>
  </si>
  <si>
    <t>1.1</t>
  </si>
  <si>
    <t>1.12</t>
  </si>
  <si>
    <t>1.14</t>
  </si>
  <si>
    <t>1.15</t>
  </si>
  <si>
    <t>1.17</t>
  </si>
  <si>
    <t>1.19</t>
  </si>
  <si>
    <t>1.20</t>
  </si>
  <si>
    <t>3.4</t>
  </si>
  <si>
    <t>3.8</t>
  </si>
  <si>
    <t>3.13</t>
  </si>
  <si>
    <t>3.14</t>
  </si>
  <si>
    <t>3.15</t>
  </si>
  <si>
    <t>3.17</t>
  </si>
  <si>
    <t>3.19</t>
  </si>
  <si>
    <t>3.22</t>
  </si>
  <si>
    <t>3.24</t>
  </si>
  <si>
    <t>3.27</t>
  </si>
  <si>
    <t>3.28</t>
  </si>
  <si>
    <t>3.30</t>
  </si>
  <si>
    <t>3.31</t>
  </si>
  <si>
    <t>Custeio operacional das Unidades de Proteção Integral (Jureia Itatins, Prelado e Itingucu)</t>
  </si>
  <si>
    <t>Custeio operacional das Unidades de Uso Sustentável.</t>
  </si>
  <si>
    <t>Custeio operacional das estruturas das Unidades Marinhas de Proteção Integral.</t>
  </si>
  <si>
    <t>Contratação de firma para provisão de combustível por cartão magnético.</t>
  </si>
  <si>
    <t>Contratação de firma para manutenção de veículos, motos e caminhões.</t>
  </si>
  <si>
    <t>Contratação de firma para manutenção de embarcações.</t>
  </si>
  <si>
    <t>Custeio operacional de policias ambientais para a fiscalização ambiental.</t>
  </si>
  <si>
    <t>Custeio Operacional da UEP/FF</t>
  </si>
  <si>
    <t>Pregão Eletrônico/ Compra Direta/Adiantamentos</t>
  </si>
  <si>
    <t>Pregão Eletrônico / Compra Direta/Adiantamentos</t>
  </si>
  <si>
    <t>Em execução</t>
  </si>
  <si>
    <t>mai-11</t>
  </si>
  <si>
    <t>4.2</t>
  </si>
  <si>
    <t>4.4</t>
  </si>
  <si>
    <t>4.8</t>
  </si>
  <si>
    <t>4.10</t>
  </si>
  <si>
    <t>4.14</t>
  </si>
  <si>
    <t>4.17</t>
  </si>
  <si>
    <t>4.29</t>
  </si>
  <si>
    <t>4.33</t>
  </si>
  <si>
    <t>4.35</t>
  </si>
  <si>
    <t>4.36</t>
  </si>
  <si>
    <t>4.37</t>
  </si>
  <si>
    <t>4.38</t>
  </si>
  <si>
    <t>Comentários</t>
  </si>
  <si>
    <t>Contratação de firma para a elaboração dos projetos executivos da EE Jureia-Itatins - acessos</t>
  </si>
  <si>
    <t xml:space="preserve">Item Orçamento Detalhado - Componente 01 - Prod. 01-  1.2.12., Prod. 03 - 3.1.9.  e 3.2.1. - Componente 03 - Prod. 5 - 5.2.4. Fundação Florestal (FF)       Ano 1: 2011              </t>
  </si>
  <si>
    <t xml:space="preserve">Item Orçamento Detalhado 5.2.14   Componente 3  - Produto 5 Polícia Ambiental (PMA)     Ano 1: 2011     </t>
  </si>
  <si>
    <t xml:space="preserve">Item Orçamento Detalhado 5.2.14    Componente 3  - Produto 5   Polícia Ambiental (PMA)   Ano 2: 2012                               </t>
  </si>
  <si>
    <t xml:space="preserve">Item Orçamento Detalhado - Componente 01 - Prod 03 - 3.1.9 e 3.2.1.
Fundação Florestal (FF)      
Ano 1: 2011              </t>
  </si>
  <si>
    <t xml:space="preserve">Item Orçamento Detalhado - Componente 01 - Prod 01-  1.2.12,Prod . 02 - 2.4.12, Prod 03 - 3.1.9,3.2.1.,3.2.3  e 3.2.8 - Componente 03 - Prod 5 - 5.2.5
Fundação Florestal (FF)   
Ano 1: 2011              </t>
  </si>
  <si>
    <t xml:space="preserve">Item Orçamento Detalhado - Componente 01 - Prod. 01-  1.2.12.,Prod. . 02 - 2.4.12., Prod. 03 - 3.1.9./3.2.1.   Fundação Florestal (FF)       Ano 1: 2011              </t>
  </si>
  <si>
    <t xml:space="preserve">Item Orçamento Detalhado - Componente 01 - Prod. 01-  1.2.12 - ,Prod. . 02 - 2.4.12 ,  Prod. 03 - 3.1.9.  Fundação Florestal (FF)       Ano 1: 2011              </t>
  </si>
  <si>
    <t xml:space="preserve">Item Orçamento Detalhado - Componente 01 - Prod. 01-  1.2.12. e Prod. . 02 - 2.4.12  Prod. 03 - 3.2.1.. Fundação Florestal (FF)       Ano 1: 2011              </t>
  </si>
  <si>
    <t xml:space="preserve">Item Orçamento Detalhado - Componente 01 - Prod. 01-  1.2.12. e Prod. 03 - 3.1.9.  Fundação Florestal (FF)
Ano 1: 2011              </t>
  </si>
  <si>
    <t xml:space="preserve">Item Orçamento Detalhado - Componente 01 - Prod. 01-  1.2.12., Prod. 02-  2.4.12, Prod. 03 - 3.1.9  e 3.2.6 - Componente 03 - Prod. 5 - 5.2.1
Fundação Florestal (FF)      
Ano 1: 2011              </t>
  </si>
  <si>
    <t>Registro de Preços</t>
  </si>
  <si>
    <t xml:space="preserve">Custeio Operacional do PESM </t>
  </si>
  <si>
    <t>Contratação de firma para o desenvolvimento do sistema de monitoramento ambiental e micro zoneamento das áreas criticas.</t>
  </si>
  <si>
    <t>Contratação de firma para serviços de monitores ambientais.</t>
  </si>
  <si>
    <t>1.21</t>
  </si>
  <si>
    <t>1.22</t>
  </si>
  <si>
    <t>Aquisição de um terreno para Ubatuba - Sector Norte</t>
  </si>
  <si>
    <t>dez-11</t>
  </si>
  <si>
    <t>SBQC-LPI</t>
  </si>
  <si>
    <t>out-11</t>
  </si>
  <si>
    <t>dez-12</t>
  </si>
  <si>
    <t>Técnica e Preço</t>
  </si>
  <si>
    <t>set-11</t>
  </si>
  <si>
    <t>3.40</t>
  </si>
  <si>
    <t>3.41</t>
  </si>
  <si>
    <t>3.42</t>
  </si>
  <si>
    <t>3.43</t>
  </si>
  <si>
    <t>3.44</t>
  </si>
  <si>
    <t>3.46</t>
  </si>
  <si>
    <t>3.47</t>
  </si>
  <si>
    <t>3.48</t>
  </si>
  <si>
    <t>Item Orçamento 1.5.1.Fundação Florestal (FF) 
Ano 1: 2011   e Ano 2:2012</t>
  </si>
  <si>
    <t xml:space="preserve">Item Orçamento 5.2.10.Polícia Ambiental (PMA)   
Ano 2:2012 e Ano 3: 2013    </t>
  </si>
  <si>
    <t>Item Orçamento 3.1.3 Fundação Florestal (FF)   
Ano 1: 2011 e Ano 2: 2012</t>
  </si>
  <si>
    <t>Aquisição de imagens orbitais digitais multiespectrais e demais produtos relacionados da área da Apa Ilha Comprida</t>
  </si>
  <si>
    <t>Concluído</t>
  </si>
  <si>
    <t>Contratação de serviços para elaboração de Estudos Técnicos e Projetos Executivos para a implantação de um Sistema de Trilhas e Atrativos para o PESM.</t>
  </si>
  <si>
    <t>Contrato para projeto de obras das Unidades de Proteção Integral - Píer Ilha Anchieta.</t>
  </si>
  <si>
    <t>Aquisição de Equipamentos  de Cine-Foto-Som  - Ano 1</t>
  </si>
  <si>
    <t>2.23</t>
  </si>
  <si>
    <t>4.50</t>
  </si>
  <si>
    <t>4.34</t>
  </si>
  <si>
    <t>4.39</t>
  </si>
  <si>
    <t>Contratação de firma para elaboração de projetos básicos e executivos da Sede do 1º Batalhão</t>
  </si>
  <si>
    <t>Contratação de firma para elaboração de projetos básicos e executivos do Centro de Treinamento do CPAMB</t>
  </si>
  <si>
    <t>Aquisição de Cine-foto e som - Ano 2</t>
  </si>
  <si>
    <t>Aquisição de Eletrodomésticos  - Ano 2</t>
  </si>
  <si>
    <t>Aquisição de Equipamentos de Informática   - Ano 2</t>
  </si>
  <si>
    <t>Aquisição de Mobiliário   - Ano 2</t>
  </si>
  <si>
    <t>Aquisição de Equipamentos de Precisão e Controle  - Ano 2</t>
  </si>
  <si>
    <t>Aquisição de Implementos agrícolas  - Ano 2</t>
  </si>
  <si>
    <t>Aquisição de Maquinas e Motores  - Ano 2</t>
  </si>
  <si>
    <t xml:space="preserve">Item Orçamento Detalhado - Componente 01 - Prod. 01-  1.2.12 - ,Prod. . 02 - 2.5.6.a ,  Prod. 03 - 3.1.9.  Fundação Florestal (FF)       Ano 2: 2012 </t>
  </si>
  <si>
    <t>Contratação de firma para recuperação de 45 hectares em Cubatão.</t>
  </si>
  <si>
    <t>1.23</t>
  </si>
  <si>
    <t>1.24</t>
  </si>
  <si>
    <t>1.25</t>
  </si>
  <si>
    <t>1.26</t>
  </si>
  <si>
    <t>1.27</t>
  </si>
  <si>
    <t>1.28</t>
  </si>
  <si>
    <t>1.30</t>
  </si>
  <si>
    <t>1.31</t>
  </si>
  <si>
    <t>1.32</t>
  </si>
  <si>
    <t>4.52</t>
  </si>
  <si>
    <t>4.53</t>
  </si>
  <si>
    <t>Aquisição de equipamento de Proteção Individual para incursão em bosques e para policiamento marítimo - Botas</t>
  </si>
  <si>
    <t>Aquisição de equipamento de Proteção Individual para incursão em bosques e para policiamento marítimo - Cinturões de Nylon</t>
  </si>
  <si>
    <t>Contratação de serviços para organização de capacitações para Gestores</t>
  </si>
  <si>
    <t xml:space="preserve">Contratação de firma para a elaboração da sinalização parcial do limites e atrativos dos Parques Ilha Bela e Xixova - Japui </t>
  </si>
  <si>
    <t>Contratação de firma para o desenvolvimento e implantação do Programa de Capacitação - Plano de Ordenamento da Cadeia Produtiva da Pesca Amadora</t>
  </si>
  <si>
    <t>Aquisição de Veículos  - Ano 2</t>
  </si>
  <si>
    <t>Contratação de firma para elaboração de projetos básicos e executivos de obras e reformas no 3ºBPM, 1ªCia, 1º Pelotão e 4º Pelotão - Guarujá</t>
  </si>
  <si>
    <t>Aquisição de equipamento de Proteção Individual para incursão em bosques e para policiamento marítimo - Uniformes diversos</t>
  </si>
  <si>
    <t>Aquisição de equipamento de Proteção Individual para incursão em bosques e para policiamento marítimo - Camisetas</t>
  </si>
  <si>
    <t xml:space="preserve">Aquisição de materiais de escritório </t>
  </si>
  <si>
    <t>Aquisição de  insumos de informática</t>
  </si>
  <si>
    <t xml:space="preserve">Item Orçamento Administração - 4.2.1.
Ano 1: 2011/ Ano 2:2012 e Ano 3: 2013    </t>
  </si>
  <si>
    <t>2.30</t>
  </si>
  <si>
    <t>Contrato de obras para a construção de Píer - PE Itingucu</t>
  </si>
  <si>
    <t>Item Orçamento 3.1.4.Fundação Florestal (FF)   
Ano3: 2013</t>
  </si>
  <si>
    <t>Contratação de firma para a elaboração de 5 projetos executivos de reformas e obras da EE Jureia - Itatins</t>
  </si>
  <si>
    <t>Item Orçamento 5.2.10.Polícia Ambiental (PMA)  
Ano 1: 2011/ Ano 2:2012</t>
  </si>
  <si>
    <t>Contratação de firma para provisão de combustível por cartão magnético - embarcações e veiculos</t>
  </si>
  <si>
    <t xml:space="preserve">Item Orçamento 5.2.11.Polícia Ambiental (PMA)  
Ano 2:2012 e Ano 3: 2013    </t>
  </si>
  <si>
    <t>2.32</t>
  </si>
  <si>
    <t>2.33</t>
  </si>
  <si>
    <t>2.34</t>
  </si>
  <si>
    <t>2.31</t>
  </si>
  <si>
    <t xml:space="preserve">Custeio operacional das APAS Marinhas Protegidas </t>
  </si>
  <si>
    <t>Item Orçamento 1.3.4.Fundação Florestal (FF) 
 Ano 2: 2012 e  Ano3: 2013</t>
  </si>
  <si>
    <t>Contrato de Obra para construcao de Base de Protecao - Núcleo Santa Virgínia- FF 1953/10</t>
  </si>
  <si>
    <t>Contrato de Obra para construcao de Base de Protecao - Núcleo Cunha - 1868/10</t>
  </si>
  <si>
    <t>Contrato de serviços de obras para o Núcleo Curucutu 1637/09</t>
  </si>
  <si>
    <t>Contrato de Obras no PE Ilha Anchieta revitalização do Parque Estadual da Ilha Anchieta, compreendendo: Construção de Sanitários e Estrutura de Reservatório e Construção de Quiosques / Decks / Tentos / Mesas e Churrasqueiras  - FF 1426/09</t>
  </si>
  <si>
    <t xml:space="preserve">Contratação de firma para caracterização e diagnostico das ocupações irregulares na área do PESM e áreas de pressão e elaboração dos projetos executivos  do Setor Norte (Lote 1) e Setor Sul (Lote 2) - 
Concorrência 035/10 (SDP Nº 002/10) </t>
  </si>
  <si>
    <t>Contratação de firma para a implantação do Sistema de Monitoramento da Estratégia Social do Programa</t>
  </si>
  <si>
    <t>Desapropriação/Indenização (interesse social)</t>
  </si>
  <si>
    <t>1.16</t>
  </si>
  <si>
    <t>Esclarecimentos / Alterações</t>
  </si>
  <si>
    <t>Concorrência (Lei 8.666)</t>
  </si>
  <si>
    <t>2.38</t>
  </si>
  <si>
    <t>2.39</t>
  </si>
  <si>
    <t>2.40</t>
  </si>
  <si>
    <t>2.41</t>
  </si>
  <si>
    <t>2.42</t>
  </si>
  <si>
    <t>3.52</t>
  </si>
  <si>
    <t>3.53</t>
  </si>
  <si>
    <t xml:space="preserve">Nº </t>
  </si>
  <si>
    <t>Aquisição de Equipamentos Náuticos</t>
  </si>
  <si>
    <t>Aquisição de Persianas</t>
  </si>
  <si>
    <t>Aqusição de Sistemas de Segurança/Alarmes</t>
  </si>
  <si>
    <t>Aquisição de Equipamentos de Telefonia</t>
  </si>
  <si>
    <t xml:space="preserve">Aquisição de Microscopios Digitais </t>
  </si>
  <si>
    <t>Item Orçamento 2.1.1.Fundação Florestal (FF)   
Ano 3: 2013</t>
  </si>
  <si>
    <t>Contratação de serviços para o Laudo Antropológico</t>
  </si>
  <si>
    <t>Contratação de serviços para avaliar os imóveis.</t>
  </si>
  <si>
    <t>3.55</t>
  </si>
  <si>
    <t>BEC - Bolsa Eletronica de Compras</t>
  </si>
  <si>
    <t>Item Orçamento 1.2.11.Fundação Florestal (FF)   
Ano 1: 2011    - Ano 2: 2012</t>
  </si>
  <si>
    <t>Item Orçamento 1.2.21.Fundação Florestal (FF) 
Ano 1: 2011 - Ano 2: 2012</t>
  </si>
  <si>
    <t>Item Orçamento 3.1.4.
Ano 2: 2012   - Ano 3: 2013</t>
  </si>
  <si>
    <t>4.57</t>
  </si>
  <si>
    <t>Contratação de serviço para realização da Avaliação Intermediaria do Programa.</t>
  </si>
  <si>
    <t xml:space="preserve">Item Orçamento Detalhado 5.2.9 Componente 3  - Produto 5   Polícia Ambiental (PMA) Ano2:2012                            </t>
  </si>
  <si>
    <t xml:space="preserve">Item Orçamento Detalhado 5.2.9 Componente 3  - Produto 5   Polícia Ambiental (PMA) 
Ano2:2012                            </t>
  </si>
  <si>
    <t xml:space="preserve">Item Orçamento Detalhado - Componente 01 - Prod. 01-  1.2.12 - ,Prod. . 02 - 2.5.6.a ,  Prod. 03 - 3.1.9.  Fundação Florestal (FF)       
Ano 0 2010 até Ano 2: 2012 </t>
  </si>
  <si>
    <t xml:space="preserve">Item Orçamento Detalhado - Componente 01 - Prod. 01-  1.2.12 - ,Prod. . 02 - 2.5.6.a ,  Prod. 03 - 3.1.9./3.2.3.  Fundação Florestal (FF), Prod.05 - 5.2.6. Policia Ambiental (PMA)       
Ano 2: 2012 </t>
  </si>
  <si>
    <t xml:space="preserve">Item Orçamento Detalhado - Componente 01 - Prod. 01-  1.2.12 - ,Prod. . 02 - 2.5.6.a ,  Prod. 03 - 3.1.9.  Fundação Florestal (FF)  Prod.05 - 5.2.4. Policia Ambiental (PMA)     
Ano 2: 2012 </t>
  </si>
  <si>
    <t xml:space="preserve">Item Orçamento Detalhado - Componente 01 - Prod. 01-  1.2.12  ,  Prod. 03 - 3.1.9.  Fundação Florestal (FF)       
Ano 2: 2012 </t>
  </si>
  <si>
    <t xml:space="preserve">Item Orçamento Detalhado - Componente 01 - Prod. 01-  1.2.12 e  Prod. 03 - 3.1.9.  Fundação Florestal (FF)       
Ano 2: 2012 </t>
  </si>
  <si>
    <t xml:space="preserve">Item Orçamento Detalhado - Componente 01 - Prod. 03 - 3.2.1.  Fundação Florestal (FF)       
Ano 2: 2012 </t>
  </si>
  <si>
    <t>Item Orçamento Detalhado - Componente 03 -5.2.4
Ano 2: 2012</t>
  </si>
  <si>
    <t xml:space="preserve">Item Orçamento 1.2.4.Fundação Florestal (FF)   
Ano 1: 2011  - Ano 2: 2012      </t>
  </si>
  <si>
    <t xml:space="preserve">Item Orçamento 1.2.4.Fundação Florestal (FF)   
Ano 2: 2012      </t>
  </si>
  <si>
    <t>Item Orçamento 2.4.2.Fundação Florestal (FF)   
Ano 3: 2013</t>
  </si>
  <si>
    <t>Item Orçamento 2.4.3.Fundação Florestal (FF)   
Ano3: 2013</t>
  </si>
  <si>
    <t>Item Orçamento 1.2.5.Fundação Florestal (FF)   
Ano 1: 2011 - Ano 2: 2012</t>
  </si>
  <si>
    <t>Item Orçamento 1.2.18.Fundação Florestal (FF)  
Ano 3: 2013</t>
  </si>
  <si>
    <t xml:space="preserve">Item Orçamento 3.1.5.Fundação Florestal (FF)   
Ano 3: 2013    </t>
  </si>
  <si>
    <t>Item Orçamento 3.1.1.Fundação Florestal (FF)
Ano 2:2012</t>
  </si>
  <si>
    <t>Item Orçamento 5.1.1.Polícia Ambiental (PMA) 
Ano 2: 2012 até Ano 3: 2013</t>
  </si>
  <si>
    <t>Item Orçamento 5.1.2.Polícia Ambiental (PMA) 
Ano 2: 2012 até Ano 4: 2014</t>
  </si>
  <si>
    <t>Item Orçamento 5.2.17.Polícia Ambiental (PMA) 
Ano 2: 2012 - Ano 3: 2013</t>
  </si>
  <si>
    <t>2.44</t>
  </si>
  <si>
    <t>Item Orçamento 1.2.2.Fundação Florestal (FF)   
 2010 até Ano2 : 2012</t>
  </si>
  <si>
    <t>Item Orçamento 1.2.3.Fundação Florestal (FF)   
 2012 até Ano 2: 2012</t>
  </si>
  <si>
    <t>Item Orçamento 2.4.10.Fundação Florestal (FF)   
 2010</t>
  </si>
  <si>
    <t>Item Orçamento 3.1.4.Fundação Florestal (FF)   
 2010 até Ano 2: 2012</t>
  </si>
  <si>
    <t>Local (%)</t>
  </si>
  <si>
    <t>Publicação Anúncio</t>
  </si>
  <si>
    <r>
      <rPr>
        <b/>
        <sz val="11"/>
        <rFont val="Arial"/>
        <family val="2"/>
      </rPr>
      <t>Métodos de Aquisição</t>
    </r>
    <r>
      <rPr>
        <sz val="11"/>
        <rFont val="Arial"/>
        <family val="2"/>
      </rPr>
      <t>: (</t>
    </r>
    <r>
      <rPr>
        <b/>
        <sz val="11"/>
        <rFont val="Arial"/>
        <family val="2"/>
      </rPr>
      <t>a) BID: LPI:</t>
    </r>
    <r>
      <rPr>
        <sz val="11"/>
        <rFont val="Arial"/>
        <family val="2"/>
      </rPr>
      <t xml:space="preserve"> Licitação Pública Internacional; </t>
    </r>
    <r>
      <rPr>
        <b/>
        <sz val="11"/>
        <rFont val="Arial"/>
        <family val="2"/>
      </rPr>
      <t>LPN:</t>
    </r>
    <r>
      <rPr>
        <sz val="11"/>
        <rFont val="Arial"/>
        <family val="2"/>
      </rPr>
      <t xml:space="preserve"> Licitação Pública Nacional; </t>
    </r>
    <r>
      <rPr>
        <b/>
        <sz val="11"/>
        <rFont val="Arial"/>
        <family val="2"/>
      </rPr>
      <t>CP:</t>
    </r>
    <r>
      <rPr>
        <sz val="11"/>
        <rFont val="Arial"/>
        <family val="2"/>
      </rPr>
      <t xml:space="preserve"> Comparação de Preços;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SBQC:</t>
    </r>
    <r>
      <rPr>
        <sz val="11"/>
        <rFont val="Arial"/>
        <family val="2"/>
      </rPr>
      <t xml:space="preserve"> Seleção Baseada na Qualidade e Custo; </t>
    </r>
    <r>
      <rPr>
        <b/>
        <sz val="11"/>
        <rFont val="Arial"/>
        <family val="2"/>
      </rPr>
      <t xml:space="preserve">SQC: </t>
    </r>
    <r>
      <rPr>
        <sz val="11"/>
        <rFont val="Arial"/>
        <family val="2"/>
      </rPr>
      <t xml:space="preserve">Seleção Baseada nas Qualificações dos Consultores; </t>
    </r>
    <r>
      <rPr>
        <b/>
        <sz val="11"/>
        <rFont val="Arial"/>
        <family val="2"/>
      </rPr>
      <t xml:space="preserve">SBMC: </t>
    </r>
    <r>
      <rPr>
        <sz val="11"/>
        <rFont val="Arial"/>
        <family val="2"/>
      </rPr>
      <t xml:space="preserve">Seleção Baseada no Menor Custo; </t>
    </r>
    <r>
      <rPr>
        <b/>
        <sz val="11"/>
        <rFont val="Arial"/>
        <family val="2"/>
      </rPr>
      <t xml:space="preserve">SBOF: </t>
    </r>
    <r>
      <rPr>
        <sz val="11"/>
        <rFont val="Arial"/>
        <family val="2"/>
      </rPr>
      <t>Seleção Baseada em Orçamento Fixo;</t>
    </r>
    <r>
      <rPr>
        <b/>
        <sz val="11"/>
        <rFont val="Arial"/>
        <family val="2"/>
      </rPr>
      <t xml:space="preserve"> SBQ</t>
    </r>
    <r>
      <rPr>
        <sz val="11"/>
        <rFont val="Arial"/>
        <family val="2"/>
      </rPr>
      <t xml:space="preserve">: Seleção Baseada na Qualidade;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CI:</t>
    </r>
    <r>
      <rPr>
        <sz val="11"/>
        <rFont val="Arial"/>
        <family val="2"/>
      </rPr>
      <t xml:space="preserve"> Consultor Individual. (</t>
    </r>
    <r>
      <rPr>
        <b/>
        <sz val="11"/>
        <rFont val="Arial"/>
        <family val="2"/>
      </rPr>
      <t xml:space="preserve">b) Lei 8.666: CC: </t>
    </r>
    <r>
      <rPr>
        <sz val="11"/>
        <rFont val="Arial"/>
        <family val="2"/>
      </rPr>
      <t>Carta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Convite; </t>
    </r>
    <r>
      <rPr>
        <b/>
        <sz val="11"/>
        <rFont val="Arial"/>
        <family val="2"/>
      </rPr>
      <t>TP:</t>
    </r>
    <r>
      <rPr>
        <sz val="11"/>
        <rFont val="Arial"/>
        <family val="2"/>
      </rPr>
      <t xml:space="preserve"> Tomada de Preço; </t>
    </r>
    <r>
      <rPr>
        <b/>
        <sz val="11"/>
        <rFont val="Arial"/>
        <family val="2"/>
      </rPr>
      <t>CPN:</t>
    </r>
    <r>
      <rPr>
        <sz val="11"/>
        <rFont val="Arial"/>
        <family val="2"/>
      </rPr>
      <t xml:space="preserve"> Concorrência Pública Nacional; </t>
    </r>
    <r>
      <rPr>
        <b/>
        <sz val="11"/>
        <rFont val="Arial"/>
        <family val="2"/>
      </rPr>
      <t>PE:</t>
    </r>
    <r>
      <rPr>
        <sz val="11"/>
        <rFont val="Arial"/>
        <family val="2"/>
      </rPr>
      <t xml:space="preserve"> Pregão Eletrônico; </t>
    </r>
    <r>
      <rPr>
        <b/>
        <sz val="11"/>
        <rFont val="Arial"/>
        <family val="2"/>
      </rPr>
      <t>ARP:</t>
    </r>
    <r>
      <rPr>
        <sz val="11"/>
        <rFont val="Arial"/>
        <family val="2"/>
      </rPr>
      <t xml:space="preserve"> Ata de Registro de Preços,</t>
    </r>
    <r>
      <rPr>
        <b/>
        <sz val="11"/>
        <rFont val="Arial"/>
        <family val="2"/>
      </rPr>
      <t xml:space="preserve"> PP</t>
    </r>
    <r>
      <rPr>
        <sz val="11"/>
        <rFont val="Arial"/>
        <family val="2"/>
      </rPr>
      <t xml:space="preserve">: Pregão Presencial, </t>
    </r>
    <r>
      <rPr>
        <b/>
        <sz val="11"/>
        <rFont val="Arial"/>
        <family val="2"/>
      </rPr>
      <t>CD</t>
    </r>
    <r>
      <rPr>
        <sz val="11"/>
        <rFont val="Arial"/>
        <family val="2"/>
      </rPr>
      <t>: Contratação Direta</t>
    </r>
  </si>
  <si>
    <t>Término 
Contrato</t>
  </si>
  <si>
    <t xml:space="preserve">Item Orçamento Detalhado - Componente 01- 1.2.12, 2.4.12 e 3.1.9 Fundação Florestal (FF)       
Ano 3: 2013 </t>
  </si>
  <si>
    <t>Item Orçamento Detalhado - Componente 01- 1.2.12, 2.4.12 e 3.1.9 Fundação Florestal (FF)       
Ano 3: 2013</t>
  </si>
  <si>
    <t>Contrato de Reforma de 2 Bases de Apoio: Grajaúna e Rio Verde</t>
  </si>
  <si>
    <t>Encerrado</t>
  </si>
  <si>
    <t>Aquisição de Tratores  - Ano 3</t>
  </si>
  <si>
    <t>Item Orçamento: Administração do Programa 4.3. - CDHU</t>
  </si>
  <si>
    <t>Item Orçamento 5.2.13.Polícia Ambiental (PMA)  
Ano 4: 2014</t>
  </si>
  <si>
    <t>Item Orçamento 5.2.12 Fundação Florestal (FF)   
Ano 4: 2014</t>
  </si>
  <si>
    <t>Item Orçamento 5.2.18.Fundação Florestal (FF)   
Ano 3: 2013/  Ano 4: 2014</t>
  </si>
  <si>
    <t xml:space="preserve">Item Orçamento Detalhado 5.2.14    Componente 3  - Produto 5   Polícia Ambiental (PMA)   Ano 3: 2013                            </t>
  </si>
  <si>
    <t xml:space="preserve">Item Orçamento Detalhado 5.2.14    Componente 3  - Produto 5   Polícia Ambiental (PMA)   Ano 3: 2013                          </t>
  </si>
  <si>
    <t xml:space="preserve">Item Orçamento Detalhado 5.2.14    Componente 3  - Produto 5   Polícia Ambiental (PMA)   Ano 3: 2013                           </t>
  </si>
  <si>
    <t xml:space="preserve">Item Orçamento Detalhado - Componente 01 - Prod. 01-  1.2.12 -1.2.21 ,Prod. . 02 - 2.5.6.a ,  Prod. 03 - 3.1.9/3,.,2.8..  Fundação Florestal (FF), Prod.05 - 5.2.5. Policia Ambiental (PMA)       Ano 3: 2013 </t>
  </si>
  <si>
    <t xml:space="preserve">Item Orçamento Detalhado - Componente 01 - Prod. 01-  1.2.12 - ,Prod. . 02 - 2.5.6.a ,  Prod. 03 - 3.1.9.  Fundação Florestal (FF)       
Ano 3: 2013 </t>
  </si>
  <si>
    <t xml:space="preserve">Item Orçamento Detalhado - Componente 01 - Prod. 01-  1.2.12 - ,Prod. . 02 - 2.5.6.a ,  Prod. 03 - 3.1.9./3.2.3.  Fundação Florestal (FF), Prod.05 - 5.2.6. Policia Ambiental (PMA)       
Ano 3: 2013 </t>
  </si>
  <si>
    <t xml:space="preserve">Item Orçamento Detalhado - Componente 01 - Prod. 01-  1.2.12 - ,Prod. . 02 - 2.5.6.a ,  Prod. 03 - 3.1.9.  Fundação Florestal (FF)  Prod.05 - 5.2.4. Policia Ambiental (PMA)     
Ano 3: 2013 </t>
  </si>
  <si>
    <t xml:space="preserve">Item Orçamento Detalhado - Componente 01 - Prod. 01-  1.2.12 e  Prod. 03 - 3.1.9.  Fundação Florestal (FF)       
Ano 3: 2013 </t>
  </si>
  <si>
    <t xml:space="preserve">Item Orçamento Detalhado - Componente 01 -1.12;2.4.12;3.19 Ano 3: 2013 </t>
  </si>
  <si>
    <t xml:space="preserve">Item Orçamento Detalhado - Componente 01 -2.4.12 Ano 3: 2013 </t>
  </si>
  <si>
    <t xml:space="preserve">Item Orçamento Detalhado - Componente 01 -1.12;2.4.12;3.19- Ano 3: 2013 </t>
  </si>
  <si>
    <t>Item Orçamento 2.4.7.Fundação Florestal (FF) 
Ano 3: 2013    e Ano 4:2014</t>
  </si>
  <si>
    <t>Item Orçamento 3.3.1.Fundação Florestal (FF) 
Ano 3: 2013    e Ano 4:2014</t>
  </si>
  <si>
    <t>Item do Orçamento 4.2.1.2. CDHU</t>
  </si>
  <si>
    <t>2.45</t>
  </si>
  <si>
    <t>2.46</t>
  </si>
  <si>
    <t>1.45</t>
  </si>
  <si>
    <t xml:space="preserve"> 1.46</t>
  </si>
  <si>
    <t>1.47</t>
  </si>
  <si>
    <t>1.48</t>
  </si>
  <si>
    <t xml:space="preserve"> 1.49</t>
  </si>
  <si>
    <t>1.50</t>
  </si>
  <si>
    <t>1.52</t>
  </si>
  <si>
    <t>1.53</t>
  </si>
  <si>
    <t>2.48</t>
  </si>
  <si>
    <t>3.58</t>
  </si>
  <si>
    <t>3.59</t>
  </si>
  <si>
    <t>3.56</t>
  </si>
  <si>
    <t>3.57</t>
  </si>
  <si>
    <t>4.64</t>
  </si>
  <si>
    <t xml:space="preserve"> 4.69</t>
  </si>
  <si>
    <t>Item Orçamento Detalhado 3.2.7 Fundação Florestal (FF)     Ano 2: 2012 - Ano 3: 2013</t>
  </si>
  <si>
    <t>2.49</t>
  </si>
  <si>
    <t>Contrato de obras do Condomínio Penedo e Primavera</t>
  </si>
  <si>
    <t>Contrato de obras para 448 uhs nos municípios de Itanhaém, Peruíbe, Praia Grande e São Vicente</t>
  </si>
  <si>
    <t>Contratação de firma para a elaboração do Plano de Manejo: (i) APA Marinha Litoral norte em ARIE São Sebastião, (ii) APA Marinha Litoral Centro, (iii) APA Marinha Litoral Sul</t>
  </si>
  <si>
    <t>Item Orçamento 1.2.13.1.,2.4.14 e 3.1.6. - Fundação Florestal (FF)   
 2010 até Ano 4: 2014</t>
  </si>
  <si>
    <t>Item Orçamento 1.2.13.2.,2.4.14 e 3.1.7.,3.1.3 - Fundação Florestal (FF)   
 2010 até Ano 1: 2011</t>
  </si>
  <si>
    <t>Contratação de firma para serviço de monitores ambientais FF 0042/14</t>
  </si>
  <si>
    <t>3.60</t>
  </si>
  <si>
    <t>Contratação de serviços para levantamento planialtimetrico- Jardim Botânico.</t>
  </si>
  <si>
    <t>Item Orçamento 1.4.2. Instituto de Botânica 
 Ano 4:20114</t>
  </si>
  <si>
    <t>Contratação empresa gerenciadora da obra da Sede do 1º Batalhão</t>
  </si>
  <si>
    <t>Contratação de firma para levantamento e tratamento de dados ambientais destinado ao Sistema de Monitoramento do IGAS do Programa - Ambiental</t>
  </si>
  <si>
    <t>Contratação de firma para serviços de vigilância FF 1727/13</t>
  </si>
  <si>
    <t xml:space="preserve">Item Orçamento 1.2.13.1., 2.4.14, 3.1.6..Fundação Florestal (FF)   
Ano 4:2014 e Ano 5: 2015 </t>
  </si>
  <si>
    <t xml:space="preserve">Item Orçamento 1.2.13.1.,3.1.6..Fundação Florestal (FF)   
Ano 4:2014  </t>
  </si>
  <si>
    <t>Contratação de serviços para despacho aduaneiro da aeronave</t>
  </si>
  <si>
    <t xml:space="preserve">Item Orçamento 2.2.1.Fundação Florestal (FF)   
</t>
  </si>
  <si>
    <t>Contratação de firma para serviços de vigilância - FF0122/10,0476/07,0794/13,1068/12,1288/11,1312/11,1940/08</t>
  </si>
  <si>
    <t>Contratação de firma para serviços de vigilância - FF 927/14</t>
  </si>
  <si>
    <t>Item orçamentário: 3.1.3 - P.E. Ilhabela</t>
  </si>
  <si>
    <t>Construção de Sistema de Tratamento de Esgoto Doméstico - P.E. Ilhabela</t>
  </si>
  <si>
    <t>Permuta/Aquisição (interesse social)</t>
  </si>
  <si>
    <t>Permuta de imóveis com a Fazenda do Estado</t>
  </si>
  <si>
    <t>1.54</t>
  </si>
  <si>
    <t>Nº do Componente Associado</t>
  </si>
  <si>
    <t>SUBTOTAL DE SERVIÇOS DIFERENTES A CONSULTORIA</t>
  </si>
  <si>
    <t>% POR FONTE</t>
  </si>
  <si>
    <t>01 - 03</t>
  </si>
  <si>
    <t>01</t>
  </si>
  <si>
    <t>03</t>
  </si>
  <si>
    <t>02</t>
  </si>
  <si>
    <t>ADMINISTRAÇÃO</t>
  </si>
  <si>
    <t>ACOMPANHAMENTO,  AVALIACAO E AUDITORIA</t>
  </si>
  <si>
    <t xml:space="preserve">Item Orçamento 4.3.1.CDHU </t>
  </si>
  <si>
    <t>Item Orçamento 4.1.1.CDHU
Obra concluída e entregue aos beneficiários</t>
  </si>
  <si>
    <t>Item Orçamento 4.1.2.CDHU
Obra concluída e entregue aos beneficiários</t>
  </si>
  <si>
    <t>Item Orçamento 4.1.3.CDHU  
Obra concluída e entregue aos beneficiários</t>
  </si>
  <si>
    <t xml:space="preserve">Item Orçamento 4.3.2.CDHU </t>
  </si>
  <si>
    <t>Item Orçamento Detalhado 4.4.1 _SH/CDHU</t>
  </si>
  <si>
    <t xml:space="preserve">Item Orçamento Detalhado 4.4.1 _ SH/CDHU </t>
  </si>
  <si>
    <t>Item Orçamento Detalhado 4.4.1 _ SH/CDHU</t>
  </si>
  <si>
    <t xml:space="preserve">Item Orçamento Detalhado 4.1.10 _ SH/CDHU </t>
  </si>
  <si>
    <t>Item Orçamento 4.1.7., 4.1.8.,4.1.9.SH-CDHU</t>
  </si>
  <si>
    <t>Item Orçamento 4.4.2.SH-CDHU</t>
  </si>
  <si>
    <t>Item Orçamento Aud, Monitoramento e Avaliação- Contratação pela CDHU.</t>
  </si>
  <si>
    <t>2.52</t>
  </si>
  <si>
    <t>2.54</t>
  </si>
  <si>
    <t>2.55</t>
  </si>
  <si>
    <t>2.56</t>
  </si>
  <si>
    <t xml:space="preserve">Item Orçamento 1.2.15 Fundação Florestal (FF)   
Ano 4: 2014  </t>
  </si>
  <si>
    <t>Item Orçamento 1.2.13.2.,3.1.7. e 2.4.14. Fundação Florestal (FF)    Ano 4: 2014</t>
  </si>
  <si>
    <t>Aquisição de Eletrodomésticos  - Ano 5</t>
  </si>
  <si>
    <t>Item Orçamento Detalhado - Componente 01 - Prod. 01-  1.2.12 - ,Prod. . 02 - 2.5.6.a ,  Prod. 03 - 3.1.9.  Fundação Florestal (FF)       Ano 4: 2014</t>
  </si>
  <si>
    <t>Item Orçamento 1.2.7.Fundação Florestal (FF)   
Ano5: 2015 e Ano 6: 2016</t>
  </si>
  <si>
    <t>Item Orçamento 3.1.1.Fundação Florestal (FF)
Ano 5:2015 e Ano6:2016</t>
  </si>
  <si>
    <t>Contratação empresa gerenciadora para a obra acessos Estrada Despraiado  MUC Juréia-Itatins</t>
  </si>
  <si>
    <t>Aquisição de Mobiliário   - Ano 4</t>
  </si>
  <si>
    <t xml:space="preserve">Item Orçamento Detalhado - Componente 01 - Prod. 01-  1.2.12.,Prod. . 02 - 2.4.12., 2.5.6A,  Prod. 03 - 3.1.9./3.2.1.   Fundação Florestal (FF)       Ano 5: 2015              </t>
  </si>
  <si>
    <t>1.56</t>
  </si>
  <si>
    <t xml:space="preserve"> 4.71</t>
  </si>
  <si>
    <t xml:space="preserve">Item Orçamento Detalhado 5.2.2   Componente 3  - Produto 5  Polícia Ambiental (PMA)    Ano 3: 2013, Ano 4: 2014 e Ano 5: 2015                </t>
  </si>
  <si>
    <t>2.57</t>
  </si>
  <si>
    <t>Reforma de quiosques e sanitários da área lazer da Sede do Núcleo Caraguatatuba</t>
  </si>
  <si>
    <t>3.63</t>
  </si>
  <si>
    <t>2.58</t>
  </si>
  <si>
    <t>3.64</t>
  </si>
  <si>
    <t>Item Orçamento  5.2.11 e  5.2.13  Fundação Florestal (FF)   
Ano 5: 2015 e Ano 6: 2016</t>
  </si>
  <si>
    <t>3.65</t>
  </si>
  <si>
    <t>Item Orçamento  1.2.14, 2.4.13,  2.5.10-A, 3.1.12 e 3.1.3 Fundação Florestal (FF)   Ano 5: 2015 e Ano 6: 2016</t>
  </si>
  <si>
    <t>4.74</t>
  </si>
  <si>
    <t>Contratação de firma nacional para apoio operativo - UEP/SMA-FF</t>
  </si>
  <si>
    <t>Sistema Nacional (Pregão Eletrônico)</t>
  </si>
  <si>
    <t>3.61</t>
  </si>
  <si>
    <t>4.76</t>
  </si>
  <si>
    <t>Contrato de obras para conclusão das obras do Centro de Educação Ambiental e das reformas do Alojamento e Base de Apoio do Núcleo Arpoador do P.E. Itinguçu - Mosaico Juréia- Itatins</t>
  </si>
  <si>
    <t>Contrato de obras de Centro de Educação Ambiental - N. Arpoador</t>
  </si>
  <si>
    <t>2.59</t>
  </si>
  <si>
    <t>Contratação de empresa para elaboração de projeto executivo de obras nas RDS do Despraiado e Barra do UNA, sede do P.E. Prelado e para reforma da Sede da Estação Ecológica Juréia-Itatins</t>
  </si>
  <si>
    <t>1.59</t>
  </si>
  <si>
    <t>Item Orçamento 2.4.2.Fundação Florestal (FF)   
Ano5 : 2015 e Ano 6:2016</t>
  </si>
  <si>
    <t>Adequação da rede  de energia elétrica para atender as edificações do PESM/Núcleo Itutinga-Pilões - Base Guariúma (antigo Jd. Melvi)</t>
  </si>
  <si>
    <t>Item Orçamento 3.1.4.Fundação Florestal (FF)   
Ano 5: 2015 e Ano 6: 2016</t>
  </si>
  <si>
    <t>3.68</t>
  </si>
  <si>
    <t xml:space="preserve">Item Orçamento 5.2.10.Polícia Ambiental (PMA)   
Ano5:2015 e Ano 6: 2016    </t>
  </si>
  <si>
    <t>1.62</t>
  </si>
  <si>
    <t>Aquisição de equipamentos para sistema de energia solar</t>
  </si>
  <si>
    <t xml:space="preserve">Item Orçamento Detalhado - Componente 01 - Prod. 02 -  2.4.12    Fundação Florestal (FF)       
Ano 5: 2015 </t>
  </si>
  <si>
    <t>1.63</t>
  </si>
  <si>
    <t xml:space="preserve">Item Orçamento Detalhado - Componente 01 - Prod. 01 , 2 e 3 - 1.2.12;  2.4.12  e 3.1.9   Fundação Florestal (FF)       
Ano 5: 2015 </t>
  </si>
  <si>
    <t>Aquisição de um terreno São Sebastião - Sector Norte</t>
  </si>
  <si>
    <t>Aquisição de um terreno para Pedro de Toledo - Sector Sul</t>
  </si>
  <si>
    <t>Aquisição de equipamentos diversos</t>
  </si>
  <si>
    <t>4.82</t>
  </si>
  <si>
    <t>Item Orçamento 3.1.1 Fundação Florestal (FF) 
  Ano6: 2016</t>
  </si>
  <si>
    <t>Em Execução</t>
  </si>
  <si>
    <t>1.65</t>
  </si>
  <si>
    <t xml:space="preserve">Aquisição de ferramentas e máquinas e motores </t>
  </si>
  <si>
    <t>Aquisição de terreno - Cubatão K</t>
  </si>
  <si>
    <t>Aquisição de terreno - Cubatão B</t>
  </si>
  <si>
    <t xml:space="preserve">Área de propriedade da CPOS  adquirida pela CDHU. </t>
  </si>
  <si>
    <t>Aquisição de terreno - São Vicente H</t>
  </si>
  <si>
    <t>Contrato de obras de edificação no Município de São Vicente - São Vicente H</t>
  </si>
  <si>
    <t>Contrato de obras para o reasentamento de 1.400 familias de outros Municipios (Ubatuba G - 376 UHs)</t>
  </si>
  <si>
    <t>Contrato de obras para o reasentamento de 1.400 familias de outros Municipios (São Sebastião F - 166 UHs)</t>
  </si>
  <si>
    <t>Contrato de obras para o reasentamento de 1.400 familias de outros Municipios (Pedro de Toledo C - 116 UHs)</t>
  </si>
  <si>
    <t>2.63</t>
  </si>
  <si>
    <t>Contrato de Obras e serviços de infra-estrutura, geotécnica e desconstrução "Bairro Cota 200 e 95/100 - Complemento de Obras"</t>
  </si>
  <si>
    <t>Item Orçamento 4.1.2.CDHU</t>
  </si>
  <si>
    <t>2.65</t>
  </si>
  <si>
    <t>VALOR CDHU</t>
  </si>
  <si>
    <t>VALOR Fundação Florestal</t>
  </si>
  <si>
    <t>Confecção e instalação de placas de sinalização</t>
  </si>
  <si>
    <t>Item Orçamento    2.5.11A e 3.1.11    Fundação Florestal (FF)   
Ano 5: 2015 e Ano 6: 2016</t>
  </si>
  <si>
    <t>3.69</t>
  </si>
  <si>
    <t>1.66</t>
  </si>
  <si>
    <t>Aquisição de embarcação para o P.E. Ilha Anchieta</t>
  </si>
  <si>
    <t xml:space="preserve">Item Orçamento Detalhado - Componente 01 -  3.1.9   Fundação Florestal (FF)       Ano 5: 2015 </t>
  </si>
  <si>
    <t>3.70</t>
  </si>
  <si>
    <t>Item Orçamento    3.1.3 e 3.1.12    Fundação Florestal (FF)   
Ano 5: 2015 e Ano 6: 2016</t>
  </si>
  <si>
    <t>3.72</t>
  </si>
  <si>
    <t>Item Orçamento    4.2.1    Fundação Florestal (FF)   
Ano 5: 2015 e Ano 6: 2016</t>
  </si>
  <si>
    <t>Reforma de instalações elétricas, de dados e telefonia da UEP/Meio Ambiente</t>
  </si>
  <si>
    <t>Aquisição de trailler - Ano 6</t>
  </si>
  <si>
    <t xml:space="preserve">Item Orçamento Detalhado - Componente 01 - Prod. 01-  1. 2.12  e 3.1.9  Fundação Florestal (FF)       
Ano 6: 2016 </t>
  </si>
  <si>
    <t xml:space="preserve"> Contrato de serviços de obras no Núcleos Itariru - 2055/10</t>
  </si>
  <si>
    <t xml:space="preserve">Item Orçamento 5.2.10.Polícia Ambiental (PMA)   
Ano 2:2012, Ano 3: 2013, Ano 4:2014 e Ano 5: 2015    </t>
  </si>
  <si>
    <t>1.68</t>
  </si>
  <si>
    <t>Aquisição de trailler Ano 6 - DLS</t>
  </si>
  <si>
    <t xml:space="preserve">Item Orçamento Detalhado - Componente 01 - Prod. 01-  2.4.2 e 2.5.4.A Fundação Florestal (FF)       
Ano 6: 2016 </t>
  </si>
  <si>
    <t>Contratação de firma para a conclusão dos Planos de Manejo: (i) APA Marinha Litoral Norte, ARIE São Sebastião, (ii) APA Marinha Litoral Centro, (iii) APA Marinha Litoral Sul</t>
  </si>
  <si>
    <t>Item Orçamento 5.2.12 Fundação Florestal (FF)   
Ano 6: 2016</t>
  </si>
  <si>
    <t>3.73</t>
  </si>
  <si>
    <t xml:space="preserve">Item Orçamento Detalhado - Componente 01 - Prod. 01-  1.1.2.12. 2.4.2, 2.5.4.A e 3.1.9 Fundação Florestal (FF)       
Ano 6: 2016 </t>
  </si>
  <si>
    <t>1.71</t>
  </si>
  <si>
    <t>Aquisição de máquinas e motores - Ano 6</t>
  </si>
  <si>
    <t>1.72</t>
  </si>
  <si>
    <t>Aquisição de equipamentos de informática - Ano 6</t>
  </si>
  <si>
    <t>2.67</t>
  </si>
  <si>
    <t>Contratação da conclusão obras da Sede do 1º Batalhão de Polícia Militar Ambiental</t>
  </si>
  <si>
    <t xml:space="preserve">Aquisição de Ferramentas - Ano 3 </t>
  </si>
  <si>
    <t>Contrato de Obras e serviços de infra-estrutura, fundações dos prédios e paisagismo - Cubatão B - 216 UH</t>
  </si>
  <si>
    <t>3.74</t>
  </si>
  <si>
    <t>1.75</t>
  </si>
  <si>
    <t>Aquisição de ventiladores</t>
  </si>
  <si>
    <t>3.75</t>
  </si>
  <si>
    <t>Contratação de serviços de manutenção de instalações do P.E. Xixová-Japuí</t>
  </si>
  <si>
    <t>3.77</t>
  </si>
  <si>
    <t>Aquisição de equipamentos de informática - Ano 6 - complementar aquisição</t>
  </si>
  <si>
    <t>1.79</t>
  </si>
  <si>
    <t>3.78</t>
  </si>
  <si>
    <t>CP</t>
  </si>
  <si>
    <t>Serviços de Impressão de Livro denominado "As Cores da Urbanidade" nas versões Portugues e Inglês"</t>
  </si>
  <si>
    <t xml:space="preserve">           BRASIL</t>
  </si>
  <si>
    <t xml:space="preserve"> Contrato de serviços de obras para os Núcleo Itutinga - Pilões (Sede do Núcleo e Praia Grande) - FF 1281/09</t>
  </si>
  <si>
    <t>Item Orçamento Detalhado - Componente 01 - Prod. 01-  1.2.12 e  Prod. 03 - 3.1.9.  Fundação Florestal (FF)      
Ano 6: 2016</t>
  </si>
  <si>
    <t>1.80</t>
  </si>
  <si>
    <t>2.68</t>
  </si>
  <si>
    <t>2.69</t>
  </si>
  <si>
    <t>Contrato de Obras e serviços de terraplanagem e geotecnia - Cubatão K - 668 UH</t>
  </si>
  <si>
    <t>Contratação de firma para serviço de trabalho de organização social e de sustentabilidade do Componente 2 - Concorrência Internacional 001/12 (SDP 001/12)</t>
  </si>
  <si>
    <t>Executor</t>
  </si>
  <si>
    <t>RECURSOS BID</t>
  </si>
  <si>
    <t>RECURSOS LOCAL</t>
  </si>
  <si>
    <t>FF</t>
  </si>
  <si>
    <t>CDHU</t>
  </si>
  <si>
    <t>RECURSOS   BID</t>
  </si>
  <si>
    <t>(A) - NESTE PA</t>
  </si>
  <si>
    <t>(B) - CONTRATADO</t>
  </si>
  <si>
    <t>(A - B) - DIFERENÇA</t>
  </si>
  <si>
    <t>BID</t>
  </si>
  <si>
    <t>GESP</t>
  </si>
  <si>
    <t>TOTAL</t>
  </si>
  <si>
    <t>EXCLUIR</t>
  </si>
  <si>
    <t>(2)</t>
  </si>
  <si>
    <r>
      <rPr>
        <b/>
        <sz val="11"/>
        <rFont val="Arial"/>
        <family val="2"/>
      </rPr>
      <t>Revisões BID</t>
    </r>
    <r>
      <rPr>
        <sz val="11"/>
        <rFont val="Arial"/>
        <family val="2"/>
      </rPr>
      <t>: EXA =</t>
    </r>
    <r>
      <rPr>
        <i/>
        <sz val="11"/>
        <rFont val="Arial"/>
        <family val="2"/>
      </rPr>
      <t xml:space="preserve">Ex-ante </t>
    </r>
    <r>
      <rPr>
        <sz val="11"/>
        <rFont val="Arial"/>
        <family val="2"/>
      </rPr>
      <t>e EXP=</t>
    </r>
    <r>
      <rPr>
        <i/>
        <sz val="11"/>
        <rFont val="Arial"/>
        <family val="2"/>
      </rPr>
      <t xml:space="preserve"> Ex-post</t>
    </r>
  </si>
  <si>
    <t>(3)</t>
  </si>
  <si>
    <r>
      <rPr>
        <b/>
        <sz val="11"/>
        <rFont val="Arial"/>
        <family val="2"/>
      </rPr>
      <t>Status</t>
    </r>
    <r>
      <rPr>
        <sz val="11"/>
        <rFont val="Arial"/>
        <family val="2"/>
      </rPr>
      <t>: Pendente (P); Em Processo  (EP); Adjudicado (A); Cancelado (C )</t>
    </r>
  </si>
  <si>
    <t>(4)</t>
  </si>
  <si>
    <t>(5)</t>
  </si>
  <si>
    <t>(6)</t>
  </si>
  <si>
    <t>(7)</t>
  </si>
  <si>
    <r>
      <rPr>
        <b/>
        <sz val="11"/>
        <rFont val="Arial"/>
        <family val="2"/>
      </rPr>
      <t>Folha anexa</t>
    </r>
    <r>
      <rPr>
        <sz val="11"/>
        <rFont val="Arial"/>
        <family val="2"/>
      </rPr>
      <t>: Fazer comentários complementares ou esclarecedores , quando necessário, em folha anexa.</t>
    </r>
  </si>
  <si>
    <t>(8)</t>
  </si>
  <si>
    <r>
      <rPr>
        <b/>
        <sz val="11"/>
        <rFont val="Arial"/>
        <family val="2"/>
      </rPr>
      <t>Histórico:</t>
    </r>
    <r>
      <rPr>
        <sz val="11"/>
        <rFont val="Arial"/>
        <family val="2"/>
      </rPr>
      <t xml:space="preserve"> Manter no PA todas as aquisições adjudicadas e/ou canceladas</t>
    </r>
  </si>
  <si>
    <t xml:space="preserve">220 Unidades Habitacionais será para atender o público do Programa </t>
  </si>
  <si>
    <t xml:space="preserve">Item Orçamento 4.1.5.SH-CDHU </t>
  </si>
  <si>
    <t>Item do Orçamento 4.2.1.1. CDHU</t>
  </si>
  <si>
    <t xml:space="preserve">Item Orçamento Aud, Monitoramento e Avaliação- Contratação pela CDHU. </t>
  </si>
  <si>
    <t>Item do Orçamento 4.2.1.3. CDHU
Obra concluída e em fase de entrega aos beneficiários</t>
  </si>
  <si>
    <t>Item Orçamento Administração - Contratação pela CDHU</t>
  </si>
  <si>
    <t>Item Orçamento - 4.1.11 - CDHU</t>
  </si>
  <si>
    <t>Item Orçamento 4.1.4.CDHU  
Parceria com a Caixa Econômica Federal</t>
  </si>
  <si>
    <t>2.73</t>
  </si>
  <si>
    <t xml:space="preserve">Item Orçamento Detalhado - Componente 01 - Prod. 01-  1.2.12 ,Prod. . 02 - 2.4.12, Prod. 03 - 3.1.9  e 3.2.3 - Componente 03 - Prod. 5 - 5.2.6    - Administração do Programa Fundação Florestal (FF)
Ano 1: 2011              </t>
  </si>
  <si>
    <t>Aquisição de veículos - Ano 8</t>
  </si>
  <si>
    <t>1.81</t>
  </si>
  <si>
    <t>Aquisição de equipamentos de informática - Ano 8</t>
  </si>
  <si>
    <t>Contrato de Obras para a construção de centros de visitantes e bases de proteção do Núcleo Caraguatatuba</t>
  </si>
  <si>
    <t>Item Orçamento 2.4.8.Fundação Florestal (FF)  
Ano5: 2015 , Ano 6: 2016 e Ano 7:2017</t>
  </si>
  <si>
    <t>Item Orçamentário : 1.2.8 Fundação Florestal Ano 7:2017 e Ano 8:2018</t>
  </si>
  <si>
    <t>Item Orçamento 5.2.18.Fundação Florestal (FF)   
Ano 7:2017 e Ano 8:2018</t>
  </si>
  <si>
    <t>Item Orçamento 2.4.2.Fundação Florestal (FF)   
Ano 7 : 2017 e Ano 8:2018</t>
  </si>
  <si>
    <t>Reforma e ampliação de área - nova sede administrativa do Mosaico Juréia-Itatins</t>
  </si>
  <si>
    <t>2.70</t>
  </si>
  <si>
    <t>Instalação de equipamentos de uso público (mirante, passarela e pier de rafting) - PESM/Núcleo Santa Virgínia</t>
  </si>
  <si>
    <t>2.71</t>
  </si>
  <si>
    <t>Item Orçamento 1.3.7.Fundação Florestal (FF)   
 Ano 2:2012 até Ano 7:2017</t>
  </si>
  <si>
    <t>Contratação de firma para provisão de combustível por cartão magnético - veículos - FF 1446/12</t>
  </si>
  <si>
    <t>Contrato de seguro para aeronave - FF255/15</t>
  </si>
  <si>
    <t>Contratação de Serviços para abastecimento da aeronave - FF286/15</t>
  </si>
  <si>
    <t>Contrato para  manutenção de aeronave - FF168/15</t>
  </si>
  <si>
    <t>Item Orçamento 5.2.12 Fundação Florestal (FF)   
Ano 5: 2015 e Ano 6: 2016</t>
  </si>
  <si>
    <t>Contratação de firma para combustível de embarcações - FF1661/13</t>
  </si>
  <si>
    <t>Item Orçamento 5.2.13.Polícia Ambiental (PMA)  
Ano3: 2013 até Ano 8:2018</t>
  </si>
  <si>
    <t>Contratação de firma para provisão de combustível por cartão magnético - Embarcações - FF384/15</t>
  </si>
  <si>
    <t>Contratação de firma para manutenção de veículos, motos e caminhões e embarcações - FF1457/12</t>
  </si>
  <si>
    <t>Contratação de firma para manutenção de veículos - FF320/15</t>
  </si>
  <si>
    <t>Contratação de firma para provisão de combustível por cartão magnético - veículos Pamb - FF816/15</t>
  </si>
  <si>
    <t>Contratação de firma para manutenção de embarcações (APAsMarinhas Norte e Sul e PE Ilha do Cardoso) - FF785/15</t>
  </si>
  <si>
    <t>Contrato de Seguro para aeronave - FF354/16</t>
  </si>
  <si>
    <t>Contratação de firma para manutenção de veículos - FF - FF658/16</t>
  </si>
  <si>
    <t>Contratação de firma para manutenção de veículos, motos e caminhões e embarcações - Pamb - FF583/16</t>
  </si>
  <si>
    <t>3.79</t>
  </si>
  <si>
    <t>Manutenção da Base Perequê - MUCJI</t>
  </si>
  <si>
    <t>Item Orçamento 2.4.2.Fundação Florestal (FF)   
 Ano 7:2017 e Ano 8:2018</t>
  </si>
  <si>
    <t>3.80</t>
  </si>
  <si>
    <t>Contrato de Seguro para aeronave - FF383/17</t>
  </si>
  <si>
    <t>Item Orçamento 5.2.12 Policia Ambiental  (PMA)   
Ano 7:2017 e Ano 8:2018</t>
  </si>
  <si>
    <t>3.81</t>
  </si>
  <si>
    <t>Contratação de firma para provisão de combustível por cartão magnético - veículos - FF0050/17</t>
  </si>
  <si>
    <t>Item Orçamento 5.2.10.Polícia Ambiental (PMA)   
Ano7 :2017 e Ano 8:2018</t>
  </si>
  <si>
    <t>3.82</t>
  </si>
  <si>
    <t>Contratação de Serviços para abastecimento da aeronave - FF52/17</t>
  </si>
  <si>
    <t>Item Orçamento 5.2.12 Polcia Ambiental (PMA)  
Ano 7:2017 E Ano 8:2018</t>
  </si>
  <si>
    <t>3.83</t>
  </si>
  <si>
    <t>Contrato para  manutenção de aeronave - FF188/17</t>
  </si>
  <si>
    <t>3.84</t>
  </si>
  <si>
    <t>Item Orçamento    2.4.13, 3.1.3 e 3.1.12    Fundação Florestal (FF)   
Ano 7: 2017 e Ano 8: 2018</t>
  </si>
  <si>
    <t>Contratação de firma para a elaboração do Plano de Manejo: APA da Ilha Comprida - FF1251/14</t>
  </si>
  <si>
    <t>Item Orçamento 2.4.8 -  Fundação Florestal (FF)   
Ano 5: 2015 até Ano 7: 2017</t>
  </si>
  <si>
    <t>Item Orçamento 2.4.5  Fundação Florestal (FF) 
 Ano 5: 2015 e Ano 6: 2016</t>
  </si>
  <si>
    <t>Situação</t>
  </si>
  <si>
    <t>1.82</t>
  </si>
  <si>
    <t xml:space="preserve">Item Orçamento Detalhado - Componente 01 - Prod. 01 , 2 e 3 - 1.2.12;  2.4.12  e 3.1.9   Fundação Florestal (FF)       
Ano 7: 2017 </t>
  </si>
  <si>
    <t xml:space="preserve">Item Orçamento Detalhado - Componente 01 - Prod 01-  1.2.12,Prod . 02 - 2.4.12, Prod 03 - 3.1.9,3.2.1.,3.2.3  e 3.2.8 - Fundação Florestal (FF)   
Ano 7: 2017              </t>
  </si>
  <si>
    <t xml:space="preserve">Item Orçamento Detalhado - Componente 01 - Prod. 01-  1.2.12 - ,Prod. . 02 - 2.5.6.a ,  Prod. 03 - 3.1.9.  Fundação Florestal (FF)  
Ano 7: 2017 </t>
  </si>
  <si>
    <t>1.83</t>
  </si>
  <si>
    <t>1.84</t>
  </si>
  <si>
    <t>Aquisição de mobiliários</t>
  </si>
  <si>
    <t>Item Orçamento Aud, Monitoramento e Avaliação - Contratação pela FF.
Ano 3: 2013/  Ano 4: 2014 / Ano 5: 2015 / Ano 6: 2016</t>
  </si>
  <si>
    <t>Aquisição de Equipamentos de Precisão e Controle  - Ano 7</t>
  </si>
  <si>
    <t xml:space="preserve">Item Orçamento Detalhado - Componente 01 - Prod. 01, 02 e 03 -  1.2.12, 2.4.12 , 3.1.9 e 3.2.3. Fundação Florestal (FF)       
Ano 7: 2017 </t>
  </si>
  <si>
    <t>Contratação de firma para manutenção de embarcações</t>
  </si>
  <si>
    <t>Item Orçamento Aud, Monitoramento e Avaliação - Contratação pela FF.
Ano 2: 2012 até Ano 7: 2017</t>
  </si>
  <si>
    <t>4.92</t>
  </si>
  <si>
    <t>1.85</t>
  </si>
  <si>
    <t>Aquisição de binóculos</t>
  </si>
  <si>
    <t>Pregão Eletrônico/ BEC - Bolsa Eletronica de Compras</t>
  </si>
  <si>
    <t>Pregão Eletrônico / BEC - Bolsa Eletronica de Compras</t>
  </si>
  <si>
    <t>Aquisição de equipamentos multimídia</t>
  </si>
  <si>
    <t>CD</t>
  </si>
  <si>
    <t>3.85</t>
  </si>
  <si>
    <t>Contratação de firma para abastecimento de veículos - FF1319/17</t>
  </si>
  <si>
    <t>4.93</t>
  </si>
  <si>
    <t>4.94</t>
  </si>
  <si>
    <t>Contratação de empresa gerenciadora para as obras/serviços de Reforma e ampliação de área - nova sede administrativa do Mosaico Juréia-Itatins</t>
  </si>
  <si>
    <t>SQC</t>
  </si>
  <si>
    <t>Item Orçamento  1.2.14, 2.4.13,  2.5.10-A, 3.1.12 e 3.1.3 Fundação Florestal (FF)   Ano 7: 2017 e Ano 8: 2018</t>
  </si>
  <si>
    <t>2.74</t>
  </si>
  <si>
    <t>Complementação as obras de edificação no Município de São Vicente - São Vicente H</t>
  </si>
  <si>
    <t>1.87</t>
  </si>
  <si>
    <t>1.88</t>
  </si>
  <si>
    <t>1.89</t>
  </si>
  <si>
    <t>1.90</t>
  </si>
  <si>
    <t>Item Orçamento Detalhado - Componente 03 -5.2.6
Ano 8: 2018</t>
  </si>
  <si>
    <t>Aquisição de Drones</t>
  </si>
  <si>
    <t>Aquisição de veículos</t>
  </si>
  <si>
    <t>Item Orçamento Detalhado - Componente 01 - 3.1.9 - Ano 8:2018</t>
  </si>
  <si>
    <t>Contratação de empresa gerenciadora para as obras/serviços de construção de guarita e base de proteção do Núcleo Caraguatatuba</t>
  </si>
  <si>
    <t>4.95</t>
  </si>
  <si>
    <t>Item Orçamento 5.2.18.Fundação Florestal (FF)   
Ano 3: 2013 a Ano 6: 2016</t>
  </si>
  <si>
    <t xml:space="preserve">Contratação de Projeto para Elaboração de Plano de Uso Sustentável RDS Despraiado e RDS Barra do Una </t>
  </si>
  <si>
    <t>Aquisição de Equipamentos de Informática</t>
  </si>
  <si>
    <t>3.86</t>
  </si>
  <si>
    <t>Contratação de serviços de instalação de circuito fechado de TV para Segurança e Uso Público - PESM - N. Caminhos do Mar</t>
  </si>
  <si>
    <t>Item Orçamento 1.2.14.Fundação Florestal (FF)   
Ano 8: 2018</t>
  </si>
  <si>
    <t>3.87</t>
  </si>
  <si>
    <t>Contrato de Seguro para aeronave</t>
  </si>
  <si>
    <t>Item Orçamento 5.2.12 Policia Ambiental  (PMA)   
Ano 8:2018 e Ano 9:2019</t>
  </si>
  <si>
    <t>1.91</t>
  </si>
  <si>
    <t>Aquisição de Trator  - Ano 8</t>
  </si>
  <si>
    <t>Item Orçamento Detalhado - Componente 01 -1.2.12
Ano 8: 2018</t>
  </si>
  <si>
    <t>3.88</t>
  </si>
  <si>
    <t>3.89</t>
  </si>
  <si>
    <t>Contratação de serviços de confecção e instalação de sinalização no PE Serra do Mar</t>
  </si>
  <si>
    <t>Contratação de serviços de confecção e instalação de sinalização no Mosaico Juréia-Itaitins e Ucs Marinhas</t>
  </si>
  <si>
    <t>Contrato de Obras para a construção de guarita e base de proteção do Núcleo Caraguatatuba</t>
  </si>
  <si>
    <t>Aquisição de embarcação  para o PE Marinho Laje de Santos</t>
  </si>
  <si>
    <t>Item Orçamento 1.2.25.Fundação Florestal (FF)   
Ano 8:2018 e Ano 9:2019</t>
  </si>
  <si>
    <t>Item Orçamento 1.2.7.Fundação Florestal (FF)   
Ano 8: 2018 e Ano 9:2019</t>
  </si>
  <si>
    <t>Item Orçamento   3.1.12 -   Ano 8: 2018</t>
  </si>
  <si>
    <t>Item Orçamento Aud, Monitoramento e Avaliação - Contratação pela FF.
Ano 8: 2018 e Ano 9: 2019</t>
  </si>
  <si>
    <t>Item Orçamento  Componente 1 - 2.5.1 Fundação Florestal (FF)   Ano 8:  2018 e Ano 9:2019</t>
  </si>
  <si>
    <t>3.90</t>
  </si>
  <si>
    <t>3.91</t>
  </si>
  <si>
    <t xml:space="preserve">Contratação de serviços de relatoria, mediação e confecção de manual de procedimentos - Capacitação para proteção das UCs </t>
  </si>
  <si>
    <t>3.92</t>
  </si>
  <si>
    <t>Contratação de serviços de agenciamento para aquisição de passagens aéreas - Capacitação para proteção das UCs</t>
  </si>
  <si>
    <t>Adiantamentos</t>
  </si>
  <si>
    <t>Custeio operacional das Ucs para realização da capacitação para proteção - Diárias</t>
  </si>
  <si>
    <t>Lei 8666</t>
  </si>
  <si>
    <t>Em Processo</t>
  </si>
  <si>
    <t>1.92</t>
  </si>
  <si>
    <t>Aquisição de mobiliário para Mosaico Juréia-Itatins</t>
  </si>
  <si>
    <t>Item Orçamento Detalhado - Componente 01 - Prod. 2 - 2.4.12
Ano 8: 2018</t>
  </si>
  <si>
    <t xml:space="preserve">Item Orçamento Detalhado - Componente 01 - Prod. 01, 02 e 03 -  1.2.12, 2.4.12 , 3.2.1. Fundação Florestal (FF)       
Ano 8: 2018 </t>
  </si>
  <si>
    <t>1.93</t>
  </si>
  <si>
    <t>Aquisição de Implemento Agrícola para Trator  - Ano 8</t>
  </si>
  <si>
    <t>3.93</t>
  </si>
  <si>
    <t>Item Orçamento 5.2.13.Polícia Ambiental (PMA)  
Ano 8: 2018 e Ano 9:2019</t>
  </si>
  <si>
    <t>Item Orçamento  2.4.13, 3.1.3 e 3.1.12  Fundação Florestal (FF)   
Ano 8: 2018 e Ano 9: 2019</t>
  </si>
  <si>
    <t>Contratação de firma para provisão de combustível por cartão magnético - Embarcações e equipamentos</t>
  </si>
  <si>
    <t>Item Orçamento 1.2.18.Fundação Florestal (FF)  
Ano 8: 2018 e Ano 9:2019</t>
  </si>
  <si>
    <t>Item Orçamento  2.5.11. e 3.1.13.Fundação Florestal (FF)   
 Ano 8:2018 e e Ano 9:2019</t>
  </si>
  <si>
    <t>Item Orçamento 1.2.15.Fundação Florestal (FF)   
 Ano 8:2018 e e Ano 9:2019</t>
  </si>
  <si>
    <t>3.94</t>
  </si>
  <si>
    <t>3.95</t>
  </si>
  <si>
    <t>3.96</t>
  </si>
  <si>
    <t>Manutenção de Edificações - Núcleo Caraguatatuba/PESM</t>
  </si>
  <si>
    <t>Item Orçamento 1.2.26.Fundação Florestal (FF)  
Ano 8: 2018 e Ano 9:2019</t>
  </si>
  <si>
    <t>Item Orçamento 1.2.27.Fundação Florestal (FF)  
Ano 8: 2018 e Ano 9:2019</t>
  </si>
  <si>
    <t>Manutenção de Edificações - Núcleo Picinguaba/PESM</t>
  </si>
  <si>
    <t>3.97</t>
  </si>
  <si>
    <t>Item Orçamento 1.2.13.2.,3.1.7. e 2.4.14. Fundação Florestal (FF)    Ano 9:2019</t>
  </si>
  <si>
    <t>Item Orçamento Detalhado - Componente 01 - Prod. 01, 02 e 03 - 1.2.12, 2.4.12 e 3.2.1. Fundação Florestal (FF)       
Ano 8: 2018 e Ano 9: 2019</t>
  </si>
  <si>
    <t>Item Orçamento Detalhado - Componente 03 -5.2.1
Ano 8: 2018 e Ano 9:2019</t>
  </si>
  <si>
    <t>Item Orçamento Detalhado - Componente 01 - Prod. 1 - 1.2.12
Ano 8: 2018 e Ano 9:2019</t>
  </si>
  <si>
    <t>3.98</t>
  </si>
  <si>
    <t>Item Orçamento 1.2.14.2.,3.1.3.,3.1.12 e 2.4.14. Fundação Florestal (FF)    Ano 9:2019</t>
  </si>
  <si>
    <t>Contratação de serviços de adequação e manutenção Base Rio Verde</t>
  </si>
  <si>
    <t>Item Orçamento: 1.2.28 Fundação Florestal (FF)    Ano 9:2019</t>
  </si>
  <si>
    <t>Item Orçamento:  2.5.12. Fundação Florestal (FF)    Ano 9:2019</t>
  </si>
  <si>
    <t>1.94</t>
  </si>
  <si>
    <t>Item Orçamento Detalhado - Componente 01 - Prod. 1 - 1.2.12
Ano 9: 2019</t>
  </si>
  <si>
    <t xml:space="preserve">Contratação de seguro de 21 veículos para as Uc's </t>
  </si>
  <si>
    <t>em execução</t>
  </si>
  <si>
    <t>Contratação de firma para gerenciamento de manutenção - veículos e equipamentos</t>
  </si>
  <si>
    <t>Cancelado</t>
  </si>
  <si>
    <t>Aquisição de Mobiliário Base Cambucá/ Caraguatatuba/ Gravi e Gariúma/ Praia da Fazenda</t>
  </si>
  <si>
    <t>Item Orçamento 2.4.13.Fundação Florestal (FF)   
Ano 01: 2011 até Ano 9: 2019</t>
  </si>
  <si>
    <t>concluido</t>
  </si>
  <si>
    <t xml:space="preserve">Item Orçamento 2.5.10.a Fundação Florestal (FF)   
Ano 2: 2012  - Ano3: 2013 - Ano 9: 2019         </t>
  </si>
  <si>
    <t>Item Orçamento 3.1.3 Fundação Florestal (FF)   
Ano 2: 2012 até Ano 9:2019</t>
  </si>
  <si>
    <t>Item Orçamento 3.1.12.Fundação Florestal (FF)   
Ano 1: 2011, Ano 2: 2012 e Ano 9:2019</t>
  </si>
  <si>
    <t>Item Orçamento 5.2.15.Polícia Ambiental (PMA)  
Ano 1: 2011   até Ano 9: 2019</t>
  </si>
  <si>
    <t>Item Orçamento Administração do Programa - FF 
Ano 1: 2011 até Ano 9: 2019</t>
  </si>
  <si>
    <t xml:space="preserve">Item Orçamento 5.1.4, e 5.1.3. Polícia Ambiental (PMA)  
Ano 1: 2011/ Ano 2:2012 e Ano 9: 2019    </t>
  </si>
  <si>
    <t>Item Orçamento 1.2.14.Fundação Florestal (FF)   
Ano 1: 2011 até  Ano 9: 2019</t>
  </si>
  <si>
    <t>Custeio operacional do Programa PROPARQUE e PROMAR. (inclui manutenção veic. embarcações e aeronave - 2017 - 2019)</t>
  </si>
  <si>
    <t>Contratação de firma para combustível de embarcações Proc. 887/18</t>
  </si>
  <si>
    <t>Item Orçamento  3.1.2 e 3.1.12 Fundação Florestal (FF)   
Ano 5: 2015 até Ano 9: 2019</t>
  </si>
  <si>
    <t>Item Orçamento  1.2.14, 2.4.13,  2.5.10-A, 3.1.12 e 3.1.3 Fundação Florestal (FF)   Ano 5: 2015,  Ano 6: 2016 e Ano 9:2019</t>
  </si>
  <si>
    <t xml:space="preserve">Item Orçamento 5.2.11.Polícia Ambiental (PMA)  
Ano 6:2016    até  Ano 9: 2019 </t>
  </si>
  <si>
    <t>Item Orçamento 5.2.12 Polcia Ambiental (PMA)   
Ano 7:2017 até  Ano 9:2019</t>
  </si>
  <si>
    <t>Contratação de firma para serviço de monitores ambientais Proc. 886/18</t>
  </si>
  <si>
    <t>Item Orçamento 5.2.12 Policia Ambiental  (PMA)   
Ano 9:2019 e Ano 10:2020</t>
  </si>
  <si>
    <t xml:space="preserve">Item Orçamento Administração - 4.2.1.
Ano 5: 2015 até Ano 9:2019   - FF   </t>
  </si>
  <si>
    <t>Item Orçamento 2.4.2.Fundação Florestal (FF)   
Ano 8:2018 até Ano 9:2019</t>
  </si>
  <si>
    <t>Item Orçamento 2.4.2.Fundação Florestal (FF)   
 Ano 8:2018 até Ano 09: 2019</t>
  </si>
  <si>
    <t>Contratação de firma para gerenciamento de combustíveis - veículos e equipamentos</t>
  </si>
  <si>
    <t>Contratação de serviços de adequação e manutenção Sede Regional Litoral Norte - Ubatuba (APAMLN e PE Ilha Anchieta)</t>
  </si>
  <si>
    <t>1.95</t>
  </si>
  <si>
    <t xml:space="preserve">Item Orçamento Detalhado - Componente 01 - Prod. 01, 02 e 03 -  1.2.12, 2.4.12 , 3.2.1. Fundação Florestal (FF)       
Ano 9: 2019 </t>
  </si>
  <si>
    <t>cencelado</t>
  </si>
  <si>
    <t>3.99</t>
  </si>
  <si>
    <t>Sistema Nacional</t>
  </si>
  <si>
    <r>
      <rPr>
        <b/>
        <sz val="11"/>
        <rFont val="Arial"/>
        <family val="2"/>
      </rPr>
      <t>Alterações:</t>
    </r>
    <r>
      <rPr>
        <sz val="11"/>
        <rFont val="Arial"/>
        <family val="2"/>
      </rPr>
      <t xml:space="preserve"> Indicar em </t>
    </r>
    <r>
      <rPr>
        <b/>
        <sz val="11"/>
        <rFont val="Arial"/>
        <family val="2"/>
      </rPr>
      <t>vermelho</t>
    </r>
    <r>
      <rPr>
        <sz val="11"/>
        <rFont val="Arial"/>
        <family val="2"/>
      </rPr>
      <t xml:space="preserve"> as alterações feitas nas aquisições já constantes do PA</t>
    </r>
  </si>
  <si>
    <r>
      <rPr>
        <b/>
        <sz val="11"/>
        <rFont val="Arial"/>
        <family val="2"/>
      </rPr>
      <t>Inclusões:</t>
    </r>
    <r>
      <rPr>
        <sz val="11"/>
        <rFont val="Arial"/>
        <family val="2"/>
      </rPr>
      <t xml:space="preserve"> Indicar em </t>
    </r>
    <r>
      <rPr>
        <b/>
        <sz val="11"/>
        <rFont val="Arial"/>
        <family val="2"/>
      </rPr>
      <t xml:space="preserve">azul </t>
    </r>
    <r>
      <rPr>
        <sz val="11"/>
        <rFont val="Arial"/>
        <family val="2"/>
      </rPr>
      <t>as aquisições agora incluídas no PA</t>
    </r>
  </si>
  <si>
    <r>
      <rPr>
        <b/>
        <sz val="11"/>
        <rFont val="Arial"/>
        <family val="2"/>
      </rPr>
      <t>Cancelamentos:</t>
    </r>
    <r>
      <rPr>
        <sz val="11"/>
        <rFont val="Arial"/>
        <family val="2"/>
      </rPr>
      <t xml:space="preserve"> indicar em </t>
    </r>
    <r>
      <rPr>
        <b/>
        <sz val="11"/>
        <rFont val="Arial"/>
        <family val="2"/>
      </rPr>
      <t xml:space="preserve">verde </t>
    </r>
    <r>
      <rPr>
        <sz val="11"/>
        <rFont val="Arial"/>
        <family val="2"/>
      </rPr>
      <t>os cancelamentos das aquisições constantes do 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</si>
</sst>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[$-416]mmm\-yy;@"/>
    <numFmt numFmtId="166" formatCode="0.0%"/>
    <numFmt numFmtId="167" formatCode="0.0000%"/>
    <numFmt numFmtId="168" formatCode="#,##0.00_ ;[Red]\-#,##0.00\ 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trike/>
      <sz val="11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5" fillId="2" borderId="1" xfId="4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6" fillId="0" borderId="1" xfId="4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4" applyFont="1" applyFill="1" applyBorder="1" applyAlignment="1">
      <alignment vertical="center" wrapText="1"/>
    </xf>
    <xf numFmtId="43" fontId="5" fillId="0" borderId="1" xfId="4" applyFont="1" applyBorder="1" applyAlignment="1">
      <alignment vertical="center" wrapText="1"/>
    </xf>
    <xf numFmtId="40" fontId="5" fillId="0" borderId="1" xfId="4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9" fontId="5" fillId="0" borderId="1" xfId="3" applyFont="1" applyBorder="1" applyAlignment="1">
      <alignment horizontal="center" vertical="center" wrapText="1"/>
    </xf>
    <xf numFmtId="43" fontId="4" fillId="4" borderId="1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4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3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4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43" fontId="4" fillId="6" borderId="1" xfId="4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3" fontId="6" fillId="0" borderId="1" xfId="4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49" fontId="5" fillId="0" borderId="0" xfId="0" applyNumberFormat="1" applyFont="1" applyAlignment="1">
      <alignment horizontal="center" vertical="top"/>
    </xf>
    <xf numFmtId="0" fontId="4" fillId="8" borderId="2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9" fontId="4" fillId="9" borderId="1" xfId="3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vertical="center" wrapText="1"/>
    </xf>
    <xf numFmtId="0" fontId="5" fillId="0" borderId="1" xfId="4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3" fontId="4" fillId="11" borderId="1" xfId="4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6" fillId="0" borderId="1" xfId="4" quotePrefix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3" fontId="6" fillId="0" borderId="1" xfId="4" applyFont="1" applyBorder="1" applyAlignment="1">
      <alignment horizontal="center" vertical="center" wrapText="1"/>
    </xf>
    <xf numFmtId="43" fontId="6" fillId="0" borderId="5" xfId="4" quotePrefix="1" applyFont="1" applyBorder="1" applyAlignment="1">
      <alignment horizontal="center" vertical="center" wrapText="1"/>
    </xf>
    <xf numFmtId="38" fontId="5" fillId="0" borderId="1" xfId="0" applyNumberFormat="1" applyFont="1" applyBorder="1" applyAlignment="1">
      <alignment horizontal="center" vertical="center"/>
    </xf>
    <xf numFmtId="43" fontId="6" fillId="0" borderId="5" xfId="4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43" fontId="5" fillId="3" borderId="0" xfId="4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4" applyFont="1" applyBorder="1" applyAlignment="1">
      <alignment vertical="center"/>
    </xf>
    <xf numFmtId="43" fontId="5" fillId="0" borderId="0" xfId="4" applyFont="1" applyAlignment="1">
      <alignment vertical="center"/>
    </xf>
    <xf numFmtId="164" fontId="5" fillId="0" borderId="0" xfId="0" applyNumberFormat="1" applyFont="1" applyAlignment="1">
      <alignment vertical="center"/>
    </xf>
    <xf numFmtId="43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9" fillId="3" borderId="0" xfId="0" applyFont="1" applyFill="1" applyAlignment="1">
      <alignment vertical="center"/>
    </xf>
    <xf numFmtId="43" fontId="9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43" fontId="5" fillId="3" borderId="0" xfId="4" applyFont="1" applyFill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43" fontId="5" fillId="0" borderId="1" xfId="5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8" fontId="7" fillId="0" borderId="0" xfId="0" applyNumberFormat="1" applyFont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right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5" fillId="0" borderId="1" xfId="4" applyFont="1" applyBorder="1" applyAlignment="1">
      <alignment horizontal="left" vertical="center" wrapText="1"/>
    </xf>
    <xf numFmtId="0" fontId="5" fillId="0" borderId="1" xfId="4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center" wrapText="1"/>
    </xf>
    <xf numFmtId="43" fontId="5" fillId="0" borderId="1" xfId="4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vertical="center"/>
    </xf>
    <xf numFmtId="43" fontId="5" fillId="0" borderId="0" xfId="4" applyFont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9" fontId="5" fillId="0" borderId="0" xfId="3" applyFont="1" applyAlignment="1">
      <alignment vertical="center" wrapText="1"/>
    </xf>
    <xf numFmtId="43" fontId="3" fillId="0" borderId="0" xfId="4" applyFont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43" fontId="5" fillId="0" borderId="0" xfId="4" applyFont="1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 wrapText="1"/>
    </xf>
    <xf numFmtId="2" fontId="5" fillId="5" borderId="1" xfId="3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3" fontId="5" fillId="5" borderId="1" xfId="4" applyFont="1" applyFill="1" applyBorder="1" applyAlignment="1">
      <alignment horizontal="left" vertical="center" wrapText="1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/>
    <xf numFmtId="2" fontId="7" fillId="0" borderId="0" xfId="0" applyNumberFormat="1" applyFont="1" applyAlignment="1">
      <alignment horizontal="center" vertical="center"/>
    </xf>
    <xf numFmtId="43" fontId="11" fillId="0" borderId="0" xfId="4" applyFont="1" applyAlignment="1">
      <alignment horizontal="center" vertical="center"/>
    </xf>
    <xf numFmtId="43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9" fontId="0" fillId="0" borderId="0" xfId="3" applyFont="1"/>
    <xf numFmtId="9" fontId="0" fillId="0" borderId="0" xfId="0" applyNumberFormat="1"/>
    <xf numFmtId="9" fontId="5" fillId="0" borderId="1" xfId="3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0" borderId="1" xfId="4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5" fillId="0" borderId="1" xfId="4" applyFont="1" applyBorder="1" applyAlignment="1">
      <alignment horizontal="right" vertical="center" wrapText="1"/>
    </xf>
    <xf numFmtId="43" fontId="0" fillId="0" borderId="0" xfId="4" applyFont="1"/>
    <xf numFmtId="0" fontId="4" fillId="1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3" borderId="0" xfId="0" applyFont="1" applyFill="1" applyAlignment="1">
      <alignment vertical="center" wrapText="1"/>
    </xf>
    <xf numFmtId="167" fontId="5" fillId="2" borderId="0" xfId="3" applyNumberFormat="1" applyFont="1" applyFill="1" applyAlignment="1">
      <alignment vertical="center" wrapText="1"/>
    </xf>
    <xf numFmtId="43" fontId="5" fillId="2" borderId="0" xfId="4" applyFont="1" applyFill="1" applyAlignment="1">
      <alignment vertical="center" wrapText="1"/>
    </xf>
    <xf numFmtId="169" fontId="5" fillId="0" borderId="1" xfId="4" applyNumberFormat="1" applyFont="1" applyBorder="1" applyAlignment="1">
      <alignment horizontal="center" vertical="center" wrapText="1"/>
    </xf>
    <xf numFmtId="14" fontId="5" fillId="2" borderId="0" xfId="0" applyNumberFormat="1" applyFont="1" applyFill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3" fontId="13" fillId="2" borderId="0" xfId="4" applyFont="1" applyFill="1" applyAlignment="1">
      <alignment vertical="center" wrapText="1"/>
    </xf>
    <xf numFmtId="43" fontId="5" fillId="5" borderId="1" xfId="4" applyFont="1" applyFill="1" applyBorder="1" applyAlignment="1">
      <alignment vertical="center" wrapText="1"/>
    </xf>
    <xf numFmtId="43" fontId="11" fillId="0" borderId="2" xfId="4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3" fontId="5" fillId="7" borderId="1" xfId="4" applyFont="1" applyFill="1" applyBorder="1" applyAlignment="1">
      <alignment horizontal="left" vertical="center" wrapText="1"/>
    </xf>
    <xf numFmtId="43" fontId="5" fillId="7" borderId="1" xfId="4" applyFont="1" applyFill="1" applyBorder="1" applyAlignment="1">
      <alignment vertical="center" wrapText="1"/>
    </xf>
    <xf numFmtId="165" fontId="5" fillId="10" borderId="1" xfId="0" applyNumberFormat="1" applyFont="1" applyFill="1" applyBorder="1" applyAlignment="1">
      <alignment horizontal="center" vertical="center" wrapText="1"/>
    </xf>
    <xf numFmtId="43" fontId="5" fillId="10" borderId="1" xfId="4" applyFont="1" applyFill="1" applyBorder="1" applyAlignment="1">
      <alignment horizontal="left" vertical="center" wrapText="1"/>
    </xf>
    <xf numFmtId="43" fontId="5" fillId="10" borderId="1" xfId="4" applyFont="1" applyFill="1" applyBorder="1" applyAlignment="1">
      <alignment vertical="center" wrapText="1"/>
    </xf>
  </cellXfs>
  <cellStyles count="6">
    <cellStyle name="Normal" xfId="0" builtinId="0"/>
    <cellStyle name="Normal 2" xfId="1" xr:uid="{00000000-0005-0000-0000-000001000000}"/>
    <cellStyle name="Normal 6" xfId="2" xr:uid="{00000000-0005-0000-0000-000002000000}"/>
    <cellStyle name="Porcentagem" xfId="3" builtinId="5"/>
    <cellStyle name="Vírgula" xfId="4" builtinId="3"/>
    <cellStyle name="Vírgula 2 2" xfId="5" xr:uid="{00000000-0005-0000-0000-000005000000}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5"/>
  <sheetViews>
    <sheetView showGridLines="0" tabSelected="1" showWhiteSpace="0" zoomScale="85" zoomScaleNormal="85" zoomScaleSheetLayoutView="50" zoomScalePageLayoutView="90" workbookViewId="0"/>
  </sheetViews>
  <sheetFormatPr defaultColWidth="20.7265625" defaultRowHeight="30" customHeight="1" x14ac:dyDescent="0.35"/>
  <cols>
    <col min="1" max="1" width="9.1796875" style="2" customWidth="1"/>
    <col min="2" max="2" width="65.26953125" style="1" customWidth="1"/>
    <col min="3" max="3" width="18.7265625" style="1" customWidth="1"/>
    <col min="4" max="4" width="17.26953125" style="2" customWidth="1"/>
    <col min="5" max="5" width="23.1796875" style="2" customWidth="1"/>
    <col min="6" max="6" width="12.453125" style="2" customWidth="1"/>
    <col min="7" max="7" width="21.26953125" style="20" customWidth="1"/>
    <col min="8" max="8" width="18.54296875" style="20" customWidth="1"/>
    <col min="9" max="9" width="14.26953125" style="3" customWidth="1"/>
    <col min="10" max="10" width="11.453125" style="3" customWidth="1"/>
    <col min="11" max="11" width="16.26953125" style="2" customWidth="1"/>
    <col min="12" max="12" width="75.1796875" style="1" customWidth="1"/>
    <col min="13" max="13" width="47.453125" style="1" hidden="1" customWidth="1"/>
    <col min="14" max="14" width="4" style="1" hidden="1" customWidth="1"/>
    <col min="15" max="15" width="20.7265625" style="1" hidden="1" customWidth="1"/>
    <col min="16" max="16" width="14.26953125" style="1" hidden="1" customWidth="1"/>
    <col min="17" max="17" width="19" style="1" hidden="1" customWidth="1"/>
    <col min="18" max="19" width="20.7265625" style="1" hidden="1" customWidth="1"/>
    <col min="20" max="24" width="20.7265625" style="1" customWidth="1"/>
    <col min="25" max="16384" width="20.7265625" style="1"/>
  </cols>
  <sheetData>
    <row r="1" spans="1:21" ht="28.5" customHeight="1" x14ac:dyDescent="0.35">
      <c r="B1" s="63"/>
      <c r="C1" s="63"/>
      <c r="D1" s="63"/>
      <c r="E1" s="114"/>
      <c r="F1" s="63"/>
      <c r="G1" s="63" t="s">
        <v>505</v>
      </c>
      <c r="H1" s="63"/>
      <c r="I1" s="63"/>
      <c r="J1" s="63"/>
      <c r="K1" s="66"/>
      <c r="L1" s="63"/>
      <c r="M1" s="63"/>
    </row>
    <row r="2" spans="1:21" ht="23" x14ac:dyDescent="0.35">
      <c r="A2" s="139" t="s">
        <v>47</v>
      </c>
      <c r="B2" s="139"/>
      <c r="C2" s="139"/>
      <c r="D2" s="139"/>
      <c r="E2" s="139"/>
      <c r="F2" s="139"/>
      <c r="G2" s="140"/>
      <c r="H2" s="140"/>
      <c r="I2" s="139"/>
      <c r="J2" s="139"/>
      <c r="K2" s="139"/>
      <c r="L2" s="139"/>
      <c r="M2" s="139"/>
    </row>
    <row r="3" spans="1:21" ht="23" x14ac:dyDescent="0.35">
      <c r="A3" s="139" t="s">
        <v>48</v>
      </c>
      <c r="B3" s="139"/>
      <c r="C3" s="139"/>
      <c r="D3" s="139"/>
      <c r="E3" s="139"/>
      <c r="F3" s="139"/>
      <c r="G3" s="140"/>
      <c r="H3" s="140"/>
      <c r="I3" s="139"/>
      <c r="J3" s="139"/>
      <c r="K3" s="139"/>
      <c r="L3" s="139"/>
      <c r="M3" s="139"/>
    </row>
    <row r="4" spans="1:21" ht="23" x14ac:dyDescent="0.35">
      <c r="A4" s="139" t="s">
        <v>49</v>
      </c>
      <c r="B4" s="139"/>
      <c r="C4" s="139"/>
      <c r="D4" s="139"/>
      <c r="E4" s="139"/>
      <c r="F4" s="139"/>
      <c r="G4" s="140"/>
      <c r="H4" s="140"/>
      <c r="I4" s="139"/>
      <c r="J4" s="139"/>
      <c r="K4" s="139"/>
      <c r="L4" s="139"/>
      <c r="M4" s="139"/>
    </row>
    <row r="5" spans="1:21" ht="23" x14ac:dyDescent="0.3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21" ht="18" x14ac:dyDescent="0.35">
      <c r="A6" s="142"/>
      <c r="B6" s="142"/>
      <c r="C6" s="142"/>
      <c r="D6" s="142"/>
      <c r="E6" s="142"/>
      <c r="F6" s="142"/>
      <c r="G6" s="143"/>
      <c r="H6" s="143"/>
      <c r="I6" s="142"/>
      <c r="J6" s="142"/>
      <c r="K6" s="142"/>
      <c r="L6" s="142"/>
      <c r="M6" s="142"/>
    </row>
    <row r="7" spans="1:21" ht="18" x14ac:dyDescent="0.35">
      <c r="A7" s="54"/>
      <c r="B7" s="54"/>
      <c r="C7" s="54"/>
      <c r="D7" s="54"/>
      <c r="E7" s="54"/>
      <c r="F7" s="124"/>
      <c r="G7" s="100"/>
      <c r="H7" s="54"/>
      <c r="I7" s="54"/>
      <c r="J7" s="54"/>
      <c r="K7" s="54"/>
      <c r="L7" s="54"/>
      <c r="M7" s="54"/>
    </row>
    <row r="8" spans="1:21" ht="14" x14ac:dyDescent="0.35">
      <c r="B8" s="87"/>
      <c r="D8" s="116"/>
      <c r="E8" s="96"/>
    </row>
    <row r="9" spans="1:21" s="4" customFormat="1" ht="28" x14ac:dyDescent="0.35">
      <c r="A9" s="65" t="s">
        <v>267</v>
      </c>
      <c r="B9" s="65" t="s">
        <v>77</v>
      </c>
      <c r="C9" s="65" t="s">
        <v>377</v>
      </c>
      <c r="D9" s="65" t="s">
        <v>14</v>
      </c>
      <c r="E9" s="38" t="s">
        <v>15</v>
      </c>
      <c r="F9" s="38" t="s">
        <v>16</v>
      </c>
      <c r="G9" s="65" t="s">
        <v>17</v>
      </c>
      <c r="H9" s="65" t="s">
        <v>308</v>
      </c>
      <c r="I9" s="39" t="s">
        <v>309</v>
      </c>
      <c r="J9" s="39" t="s">
        <v>311</v>
      </c>
      <c r="K9" s="38" t="s">
        <v>18</v>
      </c>
      <c r="L9" s="65" t="s">
        <v>158</v>
      </c>
      <c r="M9" s="40" t="s">
        <v>258</v>
      </c>
      <c r="O9" s="65" t="s">
        <v>594</v>
      </c>
      <c r="P9" s="65" t="s">
        <v>513</v>
      </c>
      <c r="Q9" s="65" t="s">
        <v>514</v>
      </c>
      <c r="R9" s="65" t="s">
        <v>515</v>
      </c>
    </row>
    <row r="10" spans="1:21" s="4" customFormat="1" ht="14" x14ac:dyDescent="0.35">
      <c r="A10" s="25"/>
      <c r="B10" s="25"/>
      <c r="C10" s="25"/>
      <c r="D10" s="25"/>
      <c r="E10" s="35"/>
      <c r="F10" s="35"/>
      <c r="G10" s="25"/>
      <c r="H10" s="25"/>
      <c r="I10" s="36"/>
      <c r="J10" s="36"/>
      <c r="K10" s="35"/>
      <c r="L10" s="25"/>
      <c r="M10" s="37"/>
    </row>
    <row r="11" spans="1:21" s="4" customFormat="1" ht="15.5" x14ac:dyDescent="0.35">
      <c r="A11" s="49" t="s">
        <v>46</v>
      </c>
      <c r="B11" s="47"/>
      <c r="C11" s="47"/>
      <c r="D11" s="47"/>
      <c r="E11" s="47"/>
      <c r="F11" s="47"/>
      <c r="G11" s="47"/>
      <c r="H11" s="47"/>
      <c r="I11" s="47"/>
      <c r="J11" s="47"/>
      <c r="K11" s="76"/>
      <c r="L11" s="47"/>
      <c r="M11" s="48"/>
    </row>
    <row r="12" spans="1:21" s="11" customFormat="1" ht="46" x14ac:dyDescent="0.35">
      <c r="A12" s="9" t="s">
        <v>114</v>
      </c>
      <c r="B12" s="8" t="s">
        <v>198</v>
      </c>
      <c r="C12" s="44" t="s">
        <v>380</v>
      </c>
      <c r="D12" s="10">
        <v>28.001000000000001</v>
      </c>
      <c r="E12" s="9" t="s">
        <v>80</v>
      </c>
      <c r="F12" s="9" t="s">
        <v>728</v>
      </c>
      <c r="G12" s="23">
        <v>0.37</v>
      </c>
      <c r="H12" s="23">
        <v>0.63</v>
      </c>
      <c r="I12" s="7" t="s">
        <v>179</v>
      </c>
      <c r="J12" s="7" t="s">
        <v>177</v>
      </c>
      <c r="K12" s="9" t="s">
        <v>195</v>
      </c>
      <c r="L12" s="14" t="s">
        <v>164</v>
      </c>
      <c r="M12" s="16"/>
      <c r="O12" s="15"/>
      <c r="P12" s="15" t="s">
        <v>516</v>
      </c>
      <c r="Q12" s="16">
        <f>+$D12*G12</f>
        <v>10.36037</v>
      </c>
      <c r="R12" s="16">
        <f>+$D12*H12</f>
        <v>17.640630000000002</v>
      </c>
      <c r="S12" s="79"/>
      <c r="T12" s="79"/>
      <c r="U12" s="79"/>
    </row>
    <row r="13" spans="1:21" s="11" customFormat="1" ht="28" x14ac:dyDescent="0.35">
      <c r="A13" s="9" t="s">
        <v>106</v>
      </c>
      <c r="B13" s="8" t="s">
        <v>85</v>
      </c>
      <c r="C13" s="44" t="s">
        <v>381</v>
      </c>
      <c r="D13" s="10">
        <v>25.55</v>
      </c>
      <c r="E13" s="9" t="s">
        <v>80</v>
      </c>
      <c r="F13" s="9" t="s">
        <v>728</v>
      </c>
      <c r="G13" s="23">
        <v>0.28000000000000003</v>
      </c>
      <c r="H13" s="23">
        <v>0.72</v>
      </c>
      <c r="I13" s="7" t="s">
        <v>179</v>
      </c>
      <c r="J13" s="7" t="s">
        <v>177</v>
      </c>
      <c r="K13" s="9" t="s">
        <v>195</v>
      </c>
      <c r="L13" s="14" t="s">
        <v>165</v>
      </c>
      <c r="M13" s="16"/>
      <c r="O13" s="15"/>
      <c r="P13" s="15" t="s">
        <v>516</v>
      </c>
      <c r="Q13" s="16">
        <f t="shared" ref="Q13:Q75" si="0">+$D13*G13</f>
        <v>7.1540000000000008</v>
      </c>
      <c r="R13" s="16">
        <f t="shared" ref="R13:R75" si="1">+$D13*H13</f>
        <v>18.396000000000001</v>
      </c>
      <c r="S13" s="79"/>
      <c r="T13" s="79"/>
      <c r="U13" s="79"/>
    </row>
    <row r="14" spans="1:21" s="11" customFormat="1" ht="28" x14ac:dyDescent="0.35">
      <c r="A14" s="9" t="s">
        <v>107</v>
      </c>
      <c r="B14" s="8" t="s">
        <v>86</v>
      </c>
      <c r="C14" s="44" t="s">
        <v>381</v>
      </c>
      <c r="D14" s="10">
        <v>115.182</v>
      </c>
      <c r="E14" s="9" t="s">
        <v>80</v>
      </c>
      <c r="F14" s="9" t="s">
        <v>728</v>
      </c>
      <c r="G14" s="23">
        <v>0.57999999999999996</v>
      </c>
      <c r="H14" s="23">
        <v>0.42</v>
      </c>
      <c r="I14" s="7" t="s">
        <v>179</v>
      </c>
      <c r="J14" s="7" t="s">
        <v>177</v>
      </c>
      <c r="K14" s="9" t="s">
        <v>195</v>
      </c>
      <c r="L14" s="14" t="s">
        <v>166</v>
      </c>
      <c r="M14" s="16"/>
      <c r="O14" s="15"/>
      <c r="P14" s="15" t="s">
        <v>516</v>
      </c>
      <c r="Q14" s="16">
        <f t="shared" si="0"/>
        <v>66.80556</v>
      </c>
      <c r="R14" s="16">
        <f t="shared" si="1"/>
        <v>48.376440000000002</v>
      </c>
      <c r="S14" s="79"/>
      <c r="T14" s="79"/>
      <c r="U14" s="79"/>
    </row>
    <row r="15" spans="1:21" s="11" customFormat="1" ht="34.5" x14ac:dyDescent="0.35">
      <c r="A15" s="9" t="s">
        <v>108</v>
      </c>
      <c r="B15" s="8" t="s">
        <v>87</v>
      </c>
      <c r="C15" s="44" t="s">
        <v>380</v>
      </c>
      <c r="D15" s="10">
        <v>99.33</v>
      </c>
      <c r="E15" s="9" t="s">
        <v>80</v>
      </c>
      <c r="F15" s="9" t="s">
        <v>728</v>
      </c>
      <c r="G15" s="23">
        <v>0.52</v>
      </c>
      <c r="H15" s="23">
        <v>0.48</v>
      </c>
      <c r="I15" s="7" t="s">
        <v>179</v>
      </c>
      <c r="J15" s="7" t="s">
        <v>177</v>
      </c>
      <c r="K15" s="9" t="s">
        <v>195</v>
      </c>
      <c r="L15" s="14" t="s">
        <v>546</v>
      </c>
      <c r="M15" s="16"/>
      <c r="O15" s="15"/>
      <c r="P15" s="15" t="s">
        <v>516</v>
      </c>
      <c r="Q15" s="16">
        <f t="shared" si="0"/>
        <v>51.651600000000002</v>
      </c>
      <c r="R15" s="16">
        <f t="shared" si="1"/>
        <v>47.678399999999996</v>
      </c>
      <c r="S15" s="79"/>
      <c r="T15" s="79"/>
      <c r="U15" s="79"/>
    </row>
    <row r="16" spans="1:21" s="11" customFormat="1" ht="28" x14ac:dyDescent="0.35">
      <c r="A16" s="9" t="s">
        <v>109</v>
      </c>
      <c r="B16" s="8" t="s">
        <v>88</v>
      </c>
      <c r="C16" s="44" t="s">
        <v>380</v>
      </c>
      <c r="D16" s="10">
        <v>65.567999999999998</v>
      </c>
      <c r="E16" s="9" t="s">
        <v>80</v>
      </c>
      <c r="F16" s="9" t="s">
        <v>728</v>
      </c>
      <c r="G16" s="23">
        <v>1</v>
      </c>
      <c r="H16" s="23">
        <v>0</v>
      </c>
      <c r="I16" s="7" t="s">
        <v>179</v>
      </c>
      <c r="J16" s="7" t="s">
        <v>177</v>
      </c>
      <c r="K16" s="9" t="s">
        <v>195</v>
      </c>
      <c r="L16" s="14" t="s">
        <v>160</v>
      </c>
      <c r="M16" s="16"/>
      <c r="O16" s="15"/>
      <c r="P16" s="15" t="s">
        <v>516</v>
      </c>
      <c r="Q16" s="16">
        <f t="shared" si="0"/>
        <v>65.567999999999998</v>
      </c>
      <c r="R16" s="16">
        <f t="shared" si="1"/>
        <v>0</v>
      </c>
      <c r="S16" s="79"/>
      <c r="T16" s="79"/>
      <c r="U16" s="79"/>
    </row>
    <row r="17" spans="1:21" s="11" customFormat="1" ht="28" x14ac:dyDescent="0.35">
      <c r="A17" s="9" t="s">
        <v>110</v>
      </c>
      <c r="B17" s="8" t="s">
        <v>89</v>
      </c>
      <c r="C17" s="44" t="s">
        <v>381</v>
      </c>
      <c r="D17" s="10">
        <v>47.939</v>
      </c>
      <c r="E17" s="9" t="s">
        <v>80</v>
      </c>
      <c r="F17" s="9" t="s">
        <v>728</v>
      </c>
      <c r="G17" s="23">
        <v>0.46</v>
      </c>
      <c r="H17" s="23">
        <v>0.54</v>
      </c>
      <c r="I17" s="7" t="s">
        <v>179</v>
      </c>
      <c r="J17" s="7" t="s">
        <v>177</v>
      </c>
      <c r="K17" s="9" t="s">
        <v>195</v>
      </c>
      <c r="L17" s="14" t="s">
        <v>167</v>
      </c>
      <c r="M17" s="16"/>
      <c r="O17" s="15"/>
      <c r="P17" s="15" t="s">
        <v>516</v>
      </c>
      <c r="Q17" s="16">
        <f t="shared" si="0"/>
        <v>22.051940000000002</v>
      </c>
      <c r="R17" s="16">
        <f t="shared" si="1"/>
        <v>25.887060000000002</v>
      </c>
      <c r="S17" s="79"/>
      <c r="T17" s="79"/>
      <c r="U17" s="79"/>
    </row>
    <row r="18" spans="1:21" s="11" customFormat="1" ht="34.5" x14ac:dyDescent="0.35">
      <c r="A18" s="9" t="s">
        <v>111</v>
      </c>
      <c r="B18" s="8" t="s">
        <v>90</v>
      </c>
      <c r="C18" s="44" t="s">
        <v>381</v>
      </c>
      <c r="D18" s="10">
        <f>(1436.76+511.57)/1000</f>
        <v>1.9483299999999999</v>
      </c>
      <c r="E18" s="9" t="s">
        <v>80</v>
      </c>
      <c r="F18" s="9" t="s">
        <v>728</v>
      </c>
      <c r="G18" s="23">
        <v>0.43</v>
      </c>
      <c r="H18" s="23">
        <v>0.56999999999999995</v>
      </c>
      <c r="I18" s="7">
        <v>40848</v>
      </c>
      <c r="J18" s="7" t="s">
        <v>177</v>
      </c>
      <c r="K18" s="9" t="s">
        <v>195</v>
      </c>
      <c r="L18" s="14" t="s">
        <v>168</v>
      </c>
      <c r="M18" s="16"/>
      <c r="O18" s="15"/>
      <c r="P18" s="15" t="s">
        <v>516</v>
      </c>
      <c r="Q18" s="16">
        <f t="shared" si="0"/>
        <v>0.83778189999999997</v>
      </c>
      <c r="R18" s="16">
        <f t="shared" si="1"/>
        <v>1.1105480999999999</v>
      </c>
      <c r="S18" s="6"/>
      <c r="T18" s="6"/>
      <c r="U18" s="6"/>
    </row>
    <row r="19" spans="1:21" s="11" customFormat="1" ht="46" x14ac:dyDescent="0.35">
      <c r="A19" s="9" t="s">
        <v>112</v>
      </c>
      <c r="B19" s="8" t="s">
        <v>91</v>
      </c>
      <c r="C19" s="44" t="s">
        <v>380</v>
      </c>
      <c r="D19" s="10">
        <v>3674.52</v>
      </c>
      <c r="E19" s="9" t="s">
        <v>80</v>
      </c>
      <c r="F19" s="9" t="s">
        <v>728</v>
      </c>
      <c r="G19" s="23">
        <v>0.06</v>
      </c>
      <c r="H19" s="23">
        <v>0.94</v>
      </c>
      <c r="I19" s="7" t="s">
        <v>179</v>
      </c>
      <c r="J19" s="7">
        <v>40878</v>
      </c>
      <c r="K19" s="9" t="s">
        <v>195</v>
      </c>
      <c r="L19" s="14" t="s">
        <v>169</v>
      </c>
      <c r="M19" s="16"/>
      <c r="O19" s="15"/>
      <c r="P19" s="15" t="s">
        <v>516</v>
      </c>
      <c r="Q19" s="16">
        <f t="shared" si="0"/>
        <v>220.47119999999998</v>
      </c>
      <c r="R19" s="16">
        <f t="shared" si="1"/>
        <v>3454.0487999999996</v>
      </c>
      <c r="S19" s="79"/>
      <c r="T19" s="79"/>
      <c r="U19" s="79"/>
    </row>
    <row r="20" spans="1:21" s="11" customFormat="1" ht="23" x14ac:dyDescent="0.35">
      <c r="A20" s="9" t="s">
        <v>113</v>
      </c>
      <c r="B20" s="8" t="s">
        <v>92</v>
      </c>
      <c r="C20" s="44" t="s">
        <v>382</v>
      </c>
      <c r="D20" s="10">
        <v>8456</v>
      </c>
      <c r="E20" s="9" t="s">
        <v>79</v>
      </c>
      <c r="F20" s="9" t="s">
        <v>83</v>
      </c>
      <c r="G20" s="23">
        <v>0.76</v>
      </c>
      <c r="H20" s="23">
        <v>0.24</v>
      </c>
      <c r="I20" s="7">
        <v>41395</v>
      </c>
      <c r="J20" s="7">
        <v>42186</v>
      </c>
      <c r="K20" s="19" t="s">
        <v>195</v>
      </c>
      <c r="L20" s="14" t="s">
        <v>413</v>
      </c>
      <c r="M20" s="16"/>
      <c r="O20" s="15"/>
      <c r="P20" s="15" t="s">
        <v>516</v>
      </c>
      <c r="Q20" s="16">
        <f t="shared" si="0"/>
        <v>6426.56</v>
      </c>
      <c r="R20" s="16">
        <f t="shared" si="1"/>
        <v>2029.4399999999998</v>
      </c>
      <c r="S20" s="79"/>
      <c r="T20" s="79"/>
      <c r="U20" s="79"/>
    </row>
    <row r="21" spans="1:21" s="11" customFormat="1" ht="27" customHeight="1" x14ac:dyDescent="0.35">
      <c r="A21" s="9" t="s">
        <v>115</v>
      </c>
      <c r="B21" s="8" t="s">
        <v>93</v>
      </c>
      <c r="C21" s="44" t="s">
        <v>381</v>
      </c>
      <c r="D21" s="10">
        <v>276.31599999999997</v>
      </c>
      <c r="E21" s="9" t="s">
        <v>81</v>
      </c>
      <c r="F21" s="9" t="s">
        <v>82</v>
      </c>
      <c r="G21" s="23">
        <v>1</v>
      </c>
      <c r="H21" s="23">
        <v>0</v>
      </c>
      <c r="I21" s="7">
        <v>41091</v>
      </c>
      <c r="J21" s="7">
        <v>41334</v>
      </c>
      <c r="K21" s="9" t="s">
        <v>195</v>
      </c>
      <c r="L21" s="14" t="s">
        <v>352</v>
      </c>
      <c r="M21" s="16"/>
      <c r="O21" s="15"/>
      <c r="P21" s="15" t="s">
        <v>516</v>
      </c>
      <c r="Q21" s="16">
        <f t="shared" si="0"/>
        <v>276.31599999999997</v>
      </c>
      <c r="R21" s="16">
        <f t="shared" si="1"/>
        <v>0</v>
      </c>
      <c r="S21" s="79"/>
      <c r="T21" s="79"/>
      <c r="U21" s="79"/>
    </row>
    <row r="22" spans="1:21" s="11" customFormat="1" ht="24.75" customHeight="1" x14ac:dyDescent="0.35">
      <c r="A22" s="9" t="s">
        <v>115</v>
      </c>
      <c r="B22" s="8" t="s">
        <v>93</v>
      </c>
      <c r="C22" s="44" t="s">
        <v>382</v>
      </c>
      <c r="D22" s="10">
        <v>1184</v>
      </c>
      <c r="E22" s="9" t="s">
        <v>81</v>
      </c>
      <c r="F22" s="9" t="s">
        <v>82</v>
      </c>
      <c r="G22" s="23">
        <v>0.83</v>
      </c>
      <c r="H22" s="23">
        <v>0.17</v>
      </c>
      <c r="I22" s="7">
        <v>41244</v>
      </c>
      <c r="J22" s="7">
        <v>41609</v>
      </c>
      <c r="K22" s="9" t="s">
        <v>195</v>
      </c>
      <c r="L22" s="14" t="s">
        <v>0</v>
      </c>
      <c r="M22" s="16"/>
      <c r="O22" s="15"/>
      <c r="P22" s="15" t="s">
        <v>516</v>
      </c>
      <c r="Q22" s="16">
        <f t="shared" si="0"/>
        <v>982.71999999999991</v>
      </c>
      <c r="R22" s="16">
        <f t="shared" si="1"/>
        <v>201.28</v>
      </c>
      <c r="S22" s="79"/>
      <c r="T22" s="79"/>
      <c r="U22" s="79"/>
    </row>
    <row r="23" spans="1:21" s="11" customFormat="1" ht="28" x14ac:dyDescent="0.35">
      <c r="A23" s="9" t="s">
        <v>116</v>
      </c>
      <c r="B23" s="8" t="s">
        <v>232</v>
      </c>
      <c r="C23" s="44" t="s">
        <v>382</v>
      </c>
      <c r="D23" s="10">
        <v>372.68591960854684</v>
      </c>
      <c r="E23" s="9" t="s">
        <v>80</v>
      </c>
      <c r="F23" s="9" t="s">
        <v>728</v>
      </c>
      <c r="G23" s="23">
        <v>1</v>
      </c>
      <c r="H23" s="23">
        <v>0</v>
      </c>
      <c r="I23" s="7">
        <v>41214</v>
      </c>
      <c r="J23" s="7">
        <v>41306</v>
      </c>
      <c r="K23" s="9" t="s">
        <v>195</v>
      </c>
      <c r="L23" s="14" t="s">
        <v>284</v>
      </c>
      <c r="M23" s="16"/>
      <c r="O23" s="15"/>
      <c r="P23" s="15" t="s">
        <v>516</v>
      </c>
      <c r="Q23" s="16">
        <f t="shared" si="0"/>
        <v>372.68591960854684</v>
      </c>
      <c r="R23" s="16">
        <f t="shared" si="1"/>
        <v>0</v>
      </c>
      <c r="S23" s="79"/>
      <c r="T23" s="79"/>
      <c r="U23" s="79"/>
    </row>
    <row r="24" spans="1:21" s="11" customFormat="1" ht="28" x14ac:dyDescent="0.35">
      <c r="A24" s="9" t="s">
        <v>116</v>
      </c>
      <c r="B24" s="8" t="s">
        <v>233</v>
      </c>
      <c r="C24" s="44" t="s">
        <v>382</v>
      </c>
      <c r="D24" s="10">
        <v>113.09599491417673</v>
      </c>
      <c r="E24" s="9" t="s">
        <v>170</v>
      </c>
      <c r="F24" s="9" t="s">
        <v>728</v>
      </c>
      <c r="G24" s="23">
        <v>1</v>
      </c>
      <c r="H24" s="23">
        <v>0</v>
      </c>
      <c r="I24" s="7">
        <v>41000</v>
      </c>
      <c r="J24" s="7">
        <v>41030</v>
      </c>
      <c r="K24" s="9" t="s">
        <v>195</v>
      </c>
      <c r="L24" s="14" t="s">
        <v>283</v>
      </c>
      <c r="M24" s="16"/>
      <c r="O24" s="15"/>
      <c r="P24" s="15" t="s">
        <v>516</v>
      </c>
      <c r="Q24" s="16">
        <f t="shared" si="0"/>
        <v>113.09599491417673</v>
      </c>
      <c r="R24" s="16">
        <f t="shared" si="1"/>
        <v>0</v>
      </c>
      <c r="S24" s="79"/>
      <c r="T24" s="79"/>
      <c r="U24" s="79"/>
    </row>
    <row r="25" spans="1:21" s="11" customFormat="1" ht="28" x14ac:dyDescent="0.35">
      <c r="A25" s="9" t="s">
        <v>116</v>
      </c>
      <c r="B25" s="8" t="s">
        <v>225</v>
      </c>
      <c r="C25" s="44" t="s">
        <v>382</v>
      </c>
      <c r="D25" s="98">
        <v>175.46090273363004</v>
      </c>
      <c r="E25" s="9" t="s">
        <v>170</v>
      </c>
      <c r="F25" s="9" t="s">
        <v>728</v>
      </c>
      <c r="G25" s="23">
        <v>1</v>
      </c>
      <c r="H25" s="23">
        <v>0</v>
      </c>
      <c r="I25" s="7">
        <v>41244</v>
      </c>
      <c r="J25" s="7">
        <v>41334</v>
      </c>
      <c r="K25" s="9" t="s">
        <v>195</v>
      </c>
      <c r="L25" s="14" t="s">
        <v>284</v>
      </c>
      <c r="M25" s="16"/>
      <c r="O25" s="15"/>
      <c r="P25" s="15" t="s">
        <v>516</v>
      </c>
      <c r="Q25" s="16">
        <f t="shared" si="0"/>
        <v>175.46090273363004</v>
      </c>
      <c r="R25" s="16">
        <f t="shared" si="1"/>
        <v>0</v>
      </c>
      <c r="S25" s="79"/>
      <c r="T25" s="79"/>
      <c r="U25" s="79"/>
    </row>
    <row r="26" spans="1:21" s="11" customFormat="1" ht="28" x14ac:dyDescent="0.35">
      <c r="A26" s="9" t="s">
        <v>117</v>
      </c>
      <c r="B26" s="8" t="s">
        <v>226</v>
      </c>
      <c r="C26" s="44" t="s">
        <v>382</v>
      </c>
      <c r="D26" s="10">
        <v>110.48951048951049</v>
      </c>
      <c r="E26" s="9" t="s">
        <v>80</v>
      </c>
      <c r="F26" s="9" t="s">
        <v>728</v>
      </c>
      <c r="G26" s="23">
        <v>1</v>
      </c>
      <c r="H26" s="23">
        <v>0</v>
      </c>
      <c r="I26" s="7">
        <v>41000</v>
      </c>
      <c r="J26" s="7">
        <v>41091</v>
      </c>
      <c r="K26" s="9" t="s">
        <v>195</v>
      </c>
      <c r="L26" s="14" t="s">
        <v>284</v>
      </c>
      <c r="M26" s="16"/>
      <c r="O26" s="15"/>
      <c r="P26" s="15" t="s">
        <v>516</v>
      </c>
      <c r="Q26" s="16">
        <f t="shared" si="0"/>
        <v>110.48951048951049</v>
      </c>
      <c r="R26" s="16">
        <f t="shared" si="1"/>
        <v>0</v>
      </c>
      <c r="S26" s="79"/>
      <c r="T26" s="79"/>
      <c r="U26" s="79"/>
    </row>
    <row r="27" spans="1:21" s="11" customFormat="1" ht="28" x14ac:dyDescent="0.35">
      <c r="A27" s="9" t="s">
        <v>257</v>
      </c>
      <c r="B27" s="8" t="s">
        <v>94</v>
      </c>
      <c r="C27" s="44" t="s">
        <v>382</v>
      </c>
      <c r="D27" s="10">
        <f>34.856/1.85</f>
        <v>18.841081081081082</v>
      </c>
      <c r="E27" s="9" t="s">
        <v>80</v>
      </c>
      <c r="F27" s="9" t="s">
        <v>728</v>
      </c>
      <c r="G27" s="23">
        <v>0</v>
      </c>
      <c r="H27" s="23">
        <v>1</v>
      </c>
      <c r="I27" s="7">
        <v>40695</v>
      </c>
      <c r="J27" s="7">
        <v>40756</v>
      </c>
      <c r="K27" s="9" t="s">
        <v>195</v>
      </c>
      <c r="L27" s="14" t="s">
        <v>161</v>
      </c>
      <c r="M27" s="16"/>
      <c r="O27" s="15"/>
      <c r="P27" s="15" t="s">
        <v>516</v>
      </c>
      <c r="Q27" s="16">
        <f t="shared" si="0"/>
        <v>0</v>
      </c>
      <c r="R27" s="16">
        <f t="shared" si="1"/>
        <v>18.841081081081082</v>
      </c>
      <c r="S27" s="79"/>
      <c r="T27" s="79"/>
      <c r="U27" s="79"/>
    </row>
    <row r="28" spans="1:21" s="11" customFormat="1" ht="28" x14ac:dyDescent="0.35">
      <c r="A28" s="9" t="s">
        <v>118</v>
      </c>
      <c r="B28" s="8" t="s">
        <v>234</v>
      </c>
      <c r="C28" s="44" t="s">
        <v>382</v>
      </c>
      <c r="D28" s="10">
        <f>21.24/1.75</f>
        <v>12.137142857142857</v>
      </c>
      <c r="E28" s="9" t="s">
        <v>80</v>
      </c>
      <c r="F28" s="9" t="s">
        <v>728</v>
      </c>
      <c r="G28" s="23">
        <v>0</v>
      </c>
      <c r="H28" s="23">
        <v>1</v>
      </c>
      <c r="I28" s="7">
        <v>41091</v>
      </c>
      <c r="J28" s="7" t="s">
        <v>180</v>
      </c>
      <c r="K28" s="9" t="s">
        <v>195</v>
      </c>
      <c r="L28" s="14" t="s">
        <v>162</v>
      </c>
      <c r="M28" s="16"/>
      <c r="O28" s="15"/>
      <c r="P28" s="15" t="s">
        <v>516</v>
      </c>
      <c r="Q28" s="16">
        <f t="shared" si="0"/>
        <v>0</v>
      </c>
      <c r="R28" s="16">
        <f t="shared" si="1"/>
        <v>12.137142857142857</v>
      </c>
      <c r="S28" s="79"/>
      <c r="T28" s="79"/>
      <c r="U28" s="79"/>
    </row>
    <row r="29" spans="1:21" s="11" customFormat="1" ht="28" x14ac:dyDescent="0.35">
      <c r="A29" s="9" t="s">
        <v>118</v>
      </c>
      <c r="B29" s="8" t="s">
        <v>3</v>
      </c>
      <c r="C29" s="44" t="s">
        <v>382</v>
      </c>
      <c r="D29" s="98">
        <v>18.491</v>
      </c>
      <c r="E29" s="9" t="s">
        <v>80</v>
      </c>
      <c r="F29" s="9" t="s">
        <v>728</v>
      </c>
      <c r="G29" s="23">
        <v>0</v>
      </c>
      <c r="H29" s="23">
        <v>1</v>
      </c>
      <c r="I29" s="7">
        <v>41487</v>
      </c>
      <c r="J29" s="7">
        <v>41579</v>
      </c>
      <c r="K29" s="19" t="s">
        <v>195</v>
      </c>
      <c r="L29" s="14" t="s">
        <v>321</v>
      </c>
      <c r="M29" s="16"/>
      <c r="O29" s="15"/>
      <c r="P29" s="15" t="s">
        <v>516</v>
      </c>
      <c r="Q29" s="16">
        <f t="shared" si="0"/>
        <v>0</v>
      </c>
      <c r="R29" s="16">
        <f t="shared" si="1"/>
        <v>18.491</v>
      </c>
      <c r="S29" s="79"/>
      <c r="T29" s="79"/>
      <c r="U29" s="79"/>
    </row>
    <row r="30" spans="1:21" s="11" customFormat="1" ht="28" x14ac:dyDescent="0.35">
      <c r="A30" s="9" t="s">
        <v>118</v>
      </c>
      <c r="B30" s="8" t="s">
        <v>235</v>
      </c>
      <c r="C30" s="44" t="s">
        <v>382</v>
      </c>
      <c r="D30" s="98">
        <f>69.45/1.75</f>
        <v>39.68571428571429</v>
      </c>
      <c r="E30" s="9" t="s">
        <v>80</v>
      </c>
      <c r="F30" s="9" t="s">
        <v>728</v>
      </c>
      <c r="G30" s="23">
        <v>0</v>
      </c>
      <c r="H30" s="23">
        <v>1</v>
      </c>
      <c r="I30" s="7">
        <v>41091</v>
      </c>
      <c r="J30" s="7" t="s">
        <v>180</v>
      </c>
      <c r="K30" s="19" t="s">
        <v>195</v>
      </c>
      <c r="L30" s="14" t="s">
        <v>162</v>
      </c>
      <c r="M30" s="16"/>
      <c r="O30" s="15"/>
      <c r="P30" s="15" t="s">
        <v>516</v>
      </c>
      <c r="Q30" s="16">
        <f t="shared" si="0"/>
        <v>0</v>
      </c>
      <c r="R30" s="16">
        <f t="shared" si="1"/>
        <v>39.68571428571429</v>
      </c>
      <c r="S30" s="79"/>
      <c r="T30" s="79"/>
      <c r="U30" s="79"/>
    </row>
    <row r="31" spans="1:21" s="11" customFormat="1" ht="28" x14ac:dyDescent="0.35">
      <c r="A31" s="9" t="s">
        <v>118</v>
      </c>
      <c r="B31" s="8" t="s">
        <v>4</v>
      </c>
      <c r="C31" s="44" t="s">
        <v>382</v>
      </c>
      <c r="D31" s="98">
        <v>56.72</v>
      </c>
      <c r="E31" s="9" t="s">
        <v>80</v>
      </c>
      <c r="F31" s="9" t="s">
        <v>728</v>
      </c>
      <c r="G31" s="23">
        <v>0</v>
      </c>
      <c r="H31" s="23">
        <v>1</v>
      </c>
      <c r="I31" s="7">
        <v>41487</v>
      </c>
      <c r="J31" s="7">
        <v>41609</v>
      </c>
      <c r="K31" s="19" t="s">
        <v>195</v>
      </c>
      <c r="L31" s="14" t="s">
        <v>322</v>
      </c>
      <c r="M31" s="16"/>
      <c r="O31" s="15"/>
      <c r="P31" s="15" t="s">
        <v>516</v>
      </c>
      <c r="Q31" s="16">
        <f t="shared" si="0"/>
        <v>0</v>
      </c>
      <c r="R31" s="16">
        <f t="shared" si="1"/>
        <v>56.72</v>
      </c>
      <c r="S31" s="79"/>
      <c r="T31" s="79"/>
      <c r="U31" s="79"/>
    </row>
    <row r="32" spans="1:21" s="11" customFormat="1" ht="28" x14ac:dyDescent="0.35">
      <c r="A32" s="9" t="s">
        <v>118</v>
      </c>
      <c r="B32" s="8" t="s">
        <v>32</v>
      </c>
      <c r="C32" s="44" t="s">
        <v>382</v>
      </c>
      <c r="D32" s="98">
        <v>45.46</v>
      </c>
      <c r="E32" s="9" t="s">
        <v>80</v>
      </c>
      <c r="F32" s="9" t="s">
        <v>728</v>
      </c>
      <c r="G32" s="23">
        <v>0</v>
      </c>
      <c r="H32" s="23">
        <v>1</v>
      </c>
      <c r="I32" s="7">
        <v>41456</v>
      </c>
      <c r="J32" s="7">
        <v>41609</v>
      </c>
      <c r="K32" s="19" t="s">
        <v>195</v>
      </c>
      <c r="L32" s="14" t="s">
        <v>323</v>
      </c>
      <c r="M32" s="16"/>
      <c r="O32" s="15"/>
      <c r="P32" s="15" t="s">
        <v>516</v>
      </c>
      <c r="Q32" s="16">
        <f t="shared" si="0"/>
        <v>0</v>
      </c>
      <c r="R32" s="16">
        <f t="shared" si="1"/>
        <v>45.46</v>
      </c>
      <c r="S32" s="79"/>
      <c r="T32" s="79"/>
      <c r="U32" s="79"/>
    </row>
    <row r="33" spans="1:21" s="11" customFormat="1" ht="34.5" x14ac:dyDescent="0.35">
      <c r="A33" s="9" t="s">
        <v>119</v>
      </c>
      <c r="B33" s="8" t="s">
        <v>95</v>
      </c>
      <c r="C33" s="44" t="s">
        <v>381</v>
      </c>
      <c r="D33" s="10">
        <f>10.57/1.85</f>
        <v>5.7135135135135133</v>
      </c>
      <c r="E33" s="9" t="s">
        <v>80</v>
      </c>
      <c r="F33" s="9" t="s">
        <v>728</v>
      </c>
      <c r="G33" s="23">
        <v>1</v>
      </c>
      <c r="H33" s="23">
        <v>0</v>
      </c>
      <c r="I33" s="7">
        <v>40695</v>
      </c>
      <c r="J33" s="7">
        <v>40878</v>
      </c>
      <c r="K33" s="9" t="s">
        <v>195</v>
      </c>
      <c r="L33" s="14" t="s">
        <v>163</v>
      </c>
      <c r="M33" s="16"/>
      <c r="O33" s="15"/>
      <c r="P33" s="15" t="s">
        <v>516</v>
      </c>
      <c r="Q33" s="16">
        <f t="shared" si="0"/>
        <v>5.7135135135135133</v>
      </c>
      <c r="R33" s="16">
        <f t="shared" si="1"/>
        <v>0</v>
      </c>
      <c r="S33" s="79"/>
      <c r="T33" s="79"/>
      <c r="U33" s="79"/>
    </row>
    <row r="34" spans="1:21" s="11" customFormat="1" ht="28" x14ac:dyDescent="0.35">
      <c r="A34" s="9" t="s">
        <v>120</v>
      </c>
      <c r="B34" s="8" t="s">
        <v>176</v>
      </c>
      <c r="C34" s="44" t="s">
        <v>383</v>
      </c>
      <c r="D34" s="10">
        <v>4749.21</v>
      </c>
      <c r="E34" s="9" t="s">
        <v>256</v>
      </c>
      <c r="F34" s="9" t="s">
        <v>83</v>
      </c>
      <c r="G34" s="23">
        <v>1</v>
      </c>
      <c r="H34" s="23">
        <v>0</v>
      </c>
      <c r="I34" s="7">
        <v>40542</v>
      </c>
      <c r="J34" s="7">
        <v>41779</v>
      </c>
      <c r="K34" s="9" t="s">
        <v>195</v>
      </c>
      <c r="L34" s="14" t="s">
        <v>391</v>
      </c>
      <c r="M34" s="17"/>
      <c r="O34" s="15"/>
      <c r="P34" s="15" t="s">
        <v>517</v>
      </c>
      <c r="Q34" s="16">
        <f t="shared" si="0"/>
        <v>4749.21</v>
      </c>
      <c r="R34" s="16">
        <f t="shared" si="1"/>
        <v>0</v>
      </c>
      <c r="S34" s="79"/>
      <c r="T34" s="79"/>
      <c r="U34" s="79"/>
    </row>
    <row r="35" spans="1:21" s="11" customFormat="1" ht="28" x14ac:dyDescent="0.35">
      <c r="A35" s="9" t="s">
        <v>174</v>
      </c>
      <c r="B35" s="8" t="s">
        <v>442</v>
      </c>
      <c r="C35" s="44" t="s">
        <v>383</v>
      </c>
      <c r="D35" s="10">
        <v>1363.27</v>
      </c>
      <c r="E35" s="9" t="s">
        <v>256</v>
      </c>
      <c r="F35" s="9" t="s">
        <v>83</v>
      </c>
      <c r="G35" s="23">
        <v>1</v>
      </c>
      <c r="H35" s="23">
        <v>0</v>
      </c>
      <c r="I35" s="7">
        <v>40542</v>
      </c>
      <c r="J35" s="7">
        <v>41019</v>
      </c>
      <c r="K35" s="9" t="s">
        <v>195</v>
      </c>
      <c r="L35" s="14" t="s">
        <v>392</v>
      </c>
      <c r="M35" s="17"/>
      <c r="O35" s="15"/>
      <c r="P35" s="15" t="s">
        <v>517</v>
      </c>
      <c r="Q35" s="16">
        <f t="shared" si="0"/>
        <v>1363.27</v>
      </c>
      <c r="R35" s="16">
        <f t="shared" si="1"/>
        <v>0</v>
      </c>
      <c r="S35" s="79"/>
      <c r="T35" s="79"/>
      <c r="U35" s="79"/>
    </row>
    <row r="36" spans="1:21" s="11" customFormat="1" ht="28" x14ac:dyDescent="0.35">
      <c r="A36" s="9" t="s">
        <v>175</v>
      </c>
      <c r="B36" s="8" t="s">
        <v>443</v>
      </c>
      <c r="C36" s="44" t="s">
        <v>383</v>
      </c>
      <c r="D36" s="10">
        <v>298</v>
      </c>
      <c r="E36" s="9" t="s">
        <v>256</v>
      </c>
      <c r="F36" s="9" t="s">
        <v>83</v>
      </c>
      <c r="G36" s="23">
        <v>1</v>
      </c>
      <c r="H36" s="23">
        <v>0</v>
      </c>
      <c r="I36" s="7">
        <v>40827</v>
      </c>
      <c r="J36" s="7">
        <v>41779</v>
      </c>
      <c r="K36" s="9" t="s">
        <v>195</v>
      </c>
      <c r="L36" s="14" t="s">
        <v>393</v>
      </c>
      <c r="M36" s="17"/>
      <c r="O36" s="15"/>
      <c r="P36" s="15" t="s">
        <v>517</v>
      </c>
      <c r="Q36" s="16">
        <f t="shared" si="0"/>
        <v>298</v>
      </c>
      <c r="R36" s="16">
        <f t="shared" si="1"/>
        <v>0</v>
      </c>
      <c r="S36" s="79"/>
      <c r="T36" s="79"/>
      <c r="U36" s="79"/>
    </row>
    <row r="37" spans="1:21" s="11" customFormat="1" ht="28" x14ac:dyDescent="0.35">
      <c r="A37" s="9" t="s">
        <v>214</v>
      </c>
      <c r="B37" s="8" t="s">
        <v>205</v>
      </c>
      <c r="C37" s="44" t="s">
        <v>380</v>
      </c>
      <c r="D37" s="10">
        <v>146.178</v>
      </c>
      <c r="E37" s="9" t="s">
        <v>80</v>
      </c>
      <c r="F37" s="9" t="s">
        <v>728</v>
      </c>
      <c r="G37" s="23">
        <v>0.12</v>
      </c>
      <c r="H37" s="23">
        <v>0.88</v>
      </c>
      <c r="I37" s="7">
        <v>41122</v>
      </c>
      <c r="J37" s="7">
        <v>41244</v>
      </c>
      <c r="K37" s="9" t="s">
        <v>195</v>
      </c>
      <c r="L37" s="14" t="s">
        <v>19</v>
      </c>
      <c r="M37" s="16"/>
      <c r="O37" s="15"/>
      <c r="P37" s="15" t="s">
        <v>516</v>
      </c>
      <c r="Q37" s="16">
        <f t="shared" si="0"/>
        <v>17.541359999999997</v>
      </c>
      <c r="R37" s="16">
        <f t="shared" si="1"/>
        <v>128.63664</v>
      </c>
      <c r="S37" s="79"/>
      <c r="T37" s="79"/>
      <c r="U37" s="79"/>
    </row>
    <row r="38" spans="1:21" s="11" customFormat="1" ht="34.5" x14ac:dyDescent="0.35">
      <c r="A38" s="9" t="s">
        <v>215</v>
      </c>
      <c r="B38" s="8" t="s">
        <v>206</v>
      </c>
      <c r="C38" s="44" t="s">
        <v>380</v>
      </c>
      <c r="D38" s="10">
        <f>63.78/1.75</f>
        <v>36.445714285714288</v>
      </c>
      <c r="E38" s="9" t="s">
        <v>80</v>
      </c>
      <c r="F38" s="9" t="s">
        <v>728</v>
      </c>
      <c r="G38" s="23">
        <v>0</v>
      </c>
      <c r="H38" s="23">
        <v>1</v>
      </c>
      <c r="I38" s="7">
        <v>41065</v>
      </c>
      <c r="J38" s="7">
        <v>41244</v>
      </c>
      <c r="K38" s="9" t="s">
        <v>195</v>
      </c>
      <c r="L38" s="14" t="s">
        <v>285</v>
      </c>
      <c r="M38" s="16"/>
      <c r="O38" s="15"/>
      <c r="P38" s="15" t="s">
        <v>516</v>
      </c>
      <c r="Q38" s="16">
        <f t="shared" si="0"/>
        <v>0</v>
      </c>
      <c r="R38" s="16">
        <f t="shared" si="1"/>
        <v>36.445714285714288</v>
      </c>
      <c r="S38" s="79"/>
      <c r="T38" s="79"/>
      <c r="U38" s="79"/>
    </row>
    <row r="39" spans="1:21" s="11" customFormat="1" ht="34.5" x14ac:dyDescent="0.35">
      <c r="A39" s="9" t="s">
        <v>215</v>
      </c>
      <c r="B39" s="8" t="s">
        <v>1</v>
      </c>
      <c r="C39" s="44" t="s">
        <v>381</v>
      </c>
      <c r="D39" s="98">
        <f>10.819/2.285</f>
        <v>4.734792122538293</v>
      </c>
      <c r="E39" s="9" t="s">
        <v>80</v>
      </c>
      <c r="F39" s="9" t="s">
        <v>728</v>
      </c>
      <c r="G39" s="23">
        <v>0.51</v>
      </c>
      <c r="H39" s="23">
        <v>0.49</v>
      </c>
      <c r="I39" s="7">
        <v>41518</v>
      </c>
      <c r="J39" s="7">
        <v>41609</v>
      </c>
      <c r="K39" s="19" t="s">
        <v>195</v>
      </c>
      <c r="L39" s="14" t="s">
        <v>325</v>
      </c>
      <c r="M39" s="16"/>
      <c r="O39" s="15"/>
      <c r="P39" s="15" t="s">
        <v>516</v>
      </c>
      <c r="Q39" s="16">
        <f t="shared" si="0"/>
        <v>2.4147439824945294</v>
      </c>
      <c r="R39" s="16">
        <f t="shared" si="1"/>
        <v>2.3200481400437636</v>
      </c>
      <c r="S39" s="79"/>
      <c r="T39" s="79"/>
      <c r="U39" s="79"/>
    </row>
    <row r="40" spans="1:21" s="11" customFormat="1" ht="34.5" x14ac:dyDescent="0.35">
      <c r="A40" s="9" t="s">
        <v>216</v>
      </c>
      <c r="B40" s="8" t="s">
        <v>207</v>
      </c>
      <c r="C40" s="44" t="s">
        <v>380</v>
      </c>
      <c r="D40" s="10">
        <f>181.45+0.2</f>
        <v>181.64999999999998</v>
      </c>
      <c r="E40" s="9" t="s">
        <v>80</v>
      </c>
      <c r="F40" s="9" t="s">
        <v>728</v>
      </c>
      <c r="G40" s="23">
        <v>0.64</v>
      </c>
      <c r="H40" s="23">
        <v>0.36</v>
      </c>
      <c r="I40" s="7">
        <v>41091</v>
      </c>
      <c r="J40" s="7">
        <v>41244</v>
      </c>
      <c r="K40" s="9" t="s">
        <v>195</v>
      </c>
      <c r="L40" s="14" t="s">
        <v>286</v>
      </c>
      <c r="M40" s="16"/>
      <c r="O40" s="15"/>
      <c r="P40" s="15" t="s">
        <v>516</v>
      </c>
      <c r="Q40" s="16">
        <f t="shared" si="0"/>
        <v>116.25599999999999</v>
      </c>
      <c r="R40" s="16">
        <f t="shared" si="1"/>
        <v>65.393999999999991</v>
      </c>
      <c r="S40" s="79"/>
      <c r="T40" s="79"/>
      <c r="U40" s="79"/>
    </row>
    <row r="41" spans="1:21" s="11" customFormat="1" ht="28" x14ac:dyDescent="0.35">
      <c r="A41" s="9" t="s">
        <v>217</v>
      </c>
      <c r="B41" s="8" t="s">
        <v>208</v>
      </c>
      <c r="C41" s="44" t="s">
        <v>381</v>
      </c>
      <c r="D41" s="10">
        <f>23.707+4.8</f>
        <v>28.507000000000001</v>
      </c>
      <c r="E41" s="9" t="s">
        <v>80</v>
      </c>
      <c r="F41" s="9" t="s">
        <v>728</v>
      </c>
      <c r="G41" s="23">
        <v>0.02</v>
      </c>
      <c r="H41" s="23">
        <v>0.98</v>
      </c>
      <c r="I41" s="7">
        <v>41122</v>
      </c>
      <c r="J41" s="7">
        <v>41244</v>
      </c>
      <c r="K41" s="9" t="s">
        <v>195</v>
      </c>
      <c r="L41" s="14" t="s">
        <v>212</v>
      </c>
      <c r="M41" s="16"/>
      <c r="O41" s="15"/>
      <c r="P41" s="15" t="s">
        <v>516</v>
      </c>
      <c r="Q41" s="16">
        <f t="shared" si="0"/>
        <v>0.57014000000000009</v>
      </c>
      <c r="R41" s="16">
        <f t="shared" si="1"/>
        <v>27.936859999999999</v>
      </c>
      <c r="S41" s="79"/>
      <c r="T41" s="79"/>
      <c r="U41" s="79"/>
    </row>
    <row r="42" spans="1:21" s="11" customFormat="1" ht="34.5" x14ac:dyDescent="0.35">
      <c r="A42" s="9" t="s">
        <v>218</v>
      </c>
      <c r="B42" s="8" t="s">
        <v>209</v>
      </c>
      <c r="C42" s="44" t="s">
        <v>380</v>
      </c>
      <c r="D42" s="10">
        <v>24.2</v>
      </c>
      <c r="E42" s="9" t="s">
        <v>80</v>
      </c>
      <c r="F42" s="9" t="s">
        <v>728</v>
      </c>
      <c r="G42" s="23">
        <v>0.37</v>
      </c>
      <c r="H42" s="23">
        <v>0.63</v>
      </c>
      <c r="I42" s="7">
        <v>41122</v>
      </c>
      <c r="J42" s="7">
        <v>41244</v>
      </c>
      <c r="K42" s="9" t="s">
        <v>195</v>
      </c>
      <c r="L42" s="14" t="s">
        <v>287</v>
      </c>
      <c r="M42" s="16"/>
      <c r="O42" s="15"/>
      <c r="P42" s="15" t="s">
        <v>516</v>
      </c>
      <c r="Q42" s="16">
        <f t="shared" si="0"/>
        <v>8.9539999999999988</v>
      </c>
      <c r="R42" s="16">
        <f t="shared" si="1"/>
        <v>15.246</v>
      </c>
      <c r="S42" s="79"/>
      <c r="T42" s="79"/>
      <c r="U42" s="79"/>
    </row>
    <row r="43" spans="1:21" s="11" customFormat="1" ht="28" x14ac:dyDescent="0.35">
      <c r="A43" s="9" t="s">
        <v>219</v>
      </c>
      <c r="B43" s="8" t="s">
        <v>230</v>
      </c>
      <c r="C43" s="44" t="s">
        <v>381</v>
      </c>
      <c r="D43" s="10">
        <v>65.849999999999994</v>
      </c>
      <c r="E43" s="9" t="s">
        <v>80</v>
      </c>
      <c r="F43" s="9" t="s">
        <v>728</v>
      </c>
      <c r="G43" s="23">
        <v>1</v>
      </c>
      <c r="H43" s="23">
        <v>0</v>
      </c>
      <c r="I43" s="7">
        <v>41244</v>
      </c>
      <c r="J43" s="7">
        <v>41365</v>
      </c>
      <c r="K43" s="9" t="s">
        <v>195</v>
      </c>
      <c r="L43" s="14" t="s">
        <v>8</v>
      </c>
      <c r="M43" s="16"/>
      <c r="O43" s="15"/>
      <c r="P43" s="15" t="s">
        <v>516</v>
      </c>
      <c r="Q43" s="16">
        <f t="shared" si="0"/>
        <v>65.849999999999994</v>
      </c>
      <c r="R43" s="16">
        <f t="shared" si="1"/>
        <v>0</v>
      </c>
      <c r="S43" s="79"/>
      <c r="T43" s="79"/>
      <c r="U43" s="79"/>
    </row>
    <row r="44" spans="1:21" s="11" customFormat="1" ht="28" x14ac:dyDescent="0.35">
      <c r="A44" s="9" t="s">
        <v>219</v>
      </c>
      <c r="B44" s="8" t="s">
        <v>230</v>
      </c>
      <c r="C44" s="44" t="s">
        <v>381</v>
      </c>
      <c r="D44" s="10">
        <v>19.88</v>
      </c>
      <c r="E44" s="9" t="s">
        <v>80</v>
      </c>
      <c r="F44" s="9" t="s">
        <v>728</v>
      </c>
      <c r="G44" s="23">
        <v>0</v>
      </c>
      <c r="H44" s="23">
        <v>1</v>
      </c>
      <c r="I44" s="7">
        <v>41244</v>
      </c>
      <c r="J44" s="7">
        <v>41306</v>
      </c>
      <c r="K44" s="9" t="s">
        <v>195</v>
      </c>
      <c r="L44" s="14" t="s">
        <v>7</v>
      </c>
      <c r="M44" s="16"/>
      <c r="O44" s="15"/>
      <c r="P44" s="15" t="s">
        <v>516</v>
      </c>
      <c r="Q44" s="16">
        <f t="shared" si="0"/>
        <v>0</v>
      </c>
      <c r="R44" s="16">
        <f t="shared" si="1"/>
        <v>19.88</v>
      </c>
      <c r="S44" s="79"/>
      <c r="T44" s="79"/>
      <c r="U44" s="79"/>
    </row>
    <row r="45" spans="1:21" s="11" customFormat="1" ht="28" x14ac:dyDescent="0.35">
      <c r="A45" s="9" t="s">
        <v>220</v>
      </c>
      <c r="B45" s="8" t="s">
        <v>210</v>
      </c>
      <c r="C45" s="44" t="s">
        <v>381</v>
      </c>
      <c r="D45" s="10">
        <v>11.895</v>
      </c>
      <c r="E45" s="9" t="s">
        <v>80</v>
      </c>
      <c r="F45" s="9" t="s">
        <v>728</v>
      </c>
      <c r="G45" s="23">
        <v>1</v>
      </c>
      <c r="H45" s="23">
        <v>0</v>
      </c>
      <c r="I45" s="7">
        <v>41183</v>
      </c>
      <c r="J45" s="7">
        <v>41244</v>
      </c>
      <c r="K45" s="9" t="s">
        <v>195</v>
      </c>
      <c r="L45" s="14" t="s">
        <v>9</v>
      </c>
      <c r="M45" s="16"/>
      <c r="O45" s="15"/>
      <c r="P45" s="15" t="s">
        <v>516</v>
      </c>
      <c r="Q45" s="16">
        <f t="shared" si="0"/>
        <v>11.895</v>
      </c>
      <c r="R45" s="16">
        <f t="shared" si="1"/>
        <v>0</v>
      </c>
      <c r="S45" s="79"/>
      <c r="T45" s="79"/>
      <c r="U45" s="79"/>
    </row>
    <row r="46" spans="1:21" s="11" customFormat="1" ht="34.5" x14ac:dyDescent="0.35">
      <c r="A46" s="9" t="s">
        <v>221</v>
      </c>
      <c r="B46" s="8" t="s">
        <v>211</v>
      </c>
      <c r="C46" s="44" t="s">
        <v>381</v>
      </c>
      <c r="D46" s="10">
        <v>28.92</v>
      </c>
      <c r="E46" s="9" t="s">
        <v>80</v>
      </c>
      <c r="F46" s="9" t="s">
        <v>728</v>
      </c>
      <c r="G46" s="23">
        <v>0</v>
      </c>
      <c r="H46" s="23">
        <v>1</v>
      </c>
      <c r="I46" s="7">
        <v>41183</v>
      </c>
      <c r="J46" s="7">
        <v>41244</v>
      </c>
      <c r="K46" s="9" t="s">
        <v>195</v>
      </c>
      <c r="L46" s="14" t="s">
        <v>288</v>
      </c>
      <c r="M46" s="16"/>
      <c r="O46" s="15"/>
      <c r="P46" s="15" t="s">
        <v>516</v>
      </c>
      <c r="Q46" s="16">
        <f t="shared" si="0"/>
        <v>0</v>
      </c>
      <c r="R46" s="16">
        <f t="shared" si="1"/>
        <v>28.92</v>
      </c>
      <c r="S46" s="79"/>
      <c r="T46" s="79"/>
      <c r="U46" s="79"/>
    </row>
    <row r="47" spans="1:21" s="11" customFormat="1" ht="28" x14ac:dyDescent="0.35">
      <c r="A47" s="9" t="s">
        <v>222</v>
      </c>
      <c r="B47" s="8" t="s">
        <v>268</v>
      </c>
      <c r="C47" s="44" t="s">
        <v>381</v>
      </c>
      <c r="D47" s="10">
        <v>2.34</v>
      </c>
      <c r="E47" s="9" t="s">
        <v>80</v>
      </c>
      <c r="F47" s="9" t="s">
        <v>728</v>
      </c>
      <c r="G47" s="23">
        <v>1</v>
      </c>
      <c r="H47" s="23">
        <v>0</v>
      </c>
      <c r="I47" s="7">
        <v>41183</v>
      </c>
      <c r="J47" s="7">
        <v>41244</v>
      </c>
      <c r="K47" s="9" t="s">
        <v>195</v>
      </c>
      <c r="L47" s="14" t="s">
        <v>290</v>
      </c>
      <c r="M47" s="16"/>
      <c r="O47" s="15"/>
      <c r="P47" s="15" t="s">
        <v>516</v>
      </c>
      <c r="Q47" s="16">
        <f t="shared" si="0"/>
        <v>2.34</v>
      </c>
      <c r="R47" s="16">
        <f t="shared" si="1"/>
        <v>0</v>
      </c>
      <c r="S47" s="79"/>
      <c r="T47" s="79"/>
      <c r="U47" s="79"/>
    </row>
    <row r="48" spans="1:21" s="11" customFormat="1" ht="34.5" x14ac:dyDescent="0.35">
      <c r="A48" s="9" t="s">
        <v>222</v>
      </c>
      <c r="B48" s="8" t="s">
        <v>269</v>
      </c>
      <c r="C48" s="44" t="s">
        <v>381</v>
      </c>
      <c r="D48" s="10">
        <v>4.8499999999999996</v>
      </c>
      <c r="E48" s="9" t="s">
        <v>80</v>
      </c>
      <c r="F48" s="9" t="s">
        <v>728</v>
      </c>
      <c r="G48" s="23">
        <v>0</v>
      </c>
      <c r="H48" s="23">
        <v>1</v>
      </c>
      <c r="I48" s="7">
        <v>41183</v>
      </c>
      <c r="J48" s="7">
        <v>41244</v>
      </c>
      <c r="K48" s="9" t="s">
        <v>195</v>
      </c>
      <c r="L48" s="14" t="s">
        <v>289</v>
      </c>
      <c r="M48" s="16"/>
      <c r="O48" s="15"/>
      <c r="P48" s="15" t="s">
        <v>516</v>
      </c>
      <c r="Q48" s="16">
        <f t="shared" si="0"/>
        <v>0</v>
      </c>
      <c r="R48" s="16">
        <f t="shared" si="1"/>
        <v>4.8499999999999996</v>
      </c>
      <c r="S48" s="79"/>
      <c r="T48" s="79"/>
      <c r="U48" s="79"/>
    </row>
    <row r="49" spans="1:21" s="11" customFormat="1" ht="28" x14ac:dyDescent="0.35">
      <c r="A49" s="9" t="s">
        <v>222</v>
      </c>
      <c r="B49" s="8" t="s">
        <v>272</v>
      </c>
      <c r="C49" s="44" t="s">
        <v>382</v>
      </c>
      <c r="D49" s="10">
        <v>7.093</v>
      </c>
      <c r="E49" s="9" t="s">
        <v>80</v>
      </c>
      <c r="F49" s="9" t="s">
        <v>728</v>
      </c>
      <c r="G49" s="23">
        <v>1</v>
      </c>
      <c r="H49" s="23">
        <v>0</v>
      </c>
      <c r="I49" s="7">
        <v>41183</v>
      </c>
      <c r="J49" s="7">
        <v>41244</v>
      </c>
      <c r="K49" s="9" t="s">
        <v>195</v>
      </c>
      <c r="L49" s="14" t="s">
        <v>291</v>
      </c>
      <c r="M49" s="16"/>
      <c r="O49" s="15"/>
      <c r="P49" s="15" t="s">
        <v>516</v>
      </c>
      <c r="Q49" s="16">
        <f t="shared" si="0"/>
        <v>7.093</v>
      </c>
      <c r="R49" s="16">
        <f t="shared" si="1"/>
        <v>0</v>
      </c>
      <c r="S49" s="79"/>
      <c r="T49" s="79"/>
      <c r="U49" s="79"/>
    </row>
    <row r="50" spans="1:21" s="11" customFormat="1" ht="28" x14ac:dyDescent="0.35">
      <c r="A50" s="9" t="s">
        <v>59</v>
      </c>
      <c r="B50" s="8" t="s">
        <v>450</v>
      </c>
      <c r="C50" s="59" t="s">
        <v>383</v>
      </c>
      <c r="D50" s="10">
        <v>9848.41</v>
      </c>
      <c r="E50" s="9" t="s">
        <v>256</v>
      </c>
      <c r="F50" s="9" t="s">
        <v>83</v>
      </c>
      <c r="G50" s="23">
        <v>1</v>
      </c>
      <c r="H50" s="23">
        <v>0</v>
      </c>
      <c r="I50" s="7">
        <v>41458</v>
      </c>
      <c r="J50" s="7">
        <v>41456</v>
      </c>
      <c r="K50" s="9" t="s">
        <v>195</v>
      </c>
      <c r="L50" s="70" t="s">
        <v>394</v>
      </c>
      <c r="M50" s="17"/>
      <c r="O50" s="15"/>
      <c r="P50" s="15" t="s">
        <v>517</v>
      </c>
      <c r="Q50" s="16">
        <f t="shared" si="0"/>
        <v>9848.41</v>
      </c>
      <c r="R50" s="16">
        <f t="shared" si="1"/>
        <v>0</v>
      </c>
      <c r="S50" s="79"/>
      <c r="T50" s="79"/>
      <c r="U50" s="79"/>
    </row>
    <row r="51" spans="1:21" s="144" customFormat="1" ht="28" x14ac:dyDescent="0.35">
      <c r="A51" s="9" t="s">
        <v>60</v>
      </c>
      <c r="B51" s="8" t="s">
        <v>451</v>
      </c>
      <c r="C51" s="59" t="s">
        <v>383</v>
      </c>
      <c r="D51" s="10">
        <v>2687.41</v>
      </c>
      <c r="E51" s="9" t="s">
        <v>374</v>
      </c>
      <c r="F51" s="9" t="s">
        <v>83</v>
      </c>
      <c r="G51" s="23">
        <v>1</v>
      </c>
      <c r="H51" s="23">
        <v>0</v>
      </c>
      <c r="I51" s="7">
        <v>41548</v>
      </c>
      <c r="J51" s="7">
        <v>42248</v>
      </c>
      <c r="K51" s="9" t="s">
        <v>195</v>
      </c>
      <c r="L51" s="70" t="s">
        <v>452</v>
      </c>
      <c r="M51" s="17"/>
      <c r="O51" s="15"/>
      <c r="P51" s="15" t="s">
        <v>517</v>
      </c>
      <c r="Q51" s="16">
        <f t="shared" si="0"/>
        <v>2687.41</v>
      </c>
      <c r="R51" s="16">
        <f t="shared" si="1"/>
        <v>0</v>
      </c>
      <c r="S51" s="145"/>
      <c r="T51" s="145"/>
      <c r="U51" s="145"/>
    </row>
    <row r="52" spans="1:21" s="11" customFormat="1" ht="28" x14ac:dyDescent="0.35">
      <c r="A52" s="9" t="s">
        <v>20</v>
      </c>
      <c r="B52" s="8" t="s">
        <v>21</v>
      </c>
      <c r="C52" s="44" t="s">
        <v>381</v>
      </c>
      <c r="D52" s="98">
        <f>(84+11.6)/2.285</f>
        <v>41.838074398249447</v>
      </c>
      <c r="E52" s="9" t="s">
        <v>80</v>
      </c>
      <c r="F52" s="9" t="s">
        <v>728</v>
      </c>
      <c r="G52" s="23">
        <v>0.47</v>
      </c>
      <c r="H52" s="23">
        <v>0.53</v>
      </c>
      <c r="I52" s="7">
        <v>41518</v>
      </c>
      <c r="J52" s="7">
        <v>41609</v>
      </c>
      <c r="K52" s="19" t="s">
        <v>195</v>
      </c>
      <c r="L52" s="14" t="s">
        <v>23</v>
      </c>
      <c r="M52" s="16"/>
      <c r="O52" s="15"/>
      <c r="P52" s="15" t="s">
        <v>516</v>
      </c>
      <c r="Q52" s="16">
        <f t="shared" si="0"/>
        <v>19.663894967177239</v>
      </c>
      <c r="R52" s="16">
        <f t="shared" si="1"/>
        <v>22.174179431072208</v>
      </c>
      <c r="S52" s="79"/>
      <c r="T52" s="79"/>
      <c r="U52" s="79"/>
    </row>
    <row r="53" spans="1:21" s="11" customFormat="1" ht="28" x14ac:dyDescent="0.35">
      <c r="A53" s="9" t="s">
        <v>22</v>
      </c>
      <c r="B53" s="8" t="s">
        <v>11</v>
      </c>
      <c r="C53" s="44" t="s">
        <v>381</v>
      </c>
      <c r="D53" s="10">
        <v>1.44</v>
      </c>
      <c r="E53" s="9" t="s">
        <v>277</v>
      </c>
      <c r="F53" s="9" t="s">
        <v>728</v>
      </c>
      <c r="G53" s="23">
        <v>0</v>
      </c>
      <c r="H53" s="23">
        <v>1</v>
      </c>
      <c r="I53" s="7">
        <v>41214</v>
      </c>
      <c r="J53" s="7">
        <v>41244</v>
      </c>
      <c r="K53" s="9" t="s">
        <v>195</v>
      </c>
      <c r="L53" s="14" t="s">
        <v>12</v>
      </c>
      <c r="M53" s="5"/>
      <c r="O53" s="15"/>
      <c r="P53" s="15" t="s">
        <v>516</v>
      </c>
      <c r="Q53" s="16">
        <f t="shared" si="0"/>
        <v>0</v>
      </c>
      <c r="R53" s="16">
        <f t="shared" si="1"/>
        <v>1.44</v>
      </c>
      <c r="S53" s="79"/>
      <c r="T53" s="79"/>
      <c r="U53" s="79"/>
    </row>
    <row r="54" spans="1:21" s="11" customFormat="1" ht="25.5" customHeight="1" x14ac:dyDescent="0.35">
      <c r="A54" s="9" t="s">
        <v>24</v>
      </c>
      <c r="B54" s="8" t="s">
        <v>36</v>
      </c>
      <c r="C54" s="44" t="s">
        <v>381</v>
      </c>
      <c r="D54" s="98">
        <f>13.452/2.285</f>
        <v>5.8870897155361046</v>
      </c>
      <c r="E54" s="9" t="s">
        <v>80</v>
      </c>
      <c r="F54" s="9" t="s">
        <v>728</v>
      </c>
      <c r="G54" s="23">
        <v>0.15</v>
      </c>
      <c r="H54" s="23">
        <v>0.85</v>
      </c>
      <c r="I54" s="7">
        <v>41518</v>
      </c>
      <c r="J54" s="7">
        <v>41609</v>
      </c>
      <c r="K54" s="19" t="s">
        <v>195</v>
      </c>
      <c r="L54" s="14" t="s">
        <v>330</v>
      </c>
      <c r="M54" s="16"/>
      <c r="O54" s="15"/>
      <c r="P54" s="15" t="s">
        <v>516</v>
      </c>
      <c r="Q54" s="16">
        <f t="shared" si="0"/>
        <v>0.88306345733041569</v>
      </c>
      <c r="R54" s="16">
        <f t="shared" si="1"/>
        <v>5.0040262582056885</v>
      </c>
      <c r="S54" s="79"/>
      <c r="T54" s="79"/>
      <c r="U54" s="79"/>
    </row>
    <row r="55" spans="1:21" s="11" customFormat="1" ht="25.5" customHeight="1" x14ac:dyDescent="0.35">
      <c r="A55" s="9" t="s">
        <v>25</v>
      </c>
      <c r="B55" s="8" t="s">
        <v>492</v>
      </c>
      <c r="C55" s="44" t="s">
        <v>381</v>
      </c>
      <c r="D55" s="98">
        <f>2.866/2.285</f>
        <v>1.2542669584245076</v>
      </c>
      <c r="E55" s="9" t="s">
        <v>80</v>
      </c>
      <c r="F55" s="9" t="s">
        <v>728</v>
      </c>
      <c r="G55" s="23">
        <v>0</v>
      </c>
      <c r="H55" s="23">
        <v>1</v>
      </c>
      <c r="I55" s="7">
        <v>41426</v>
      </c>
      <c r="J55" s="7">
        <v>41609</v>
      </c>
      <c r="K55" s="19" t="s">
        <v>195</v>
      </c>
      <c r="L55" s="14" t="s">
        <v>329</v>
      </c>
      <c r="M55" s="16"/>
      <c r="O55" s="15"/>
      <c r="P55" s="15" t="s">
        <v>516</v>
      </c>
      <c r="Q55" s="16">
        <f t="shared" si="0"/>
        <v>0</v>
      </c>
      <c r="R55" s="16">
        <f t="shared" si="1"/>
        <v>1.2542669584245076</v>
      </c>
      <c r="S55" s="79"/>
      <c r="T55" s="79"/>
      <c r="U55" s="79"/>
    </row>
    <row r="56" spans="1:21" s="11" customFormat="1" ht="25.5" customHeight="1" x14ac:dyDescent="0.35">
      <c r="A56" s="9" t="s">
        <v>26</v>
      </c>
      <c r="B56" s="8" t="s">
        <v>37</v>
      </c>
      <c r="C56" s="44" t="s">
        <v>381</v>
      </c>
      <c r="D56" s="10">
        <v>30.28</v>
      </c>
      <c r="E56" s="9" t="s">
        <v>80</v>
      </c>
      <c r="F56" s="9" t="s">
        <v>728</v>
      </c>
      <c r="G56" s="23">
        <v>0.28000000000000003</v>
      </c>
      <c r="H56" s="23">
        <v>0.72</v>
      </c>
      <c r="I56" s="7">
        <v>41518</v>
      </c>
      <c r="J56" s="7">
        <v>41609</v>
      </c>
      <c r="K56" s="19" t="s">
        <v>195</v>
      </c>
      <c r="L56" s="14" t="s">
        <v>331</v>
      </c>
      <c r="M56" s="16"/>
      <c r="O56" s="15"/>
      <c r="P56" s="15" t="s">
        <v>516</v>
      </c>
      <c r="Q56" s="16">
        <f t="shared" si="0"/>
        <v>8.4784000000000006</v>
      </c>
      <c r="R56" s="16">
        <f t="shared" si="1"/>
        <v>21.801600000000001</v>
      </c>
      <c r="S56" s="79"/>
      <c r="T56" s="79"/>
      <c r="U56" s="79"/>
    </row>
    <row r="57" spans="1:21" s="11" customFormat="1" ht="34.5" x14ac:dyDescent="0.35">
      <c r="A57" s="9" t="s">
        <v>337</v>
      </c>
      <c r="B57" s="8" t="s">
        <v>2</v>
      </c>
      <c r="C57" s="44" t="s">
        <v>380</v>
      </c>
      <c r="D57" s="98">
        <f>35.201/2.285</f>
        <v>15.405251641137856</v>
      </c>
      <c r="E57" s="9" t="s">
        <v>80</v>
      </c>
      <c r="F57" s="9" t="s">
        <v>728</v>
      </c>
      <c r="G57" s="23">
        <v>0.59</v>
      </c>
      <c r="H57" s="23">
        <v>0.41</v>
      </c>
      <c r="I57" s="7">
        <v>41518</v>
      </c>
      <c r="J57" s="7">
        <v>41609</v>
      </c>
      <c r="K57" s="19" t="s">
        <v>195</v>
      </c>
      <c r="L57" s="14" t="s">
        <v>324</v>
      </c>
      <c r="M57" s="16"/>
      <c r="O57" s="15"/>
      <c r="P57" s="15" t="s">
        <v>516</v>
      </c>
      <c r="Q57" s="16">
        <f t="shared" si="0"/>
        <v>9.0890984682713345</v>
      </c>
      <c r="R57" s="16">
        <f t="shared" si="1"/>
        <v>6.3161531728665201</v>
      </c>
      <c r="S57" s="79"/>
      <c r="T57" s="79"/>
      <c r="U57" s="79"/>
    </row>
    <row r="58" spans="1:21" s="11" customFormat="1" ht="34.5" x14ac:dyDescent="0.35">
      <c r="A58" s="9" t="s">
        <v>338</v>
      </c>
      <c r="B58" s="8" t="s">
        <v>5</v>
      </c>
      <c r="C58" s="44" t="s">
        <v>380</v>
      </c>
      <c r="D58" s="98">
        <f>133.82/2.285</f>
        <v>58.564551422319468</v>
      </c>
      <c r="E58" s="9" t="s">
        <v>80</v>
      </c>
      <c r="F58" s="9" t="s">
        <v>728</v>
      </c>
      <c r="G58" s="23">
        <v>0.39</v>
      </c>
      <c r="H58" s="23">
        <v>0.61</v>
      </c>
      <c r="I58" s="7">
        <v>41518</v>
      </c>
      <c r="J58" s="7">
        <v>41609</v>
      </c>
      <c r="K58" s="19" t="s">
        <v>195</v>
      </c>
      <c r="L58" s="14" t="s">
        <v>326</v>
      </c>
      <c r="M58" s="16"/>
      <c r="O58" s="15"/>
      <c r="P58" s="15" t="s">
        <v>516</v>
      </c>
      <c r="Q58" s="16">
        <f t="shared" si="0"/>
        <v>22.840175054704595</v>
      </c>
      <c r="R58" s="16">
        <f t="shared" si="1"/>
        <v>35.724376367614873</v>
      </c>
      <c r="S58" s="79"/>
      <c r="T58" s="79"/>
      <c r="U58" s="79"/>
    </row>
    <row r="59" spans="1:21" s="11" customFormat="1" ht="28" x14ac:dyDescent="0.35">
      <c r="A59" s="9" t="s">
        <v>339</v>
      </c>
      <c r="B59" s="8" t="s">
        <v>409</v>
      </c>
      <c r="C59" s="44" t="s">
        <v>381</v>
      </c>
      <c r="D59" s="10">
        <v>4.3499999999999996</v>
      </c>
      <c r="E59" s="9" t="s">
        <v>80</v>
      </c>
      <c r="F59" s="9" t="s">
        <v>728</v>
      </c>
      <c r="G59" s="23">
        <v>1</v>
      </c>
      <c r="H59" s="23">
        <v>0</v>
      </c>
      <c r="I59" s="7">
        <v>41883</v>
      </c>
      <c r="J59" s="7">
        <v>41974</v>
      </c>
      <c r="K59" s="9" t="s">
        <v>195</v>
      </c>
      <c r="L59" s="14" t="s">
        <v>405</v>
      </c>
      <c r="M59" s="16"/>
      <c r="O59" s="15"/>
      <c r="P59" s="15" t="s">
        <v>516</v>
      </c>
      <c r="Q59" s="16">
        <f t="shared" si="0"/>
        <v>4.3499999999999996</v>
      </c>
      <c r="R59" s="16">
        <f t="shared" si="1"/>
        <v>0</v>
      </c>
      <c r="S59" s="79"/>
      <c r="T59" s="79"/>
      <c r="U59" s="79"/>
    </row>
    <row r="60" spans="1:21" s="11" customFormat="1" ht="34.5" x14ac:dyDescent="0.35">
      <c r="A60" s="9" t="s">
        <v>340</v>
      </c>
      <c r="B60" s="8" t="s">
        <v>6</v>
      </c>
      <c r="C60" s="44" t="s">
        <v>380</v>
      </c>
      <c r="D60" s="98">
        <f>100.574/2.285</f>
        <v>44.014879649890588</v>
      </c>
      <c r="E60" s="9" t="s">
        <v>80</v>
      </c>
      <c r="F60" s="9" t="s">
        <v>728</v>
      </c>
      <c r="G60" s="23">
        <v>0.84</v>
      </c>
      <c r="H60" s="23">
        <v>0.16</v>
      </c>
      <c r="I60" s="7">
        <v>41518</v>
      </c>
      <c r="J60" s="7">
        <v>41609</v>
      </c>
      <c r="K60" s="19" t="s">
        <v>195</v>
      </c>
      <c r="L60" s="14" t="s">
        <v>327</v>
      </c>
      <c r="M60" s="16"/>
      <c r="O60" s="15"/>
      <c r="P60" s="15" t="s">
        <v>516</v>
      </c>
      <c r="Q60" s="16">
        <f t="shared" si="0"/>
        <v>36.97249890590809</v>
      </c>
      <c r="R60" s="16">
        <f t="shared" si="1"/>
        <v>7.0423807439824939</v>
      </c>
      <c r="S60" s="79"/>
      <c r="T60" s="79"/>
      <c r="U60" s="79"/>
    </row>
    <row r="61" spans="1:21" s="11" customFormat="1" ht="28" x14ac:dyDescent="0.35">
      <c r="A61" s="9" t="s">
        <v>341</v>
      </c>
      <c r="B61" s="8" t="s">
        <v>316</v>
      </c>
      <c r="C61" s="44" t="s">
        <v>381</v>
      </c>
      <c r="D61" s="98">
        <v>78.8</v>
      </c>
      <c r="E61" s="9" t="s">
        <v>80</v>
      </c>
      <c r="F61" s="9" t="s">
        <v>728</v>
      </c>
      <c r="G61" s="23">
        <v>0.33</v>
      </c>
      <c r="H61" s="23">
        <v>0.67</v>
      </c>
      <c r="I61" s="7">
        <v>41518</v>
      </c>
      <c r="J61" s="7">
        <v>41609</v>
      </c>
      <c r="K61" s="19" t="s">
        <v>195</v>
      </c>
      <c r="L61" s="14" t="s">
        <v>313</v>
      </c>
      <c r="M61" s="16"/>
      <c r="O61" s="15"/>
      <c r="P61" s="15" t="s">
        <v>516</v>
      </c>
      <c r="Q61" s="16">
        <f t="shared" si="0"/>
        <v>26.004000000000001</v>
      </c>
      <c r="R61" s="16">
        <f t="shared" si="1"/>
        <v>52.795999999999999</v>
      </c>
      <c r="S61" s="79"/>
      <c r="T61" s="79"/>
      <c r="U61" s="79"/>
    </row>
    <row r="62" spans="1:21" s="11" customFormat="1" ht="28" x14ac:dyDescent="0.35">
      <c r="A62" s="9" t="s">
        <v>342</v>
      </c>
      <c r="B62" s="8" t="s">
        <v>10</v>
      </c>
      <c r="C62" s="44" t="s">
        <v>381</v>
      </c>
      <c r="D62" s="98">
        <f>4.567/2.285</f>
        <v>1.998687089715536</v>
      </c>
      <c r="E62" s="9" t="s">
        <v>80</v>
      </c>
      <c r="F62" s="9" t="s">
        <v>728</v>
      </c>
      <c r="G62" s="23">
        <v>0</v>
      </c>
      <c r="H62" s="23">
        <v>1</v>
      </c>
      <c r="I62" s="7">
        <v>41518</v>
      </c>
      <c r="J62" s="7">
        <v>41609</v>
      </c>
      <c r="K62" s="19" t="s">
        <v>195</v>
      </c>
      <c r="L62" s="14" t="s">
        <v>312</v>
      </c>
      <c r="M62" s="16"/>
      <c r="O62" s="15"/>
      <c r="P62" s="15" t="s">
        <v>516</v>
      </c>
      <c r="Q62" s="16">
        <f t="shared" si="0"/>
        <v>0</v>
      </c>
      <c r="R62" s="16">
        <f t="shared" si="1"/>
        <v>1.998687089715536</v>
      </c>
      <c r="S62" s="79"/>
      <c r="T62" s="79"/>
      <c r="U62" s="79"/>
    </row>
    <row r="63" spans="1:21" s="11" customFormat="1" ht="34.5" x14ac:dyDescent="0.35">
      <c r="A63" s="9" t="s">
        <v>343</v>
      </c>
      <c r="B63" s="8" t="s">
        <v>270</v>
      </c>
      <c r="C63" s="44" t="s">
        <v>381</v>
      </c>
      <c r="D63" s="10">
        <v>20.411999999999999</v>
      </c>
      <c r="E63" s="9" t="s">
        <v>80</v>
      </c>
      <c r="F63" s="9" t="s">
        <v>728</v>
      </c>
      <c r="G63" s="23">
        <v>0</v>
      </c>
      <c r="H63" s="23">
        <v>1</v>
      </c>
      <c r="I63" s="7">
        <v>41548</v>
      </c>
      <c r="J63" s="7">
        <v>41609</v>
      </c>
      <c r="K63" s="9" t="s">
        <v>195</v>
      </c>
      <c r="L63" s="14" t="s">
        <v>328</v>
      </c>
      <c r="M63" s="16"/>
      <c r="O63" s="15"/>
      <c r="P63" s="15" t="s">
        <v>516</v>
      </c>
      <c r="Q63" s="16">
        <f t="shared" si="0"/>
        <v>0</v>
      </c>
      <c r="R63" s="16">
        <f t="shared" si="1"/>
        <v>20.411999999999999</v>
      </c>
      <c r="S63" s="79"/>
      <c r="T63" s="79"/>
      <c r="U63" s="79"/>
    </row>
    <row r="64" spans="1:21" s="11" customFormat="1" ht="34.5" x14ac:dyDescent="0.35">
      <c r="A64" s="9" t="s">
        <v>344</v>
      </c>
      <c r="B64" s="8" t="s">
        <v>271</v>
      </c>
      <c r="C64" s="44" t="s">
        <v>381</v>
      </c>
      <c r="D64" s="10">
        <f>3.11/3.11</f>
        <v>1</v>
      </c>
      <c r="E64" s="9" t="s">
        <v>80</v>
      </c>
      <c r="F64" s="9" t="s">
        <v>728</v>
      </c>
      <c r="G64" s="23">
        <v>0</v>
      </c>
      <c r="H64" s="23">
        <v>1</v>
      </c>
      <c r="I64" s="7">
        <v>42614</v>
      </c>
      <c r="J64" s="7">
        <v>42705</v>
      </c>
      <c r="K64" s="9" t="s">
        <v>195</v>
      </c>
      <c r="L64" s="14" t="s">
        <v>507</v>
      </c>
      <c r="M64" s="16"/>
      <c r="O64" s="15"/>
      <c r="P64" s="15" t="s">
        <v>516</v>
      </c>
      <c r="Q64" s="16">
        <f t="shared" si="0"/>
        <v>0</v>
      </c>
      <c r="R64" s="16">
        <f t="shared" si="1"/>
        <v>1</v>
      </c>
      <c r="S64" s="79"/>
      <c r="T64" s="79"/>
      <c r="U64" s="79"/>
    </row>
    <row r="65" spans="1:23" s="11" customFormat="1" ht="34.5" x14ac:dyDescent="0.35">
      <c r="A65" s="9" t="s">
        <v>38</v>
      </c>
      <c r="B65" s="21" t="s">
        <v>50</v>
      </c>
      <c r="C65" s="71" t="s">
        <v>385</v>
      </c>
      <c r="D65" s="10">
        <v>459.94</v>
      </c>
      <c r="E65" s="9" t="s">
        <v>81</v>
      </c>
      <c r="F65" s="9" t="s">
        <v>83</v>
      </c>
      <c r="G65" s="23">
        <v>1</v>
      </c>
      <c r="H65" s="23">
        <v>0</v>
      </c>
      <c r="I65" s="7">
        <v>41456</v>
      </c>
      <c r="J65" s="7">
        <v>42691</v>
      </c>
      <c r="K65" s="9" t="s">
        <v>195</v>
      </c>
      <c r="L65" s="14" t="s">
        <v>540</v>
      </c>
      <c r="M65" s="17"/>
      <c r="O65" s="15"/>
      <c r="P65" s="15" t="s">
        <v>517</v>
      </c>
      <c r="Q65" s="16">
        <f t="shared" si="0"/>
        <v>459.94</v>
      </c>
      <c r="R65" s="16">
        <f t="shared" si="1"/>
        <v>0</v>
      </c>
      <c r="S65" s="6"/>
      <c r="T65" s="6"/>
      <c r="U65" s="6"/>
    </row>
    <row r="66" spans="1:23" s="11" customFormat="1" ht="28" x14ac:dyDescent="0.35">
      <c r="A66" s="9" t="s">
        <v>376</v>
      </c>
      <c r="B66" s="8" t="s">
        <v>453</v>
      </c>
      <c r="C66" s="44" t="s">
        <v>383</v>
      </c>
      <c r="D66" s="10">
        <v>1230.92</v>
      </c>
      <c r="E66" s="9" t="s">
        <v>374</v>
      </c>
      <c r="F66" s="9" t="s">
        <v>83</v>
      </c>
      <c r="G66" s="101">
        <v>0.99500261333368312</v>
      </c>
      <c r="H66" s="101">
        <v>4.9973866663168016E-3</v>
      </c>
      <c r="I66" s="7">
        <v>41852</v>
      </c>
      <c r="J66" s="7">
        <v>42064</v>
      </c>
      <c r="K66" s="9" t="s">
        <v>195</v>
      </c>
      <c r="L66" s="14" t="s">
        <v>375</v>
      </c>
      <c r="M66" s="17"/>
      <c r="O66" s="15"/>
      <c r="P66" s="15" t="s">
        <v>517</v>
      </c>
      <c r="Q66" s="16">
        <f t="shared" si="0"/>
        <v>1224.7686168046973</v>
      </c>
      <c r="R66" s="16">
        <f t="shared" si="1"/>
        <v>6.1513831953026781</v>
      </c>
      <c r="S66" s="6"/>
      <c r="T66" s="6"/>
      <c r="U66" s="6"/>
    </row>
    <row r="67" spans="1:23" s="11" customFormat="1" ht="28" x14ac:dyDescent="0.35">
      <c r="A67" s="9" t="s">
        <v>411</v>
      </c>
      <c r="B67" s="8" t="s">
        <v>404</v>
      </c>
      <c r="C67" s="9" t="s">
        <v>381</v>
      </c>
      <c r="D67" s="99">
        <v>2.98</v>
      </c>
      <c r="E67" s="9" t="s">
        <v>80</v>
      </c>
      <c r="F67" s="9" t="s">
        <v>728</v>
      </c>
      <c r="G67" s="67">
        <v>0.9</v>
      </c>
      <c r="H67" s="67">
        <v>0.1</v>
      </c>
      <c r="I67" s="7">
        <v>42614</v>
      </c>
      <c r="J67" s="7">
        <v>42705</v>
      </c>
      <c r="K67" s="9" t="s">
        <v>195</v>
      </c>
      <c r="L67" s="8" t="s">
        <v>410</v>
      </c>
      <c r="M67" s="16"/>
      <c r="O67" s="15"/>
      <c r="P67" s="15" t="s">
        <v>516</v>
      </c>
      <c r="Q67" s="16">
        <f t="shared" si="0"/>
        <v>2.6819999999999999</v>
      </c>
      <c r="R67" s="16">
        <f t="shared" si="1"/>
        <v>0.29799999999999999</v>
      </c>
      <c r="S67" s="6"/>
      <c r="T67" s="6"/>
      <c r="U67" s="6"/>
    </row>
    <row r="68" spans="1:23" s="11" customFormat="1" ht="28" x14ac:dyDescent="0.35">
      <c r="A68" s="9" t="s">
        <v>431</v>
      </c>
      <c r="B68" s="8" t="s">
        <v>475</v>
      </c>
      <c r="C68" s="44" t="s">
        <v>381</v>
      </c>
      <c r="D68" s="17">
        <f>693/3.7755</f>
        <v>183.55184743742549</v>
      </c>
      <c r="E68" s="9" t="s">
        <v>80</v>
      </c>
      <c r="F68" s="9" t="s">
        <v>728</v>
      </c>
      <c r="G68" s="67">
        <v>1</v>
      </c>
      <c r="H68" s="67">
        <v>0</v>
      </c>
      <c r="I68" s="7">
        <v>42370</v>
      </c>
      <c r="J68" s="7">
        <v>42430</v>
      </c>
      <c r="K68" s="9" t="s">
        <v>195</v>
      </c>
      <c r="L68" s="14" t="s">
        <v>476</v>
      </c>
      <c r="M68" s="16"/>
      <c r="O68" s="15"/>
      <c r="P68" s="15" t="s">
        <v>516</v>
      </c>
      <c r="Q68" s="16">
        <f t="shared" si="0"/>
        <v>183.55184743742549</v>
      </c>
      <c r="R68" s="16">
        <f t="shared" si="1"/>
        <v>0</v>
      </c>
      <c r="S68" s="6"/>
      <c r="T68" s="6"/>
      <c r="U68" s="6"/>
    </row>
    <row r="69" spans="1:23" s="11" customFormat="1" ht="28" x14ac:dyDescent="0.35">
      <c r="A69" s="9" t="s">
        <v>437</v>
      </c>
      <c r="B69" s="8" t="s">
        <v>438</v>
      </c>
      <c r="C69" s="44" t="s">
        <v>381</v>
      </c>
      <c r="D69" s="17">
        <v>2.6</v>
      </c>
      <c r="E69" s="9" t="s">
        <v>80</v>
      </c>
      <c r="F69" s="9" t="s">
        <v>728</v>
      </c>
      <c r="G69" s="67">
        <v>0</v>
      </c>
      <c r="H69" s="67">
        <v>1</v>
      </c>
      <c r="I69" s="7">
        <v>42614</v>
      </c>
      <c r="J69" s="7">
        <v>42705</v>
      </c>
      <c r="K69" s="9" t="s">
        <v>195</v>
      </c>
      <c r="L69" s="14" t="s">
        <v>439</v>
      </c>
      <c r="M69" s="16"/>
      <c r="O69" s="15"/>
      <c r="P69" s="15" t="s">
        <v>516</v>
      </c>
      <c r="Q69" s="16">
        <f t="shared" si="0"/>
        <v>0</v>
      </c>
      <c r="R69" s="16">
        <f t="shared" si="1"/>
        <v>2.6</v>
      </c>
      <c r="S69" s="6"/>
      <c r="T69" s="6"/>
      <c r="U69" s="6"/>
    </row>
    <row r="70" spans="1:23" s="11" customFormat="1" ht="34.5" x14ac:dyDescent="0.35">
      <c r="A70" s="9" t="s">
        <v>440</v>
      </c>
      <c r="B70" s="8" t="s">
        <v>444</v>
      </c>
      <c r="C70" s="44" t="s">
        <v>381</v>
      </c>
      <c r="D70" s="99">
        <f>31456.07/1000</f>
        <v>31.45607</v>
      </c>
      <c r="E70" s="9" t="s">
        <v>80</v>
      </c>
      <c r="F70" s="9" t="s">
        <v>728</v>
      </c>
      <c r="G70" s="67">
        <v>0.87</v>
      </c>
      <c r="H70" s="67">
        <v>0.13</v>
      </c>
      <c r="I70" s="7">
        <v>42614</v>
      </c>
      <c r="J70" s="7">
        <v>42705</v>
      </c>
      <c r="K70" s="9" t="s">
        <v>195</v>
      </c>
      <c r="L70" s="14" t="s">
        <v>441</v>
      </c>
      <c r="M70" s="16"/>
      <c r="O70" s="15"/>
      <c r="P70" s="15" t="s">
        <v>516</v>
      </c>
      <c r="Q70" s="16">
        <f t="shared" si="0"/>
        <v>27.366780900000002</v>
      </c>
      <c r="R70" s="16">
        <f t="shared" si="1"/>
        <v>4.0892891000000002</v>
      </c>
      <c r="S70" s="6"/>
      <c r="T70" s="6"/>
      <c r="U70" s="6"/>
    </row>
    <row r="71" spans="1:23" s="11" customFormat="1" ht="42" x14ac:dyDescent="0.35">
      <c r="A71" s="9" t="s">
        <v>448</v>
      </c>
      <c r="B71" s="8" t="s">
        <v>449</v>
      </c>
      <c r="C71" s="44" t="s">
        <v>381</v>
      </c>
      <c r="D71" s="99">
        <v>3.91</v>
      </c>
      <c r="E71" s="9" t="s">
        <v>611</v>
      </c>
      <c r="F71" s="9" t="s">
        <v>728</v>
      </c>
      <c r="G71" s="67">
        <v>0</v>
      </c>
      <c r="H71" s="67">
        <v>1</v>
      </c>
      <c r="I71" s="7">
        <v>43009</v>
      </c>
      <c r="J71" s="7">
        <v>43070</v>
      </c>
      <c r="K71" s="9" t="s">
        <v>195</v>
      </c>
      <c r="L71" s="14" t="s">
        <v>596</v>
      </c>
      <c r="M71" s="16"/>
      <c r="O71" s="15"/>
      <c r="P71" s="15" t="s">
        <v>516</v>
      </c>
      <c r="Q71" s="16">
        <f t="shared" si="0"/>
        <v>0</v>
      </c>
      <c r="R71" s="16">
        <f t="shared" si="1"/>
        <v>3.91</v>
      </c>
      <c r="S71" s="6"/>
      <c r="T71" s="6"/>
      <c r="U71" s="6"/>
    </row>
    <row r="72" spans="1:23" s="11" customFormat="1" ht="28" x14ac:dyDescent="0.35">
      <c r="A72" s="9" t="s">
        <v>467</v>
      </c>
      <c r="B72" s="8" t="s">
        <v>468</v>
      </c>
      <c r="C72" s="44" t="s">
        <v>381</v>
      </c>
      <c r="D72" s="99">
        <v>47</v>
      </c>
      <c r="E72" s="9" t="s">
        <v>80</v>
      </c>
      <c r="F72" s="9" t="s">
        <v>728</v>
      </c>
      <c r="G72" s="67">
        <v>1</v>
      </c>
      <c r="H72" s="67">
        <v>0</v>
      </c>
      <c r="I72" s="7">
        <v>42309</v>
      </c>
      <c r="J72" s="7">
        <v>42401</v>
      </c>
      <c r="K72" s="9" t="s">
        <v>195</v>
      </c>
      <c r="L72" s="14" t="s">
        <v>469</v>
      </c>
      <c r="M72" s="16"/>
      <c r="O72" s="15"/>
      <c r="P72" s="15" t="s">
        <v>516</v>
      </c>
      <c r="Q72" s="16">
        <f t="shared" si="0"/>
        <v>47</v>
      </c>
      <c r="R72" s="16">
        <f t="shared" si="1"/>
        <v>0</v>
      </c>
      <c r="S72" s="6"/>
      <c r="T72" s="6"/>
      <c r="U72" s="6"/>
    </row>
    <row r="73" spans="1:23" s="11" customFormat="1" ht="28" x14ac:dyDescent="0.35">
      <c r="A73" s="9" t="s">
        <v>479</v>
      </c>
      <c r="B73" s="8" t="s">
        <v>480</v>
      </c>
      <c r="C73" s="44" t="s">
        <v>381</v>
      </c>
      <c r="D73" s="99">
        <f>200/3.11</f>
        <v>64.308681672025727</v>
      </c>
      <c r="E73" s="9" t="s">
        <v>80</v>
      </c>
      <c r="F73" s="9" t="s">
        <v>728</v>
      </c>
      <c r="G73" s="67">
        <v>1</v>
      </c>
      <c r="H73" s="67">
        <v>0</v>
      </c>
      <c r="I73" s="7">
        <v>42461</v>
      </c>
      <c r="J73" s="7">
        <v>42583</v>
      </c>
      <c r="K73" s="9" t="s">
        <v>195</v>
      </c>
      <c r="L73" s="14" t="s">
        <v>481</v>
      </c>
      <c r="M73" s="16"/>
      <c r="O73" s="15"/>
      <c r="P73" s="15" t="s">
        <v>516</v>
      </c>
      <c r="Q73" s="16">
        <f t="shared" si="0"/>
        <v>64.308681672025727</v>
      </c>
      <c r="R73" s="16">
        <f t="shared" si="1"/>
        <v>0</v>
      </c>
      <c r="S73" s="6"/>
      <c r="T73" s="6"/>
      <c r="U73" s="6"/>
    </row>
    <row r="74" spans="1:23" s="11" customFormat="1" ht="34.5" x14ac:dyDescent="0.35">
      <c r="A74" s="9" t="s">
        <v>486</v>
      </c>
      <c r="B74" s="8" t="s">
        <v>487</v>
      </c>
      <c r="C74" s="44" t="s">
        <v>381</v>
      </c>
      <c r="D74" s="99">
        <v>2.052</v>
      </c>
      <c r="E74" s="9" t="s">
        <v>80</v>
      </c>
      <c r="F74" s="9" t="s">
        <v>728</v>
      </c>
      <c r="G74" s="67">
        <v>1</v>
      </c>
      <c r="H74" s="67">
        <v>0</v>
      </c>
      <c r="I74" s="7">
        <v>42491</v>
      </c>
      <c r="J74" s="7">
        <v>42552</v>
      </c>
      <c r="K74" s="9" t="s">
        <v>195</v>
      </c>
      <c r="L74" s="14" t="s">
        <v>485</v>
      </c>
      <c r="M74" s="17"/>
      <c r="O74" s="15"/>
      <c r="P74" s="15" t="s">
        <v>516</v>
      </c>
      <c r="Q74" s="16">
        <f t="shared" si="0"/>
        <v>2.052</v>
      </c>
      <c r="R74" s="16">
        <f t="shared" si="1"/>
        <v>0</v>
      </c>
      <c r="S74" s="6"/>
      <c r="T74" s="6"/>
      <c r="U74" s="6"/>
    </row>
    <row r="75" spans="1:23" s="11" customFormat="1" ht="34.5" x14ac:dyDescent="0.35">
      <c r="A75" s="9" t="s">
        <v>488</v>
      </c>
      <c r="B75" s="8" t="s">
        <v>489</v>
      </c>
      <c r="C75" s="44" t="s">
        <v>381</v>
      </c>
      <c r="D75" s="99">
        <f>302894.49/1000</f>
        <v>302.89449000000002</v>
      </c>
      <c r="E75" s="9" t="s">
        <v>80</v>
      </c>
      <c r="F75" s="9" t="s">
        <v>728</v>
      </c>
      <c r="G75" s="67">
        <v>1</v>
      </c>
      <c r="H75" s="67">
        <v>0</v>
      </c>
      <c r="I75" s="7">
        <v>42461</v>
      </c>
      <c r="J75" s="7">
        <v>42614</v>
      </c>
      <c r="K75" s="9" t="s">
        <v>195</v>
      </c>
      <c r="L75" s="14" t="s">
        <v>485</v>
      </c>
      <c r="M75" s="16"/>
      <c r="O75" s="15"/>
      <c r="P75" s="15" t="s">
        <v>516</v>
      </c>
      <c r="Q75" s="16">
        <f t="shared" si="0"/>
        <v>302.89449000000002</v>
      </c>
      <c r="R75" s="16">
        <f t="shared" si="1"/>
        <v>0</v>
      </c>
      <c r="S75" s="6"/>
      <c r="T75" s="6"/>
      <c r="U75" s="6"/>
    </row>
    <row r="76" spans="1:23" s="11" customFormat="1" ht="42" x14ac:dyDescent="0.35">
      <c r="A76" s="9" t="s">
        <v>495</v>
      </c>
      <c r="B76" s="8" t="s">
        <v>496</v>
      </c>
      <c r="C76" s="44" t="s">
        <v>381</v>
      </c>
      <c r="D76" s="99">
        <v>0.49</v>
      </c>
      <c r="E76" s="9" t="s">
        <v>611</v>
      </c>
      <c r="F76" s="9" t="s">
        <v>728</v>
      </c>
      <c r="G76" s="67">
        <v>0</v>
      </c>
      <c r="H76" s="67">
        <v>1</v>
      </c>
      <c r="I76" s="7">
        <v>43009</v>
      </c>
      <c r="J76" s="7">
        <v>43070</v>
      </c>
      <c r="K76" s="9" t="s">
        <v>195</v>
      </c>
      <c r="L76" s="70" t="s">
        <v>604</v>
      </c>
      <c r="M76" s="17"/>
      <c r="O76" s="15"/>
      <c r="P76" s="15" t="s">
        <v>516</v>
      </c>
      <c r="Q76" s="16">
        <f t="shared" ref="Q76:Q90" si="2">+$D76*G76</f>
        <v>0</v>
      </c>
      <c r="R76" s="16">
        <f t="shared" ref="R76:R90" si="3">+$D76*H76</f>
        <v>0.49</v>
      </c>
      <c r="S76" s="6"/>
      <c r="T76" s="6"/>
      <c r="U76" s="6"/>
    </row>
    <row r="77" spans="1:23" s="11" customFormat="1" ht="34.5" x14ac:dyDescent="0.35">
      <c r="A77" s="9" t="s">
        <v>501</v>
      </c>
      <c r="B77" s="8" t="s">
        <v>500</v>
      </c>
      <c r="C77" s="44" t="s">
        <v>381</v>
      </c>
      <c r="D77" s="99">
        <f>4.288/3.7755</f>
        <v>1.1357436101178653</v>
      </c>
      <c r="E77" s="9" t="s">
        <v>80</v>
      </c>
      <c r="F77" s="9" t="s">
        <v>728</v>
      </c>
      <c r="G77" s="67">
        <v>1</v>
      </c>
      <c r="H77" s="67">
        <v>0</v>
      </c>
      <c r="I77" s="7">
        <v>42614</v>
      </c>
      <c r="J77" s="7">
        <v>42675</v>
      </c>
      <c r="K77" s="9" t="s">
        <v>195</v>
      </c>
      <c r="L77" s="14" t="s">
        <v>485</v>
      </c>
      <c r="M77" s="17"/>
      <c r="O77" s="15"/>
      <c r="P77" s="15" t="s">
        <v>516</v>
      </c>
      <c r="Q77" s="16">
        <f t="shared" si="2"/>
        <v>1.1357436101178653</v>
      </c>
      <c r="R77" s="16">
        <f t="shared" si="3"/>
        <v>0</v>
      </c>
      <c r="S77" s="6"/>
      <c r="T77" s="6"/>
      <c r="U77" s="6"/>
      <c r="W77" s="110"/>
    </row>
    <row r="78" spans="1:23" s="11" customFormat="1" ht="34.5" x14ac:dyDescent="0.35">
      <c r="A78" s="9" t="s">
        <v>508</v>
      </c>
      <c r="B78" s="8" t="s">
        <v>547</v>
      </c>
      <c r="C78" s="44" t="s">
        <v>381</v>
      </c>
      <c r="D78" s="99">
        <v>1024.4875509554138</v>
      </c>
      <c r="E78" s="9" t="s">
        <v>80</v>
      </c>
      <c r="F78" s="9" t="s">
        <v>728</v>
      </c>
      <c r="G78" s="67">
        <v>1</v>
      </c>
      <c r="H78" s="67">
        <v>0</v>
      </c>
      <c r="I78" s="7">
        <v>43374</v>
      </c>
      <c r="J78" s="7">
        <v>43497</v>
      </c>
      <c r="K78" s="9" t="s">
        <v>195</v>
      </c>
      <c r="L78" s="70" t="s">
        <v>687</v>
      </c>
      <c r="M78" s="17"/>
      <c r="O78" s="15"/>
      <c r="P78" s="15" t="s">
        <v>516</v>
      </c>
      <c r="Q78" s="16">
        <f t="shared" si="2"/>
        <v>1024.4875509554138</v>
      </c>
      <c r="R78" s="16">
        <f t="shared" si="3"/>
        <v>0</v>
      </c>
      <c r="S78" s="6"/>
      <c r="T78" s="6"/>
      <c r="U78" s="6"/>
      <c r="W78" s="110"/>
    </row>
    <row r="79" spans="1:23" s="11" customFormat="1" ht="34.5" x14ac:dyDescent="0.35">
      <c r="A79" s="9" t="s">
        <v>548</v>
      </c>
      <c r="B79" s="8" t="s">
        <v>549</v>
      </c>
      <c r="C79" s="44" t="s">
        <v>381</v>
      </c>
      <c r="D79" s="99">
        <v>56.387352941176466</v>
      </c>
      <c r="E79" s="9" t="s">
        <v>80</v>
      </c>
      <c r="F79" s="9" t="s">
        <v>728</v>
      </c>
      <c r="G79" s="67">
        <v>1</v>
      </c>
      <c r="H79" s="67">
        <v>0</v>
      </c>
      <c r="I79" s="7">
        <v>43252</v>
      </c>
      <c r="J79" s="7">
        <v>43405</v>
      </c>
      <c r="K79" s="9" t="s">
        <v>195</v>
      </c>
      <c r="L79" s="70" t="s">
        <v>668</v>
      </c>
      <c r="M79" s="17"/>
      <c r="O79" s="15"/>
      <c r="P79" s="15" t="s">
        <v>516</v>
      </c>
      <c r="Q79" s="16">
        <f t="shared" si="2"/>
        <v>56.387352941176466</v>
      </c>
      <c r="R79" s="16">
        <f t="shared" si="3"/>
        <v>0</v>
      </c>
      <c r="S79" s="6"/>
      <c r="T79" s="6"/>
      <c r="U79" s="6"/>
      <c r="W79" s="91"/>
    </row>
    <row r="80" spans="1:23" s="11" customFormat="1" ht="42" x14ac:dyDescent="0.35">
      <c r="A80" s="9" t="s">
        <v>595</v>
      </c>
      <c r="B80" s="8" t="s">
        <v>612</v>
      </c>
      <c r="C80" s="44" t="s">
        <v>381</v>
      </c>
      <c r="D80" s="99">
        <v>10.19</v>
      </c>
      <c r="E80" s="9" t="s">
        <v>611</v>
      </c>
      <c r="F80" s="9" t="s">
        <v>728</v>
      </c>
      <c r="G80" s="67">
        <v>0</v>
      </c>
      <c r="H80" s="67">
        <v>1</v>
      </c>
      <c r="I80" s="7">
        <v>43009</v>
      </c>
      <c r="J80" s="7">
        <v>43070</v>
      </c>
      <c r="K80" s="9" t="s">
        <v>195</v>
      </c>
      <c r="L80" s="70" t="s">
        <v>597</v>
      </c>
      <c r="M80" s="17"/>
      <c r="O80" s="15"/>
      <c r="P80" s="15" t="s">
        <v>516</v>
      </c>
      <c r="Q80" s="16">
        <f t="shared" si="2"/>
        <v>0</v>
      </c>
      <c r="R80" s="16">
        <f t="shared" si="3"/>
        <v>10.19</v>
      </c>
      <c r="S80" s="6"/>
      <c r="T80" s="6"/>
      <c r="U80" s="6"/>
    </row>
    <row r="81" spans="1:24" s="11" customFormat="1" ht="42" x14ac:dyDescent="0.35">
      <c r="A81" s="9" t="s">
        <v>599</v>
      </c>
      <c r="B81" s="68" t="s">
        <v>603</v>
      </c>
      <c r="C81" s="44" t="s">
        <v>381</v>
      </c>
      <c r="D81" s="115">
        <v>20.02</v>
      </c>
      <c r="E81" s="9" t="s">
        <v>611</v>
      </c>
      <c r="F81" s="9" t="s">
        <v>728</v>
      </c>
      <c r="G81" s="67">
        <v>0</v>
      </c>
      <c r="H81" s="67">
        <v>1</v>
      </c>
      <c r="I81" s="7">
        <v>43009</v>
      </c>
      <c r="J81" s="7">
        <v>43070</v>
      </c>
      <c r="K81" s="9" t="s">
        <v>195</v>
      </c>
      <c r="L81" s="70" t="s">
        <v>598</v>
      </c>
      <c r="M81" s="17"/>
      <c r="O81" s="15"/>
      <c r="P81" s="15" t="s">
        <v>516</v>
      </c>
      <c r="Q81" s="16">
        <f t="shared" si="2"/>
        <v>0</v>
      </c>
      <c r="R81" s="16">
        <f t="shared" si="3"/>
        <v>20.02</v>
      </c>
      <c r="S81" s="6"/>
      <c r="T81" s="6"/>
      <c r="U81" s="6"/>
    </row>
    <row r="82" spans="1:24" s="11" customFormat="1" ht="42" x14ac:dyDescent="0.35">
      <c r="A82" s="9" t="s">
        <v>600</v>
      </c>
      <c r="B82" s="8" t="s">
        <v>601</v>
      </c>
      <c r="C82" s="44" t="s">
        <v>381</v>
      </c>
      <c r="D82" s="99">
        <v>0.44</v>
      </c>
      <c r="E82" s="9" t="s">
        <v>610</v>
      </c>
      <c r="F82" s="9" t="s">
        <v>728</v>
      </c>
      <c r="G82" s="67">
        <v>0</v>
      </c>
      <c r="H82" s="67">
        <v>1</v>
      </c>
      <c r="I82" s="7">
        <v>43009</v>
      </c>
      <c r="J82" s="7">
        <v>43070</v>
      </c>
      <c r="K82" s="9" t="s">
        <v>195</v>
      </c>
      <c r="L82" s="70" t="s">
        <v>598</v>
      </c>
      <c r="M82" s="17"/>
      <c r="O82" s="15"/>
      <c r="P82" s="15" t="s">
        <v>516</v>
      </c>
      <c r="Q82" s="16">
        <f t="shared" si="2"/>
        <v>0</v>
      </c>
      <c r="R82" s="16">
        <f t="shared" si="3"/>
        <v>0.44</v>
      </c>
      <c r="S82" s="6"/>
      <c r="T82" s="6"/>
      <c r="U82" s="6"/>
    </row>
    <row r="83" spans="1:24" s="11" customFormat="1" ht="24" customHeight="1" x14ac:dyDescent="0.35">
      <c r="A83" s="9" t="s">
        <v>608</v>
      </c>
      <c r="B83" s="8" t="s">
        <v>609</v>
      </c>
      <c r="C83" s="44" t="s">
        <v>381</v>
      </c>
      <c r="D83" s="99">
        <v>0.81</v>
      </c>
      <c r="E83" s="9" t="s">
        <v>610</v>
      </c>
      <c r="F83" s="9" t="s">
        <v>728</v>
      </c>
      <c r="G83" s="67">
        <v>0</v>
      </c>
      <c r="H83" s="67">
        <v>1</v>
      </c>
      <c r="I83" s="7">
        <v>43009</v>
      </c>
      <c r="J83" s="7">
        <v>43070</v>
      </c>
      <c r="K83" s="9" t="s">
        <v>195</v>
      </c>
      <c r="L83" s="70" t="s">
        <v>598</v>
      </c>
      <c r="M83" s="17"/>
      <c r="O83" s="15"/>
      <c r="P83" s="15" t="s">
        <v>516</v>
      </c>
      <c r="Q83" s="16">
        <f t="shared" si="2"/>
        <v>0</v>
      </c>
      <c r="R83" s="16">
        <f t="shared" si="3"/>
        <v>0.81</v>
      </c>
      <c r="S83" s="6"/>
      <c r="T83" s="6"/>
      <c r="U83" s="6"/>
    </row>
    <row r="84" spans="1:24" s="11" customFormat="1" ht="28" x14ac:dyDescent="0.35">
      <c r="A84" s="9" t="s">
        <v>623</v>
      </c>
      <c r="B84" s="8" t="s">
        <v>650</v>
      </c>
      <c r="C84" s="44" t="s">
        <v>381</v>
      </c>
      <c r="D84" s="99">
        <v>146.29411764705881</v>
      </c>
      <c r="E84" s="9" t="s">
        <v>80</v>
      </c>
      <c r="F84" s="9" t="s">
        <v>728</v>
      </c>
      <c r="G84" s="67">
        <v>1</v>
      </c>
      <c r="H84" s="67">
        <v>0</v>
      </c>
      <c r="I84" s="7">
        <v>43252</v>
      </c>
      <c r="J84" s="7">
        <v>43405</v>
      </c>
      <c r="K84" s="9" t="s">
        <v>195</v>
      </c>
      <c r="L84" s="70" t="s">
        <v>630</v>
      </c>
      <c r="M84" s="17"/>
      <c r="O84" s="15"/>
      <c r="P84" s="15" t="s">
        <v>516</v>
      </c>
      <c r="Q84" s="16">
        <f t="shared" si="2"/>
        <v>146.29411764705881</v>
      </c>
      <c r="R84" s="16">
        <f t="shared" si="3"/>
        <v>0</v>
      </c>
      <c r="S84" s="6"/>
      <c r="T84" s="6"/>
      <c r="U84" s="6"/>
      <c r="X84" s="112"/>
    </row>
    <row r="85" spans="1:24" s="11" customFormat="1" ht="28" x14ac:dyDescent="0.35">
      <c r="A85" s="9" t="s">
        <v>624</v>
      </c>
      <c r="B85" s="8" t="s">
        <v>629</v>
      </c>
      <c r="C85" s="44" t="s">
        <v>382</v>
      </c>
      <c r="D85" s="99">
        <v>734.85031847133746</v>
      </c>
      <c r="E85" s="9" t="s">
        <v>80</v>
      </c>
      <c r="F85" s="9" t="s">
        <v>728</v>
      </c>
      <c r="G85" s="67">
        <v>1</v>
      </c>
      <c r="H85" s="67">
        <v>0</v>
      </c>
      <c r="I85" s="7">
        <v>43374</v>
      </c>
      <c r="J85" s="7">
        <v>43466</v>
      </c>
      <c r="K85" s="9" t="s">
        <v>664</v>
      </c>
      <c r="L85" s="70" t="s">
        <v>688</v>
      </c>
      <c r="M85" s="17"/>
      <c r="O85" s="15"/>
      <c r="P85" s="15" t="s">
        <v>516</v>
      </c>
      <c r="Q85" s="16">
        <f t="shared" si="2"/>
        <v>734.85031847133746</v>
      </c>
      <c r="R85" s="16">
        <f t="shared" si="3"/>
        <v>0</v>
      </c>
      <c r="S85" s="6"/>
      <c r="T85" s="6"/>
      <c r="U85" s="6"/>
      <c r="X85" s="112"/>
    </row>
    <row r="86" spans="1:24" s="11" customFormat="1" ht="28" x14ac:dyDescent="0.35">
      <c r="A86" s="9" t="s">
        <v>625</v>
      </c>
      <c r="B86" s="8" t="s">
        <v>628</v>
      </c>
      <c r="C86" s="44" t="s">
        <v>382</v>
      </c>
      <c r="D86" s="99">
        <v>16.65778823529412</v>
      </c>
      <c r="E86" s="9" t="s">
        <v>80</v>
      </c>
      <c r="F86" s="9" t="s">
        <v>728</v>
      </c>
      <c r="G86" s="67">
        <v>1</v>
      </c>
      <c r="H86" s="67">
        <v>0</v>
      </c>
      <c r="I86" s="7">
        <v>43252</v>
      </c>
      <c r="J86" s="7">
        <v>43405</v>
      </c>
      <c r="K86" s="9" t="s">
        <v>195</v>
      </c>
      <c r="L86" s="70" t="s">
        <v>627</v>
      </c>
      <c r="M86" s="17"/>
      <c r="O86" s="15"/>
      <c r="P86" s="15" t="s">
        <v>516</v>
      </c>
      <c r="Q86" s="16">
        <f t="shared" si="2"/>
        <v>16.65778823529412</v>
      </c>
      <c r="R86" s="16">
        <f t="shared" si="3"/>
        <v>0</v>
      </c>
      <c r="S86" s="6"/>
      <c r="T86" s="6"/>
      <c r="U86" s="6"/>
    </row>
    <row r="87" spans="1:24" s="11" customFormat="1" ht="28" x14ac:dyDescent="0.35">
      <c r="A87" s="9" t="s">
        <v>626</v>
      </c>
      <c r="B87" s="8" t="s">
        <v>635</v>
      </c>
      <c r="C87" s="44" t="s">
        <v>382</v>
      </c>
      <c r="D87" s="99">
        <v>95.585882352941169</v>
      </c>
      <c r="E87" s="9" t="s">
        <v>80</v>
      </c>
      <c r="F87" s="9" t="s">
        <v>728</v>
      </c>
      <c r="G87" s="67">
        <v>1</v>
      </c>
      <c r="H87" s="67">
        <v>0</v>
      </c>
      <c r="I87" s="7">
        <v>43252</v>
      </c>
      <c r="J87" s="7">
        <v>43405</v>
      </c>
      <c r="K87" s="9" t="s">
        <v>195</v>
      </c>
      <c r="L87" s="70" t="s">
        <v>627</v>
      </c>
      <c r="M87" s="17"/>
      <c r="O87" s="15"/>
      <c r="P87" s="15" t="s">
        <v>516</v>
      </c>
      <c r="Q87" s="16">
        <f t="shared" si="2"/>
        <v>95.585882352941169</v>
      </c>
      <c r="R87" s="16">
        <f t="shared" si="3"/>
        <v>0</v>
      </c>
      <c r="S87" s="6"/>
      <c r="T87" s="6"/>
      <c r="U87" s="6"/>
    </row>
    <row r="88" spans="1:24" s="11" customFormat="1" ht="49.5" customHeight="1" x14ac:dyDescent="0.35">
      <c r="A88" s="9" t="s">
        <v>642</v>
      </c>
      <c r="B88" s="8" t="s">
        <v>643</v>
      </c>
      <c r="C88" s="44" t="s">
        <v>381</v>
      </c>
      <c r="D88" s="99">
        <v>36.47</v>
      </c>
      <c r="E88" s="9" t="s">
        <v>80</v>
      </c>
      <c r="F88" s="9" t="s">
        <v>728</v>
      </c>
      <c r="G88" s="67">
        <v>1</v>
      </c>
      <c r="H88" s="67">
        <v>0</v>
      </c>
      <c r="I88" s="7">
        <v>43252</v>
      </c>
      <c r="J88" s="7">
        <v>43405</v>
      </c>
      <c r="K88" s="9" t="s">
        <v>195</v>
      </c>
      <c r="L88" s="70" t="s">
        <v>644</v>
      </c>
      <c r="M88" s="17"/>
      <c r="O88" s="15"/>
      <c r="P88" s="15" t="s">
        <v>516</v>
      </c>
      <c r="Q88" s="16">
        <f t="shared" si="2"/>
        <v>36.47</v>
      </c>
      <c r="R88" s="16">
        <f t="shared" si="3"/>
        <v>0</v>
      </c>
      <c r="S88" s="6"/>
      <c r="T88" s="6"/>
      <c r="U88" s="6"/>
    </row>
    <row r="89" spans="1:24" s="11" customFormat="1" ht="49.5" customHeight="1" x14ac:dyDescent="0.35">
      <c r="A89" s="9" t="s">
        <v>665</v>
      </c>
      <c r="B89" s="8" t="s">
        <v>666</v>
      </c>
      <c r="C89" s="44" t="s">
        <v>381</v>
      </c>
      <c r="D89" s="99">
        <v>69.489999999999995</v>
      </c>
      <c r="E89" s="9" t="s">
        <v>611</v>
      </c>
      <c r="F89" s="9" t="s">
        <v>728</v>
      </c>
      <c r="G89" s="67">
        <v>1</v>
      </c>
      <c r="H89" s="67">
        <v>0</v>
      </c>
      <c r="I89" s="7">
        <v>43374</v>
      </c>
      <c r="J89" s="7">
        <v>43497</v>
      </c>
      <c r="K89" s="9" t="s">
        <v>84</v>
      </c>
      <c r="L89" s="70" t="s">
        <v>667</v>
      </c>
      <c r="M89" s="17"/>
      <c r="O89" s="15"/>
      <c r="P89" s="15" t="s">
        <v>516</v>
      </c>
      <c r="Q89" s="16">
        <f t="shared" si="2"/>
        <v>69.489999999999995</v>
      </c>
      <c r="R89" s="16">
        <f t="shared" si="3"/>
        <v>0</v>
      </c>
      <c r="S89" s="6"/>
      <c r="T89" s="6"/>
      <c r="U89" s="6"/>
    </row>
    <row r="90" spans="1:24" s="6" customFormat="1" ht="35.15" customHeight="1" x14ac:dyDescent="0.35">
      <c r="A90" s="9" t="s">
        <v>669</v>
      </c>
      <c r="B90" s="8" t="s">
        <v>670</v>
      </c>
      <c r="C90" s="44" t="s">
        <v>381</v>
      </c>
      <c r="D90" s="99">
        <v>11.76</v>
      </c>
      <c r="E90" s="9" t="s">
        <v>80</v>
      </c>
      <c r="F90" s="9" t="s">
        <v>728</v>
      </c>
      <c r="G90" s="67">
        <v>1</v>
      </c>
      <c r="H90" s="67">
        <v>0</v>
      </c>
      <c r="I90" s="7">
        <v>43374</v>
      </c>
      <c r="J90" s="7">
        <v>43466</v>
      </c>
      <c r="K90" s="9" t="s">
        <v>84</v>
      </c>
      <c r="L90" s="70" t="s">
        <v>689</v>
      </c>
      <c r="M90" s="131"/>
      <c r="O90" s="15"/>
      <c r="P90" s="15" t="s">
        <v>516</v>
      </c>
      <c r="Q90" s="16">
        <f t="shared" si="2"/>
        <v>11.76</v>
      </c>
      <c r="R90" s="16">
        <f t="shared" si="3"/>
        <v>0</v>
      </c>
    </row>
    <row r="91" spans="1:24" s="6" customFormat="1" ht="35.15" customHeight="1" x14ac:dyDescent="0.35">
      <c r="A91" s="9" t="s">
        <v>695</v>
      </c>
      <c r="B91" s="8" t="s">
        <v>701</v>
      </c>
      <c r="C91" s="44" t="s">
        <v>381</v>
      </c>
      <c r="D91" s="99">
        <v>147.46</v>
      </c>
      <c r="E91" s="9" t="s">
        <v>80</v>
      </c>
      <c r="F91" s="7" t="s">
        <v>728</v>
      </c>
      <c r="G91" s="67">
        <v>1</v>
      </c>
      <c r="H91" s="67">
        <v>0</v>
      </c>
      <c r="I91" s="7">
        <v>43525</v>
      </c>
      <c r="J91" s="7">
        <v>43800</v>
      </c>
      <c r="K91" s="9" t="s">
        <v>84</v>
      </c>
      <c r="L91" s="70" t="s">
        <v>696</v>
      </c>
      <c r="M91" s="131"/>
      <c r="O91" s="15"/>
      <c r="P91" s="15"/>
      <c r="Q91" s="16"/>
      <c r="R91" s="16"/>
    </row>
    <row r="92" spans="1:24" s="6" customFormat="1" ht="41.25" customHeight="1" x14ac:dyDescent="0.35">
      <c r="A92" s="9" t="s">
        <v>724</v>
      </c>
      <c r="B92" s="8" t="s">
        <v>635</v>
      </c>
      <c r="C92" s="44" t="s">
        <v>381</v>
      </c>
      <c r="D92" s="99">
        <f>347575/3.4/1000</f>
        <v>102.22794117647059</v>
      </c>
      <c r="E92" s="9" t="s">
        <v>80</v>
      </c>
      <c r="F92" s="7" t="s">
        <v>728</v>
      </c>
      <c r="G92" s="67">
        <v>1</v>
      </c>
      <c r="H92" s="67">
        <v>0</v>
      </c>
      <c r="I92" s="7">
        <v>43586</v>
      </c>
      <c r="J92" s="7">
        <v>43617</v>
      </c>
      <c r="K92" s="9" t="s">
        <v>84</v>
      </c>
      <c r="L92" s="70" t="s">
        <v>725</v>
      </c>
      <c r="M92" s="131"/>
      <c r="O92" s="15"/>
      <c r="P92" s="15"/>
      <c r="Q92" s="16"/>
      <c r="R92" s="16"/>
    </row>
    <row r="93" spans="1:24" s="6" customFormat="1" ht="35.15" customHeight="1" x14ac:dyDescent="0.35">
      <c r="A93" s="51" t="s">
        <v>39</v>
      </c>
      <c r="B93" s="51"/>
      <c r="C93" s="34"/>
      <c r="D93" s="24">
        <f>SUM(D12:D91)</f>
        <v>39461.365260089638</v>
      </c>
      <c r="E93" s="117"/>
      <c r="F93" s="118"/>
      <c r="G93" s="24">
        <f>SUMPRODUCT(G12:G91,$D$12:$D$91)</f>
        <v>32870.580839022747</v>
      </c>
      <c r="H93" s="24">
        <f>SUMPRODUCT(H12:H91,$D$12:$D$91)</f>
        <v>6590.7844210668809</v>
      </c>
      <c r="I93" s="119"/>
      <c r="J93" s="119"/>
      <c r="K93" s="120"/>
      <c r="L93" s="121"/>
      <c r="M93" s="121"/>
      <c r="O93" s="80"/>
      <c r="P93" s="80"/>
      <c r="Q93" s="81"/>
    </row>
    <row r="94" spans="1:24" s="6" customFormat="1" ht="35.15" customHeight="1" x14ac:dyDescent="0.35">
      <c r="A94" s="25"/>
      <c r="B94" s="25"/>
      <c r="C94" s="25"/>
      <c r="D94" s="126"/>
      <c r="F94" s="127"/>
      <c r="G94" s="127"/>
      <c r="H94" s="29"/>
      <c r="I94" s="30"/>
      <c r="J94" s="30"/>
      <c r="K94" s="31"/>
      <c r="L94" s="32"/>
      <c r="O94" s="80"/>
      <c r="P94" s="80"/>
      <c r="Q94" s="81"/>
    </row>
    <row r="95" spans="1:24" s="11" customFormat="1" ht="15.5" x14ac:dyDescent="0.35">
      <c r="A95" s="49" t="s">
        <v>43</v>
      </c>
      <c r="B95" s="52"/>
      <c r="C95" s="52"/>
      <c r="D95" s="52"/>
      <c r="E95" s="52"/>
      <c r="F95" s="52"/>
      <c r="G95" s="52"/>
      <c r="H95" s="52"/>
      <c r="I95" s="52"/>
      <c r="J95" s="52"/>
      <c r="K95" s="77"/>
      <c r="L95" s="52"/>
      <c r="M95" s="53"/>
      <c r="S95" s="79"/>
      <c r="T95" s="79"/>
      <c r="U95" s="79"/>
    </row>
    <row r="96" spans="1:24" s="11" customFormat="1" ht="28" x14ac:dyDescent="0.35">
      <c r="A96" s="9" t="s">
        <v>96</v>
      </c>
      <c r="B96" s="8" t="s">
        <v>250</v>
      </c>
      <c r="C96" s="44" t="s">
        <v>381</v>
      </c>
      <c r="D96" s="10">
        <v>283.04500000000002</v>
      </c>
      <c r="E96" s="9" t="s">
        <v>105</v>
      </c>
      <c r="F96" s="9" t="s">
        <v>728</v>
      </c>
      <c r="G96" s="23">
        <v>0</v>
      </c>
      <c r="H96" s="23">
        <v>1</v>
      </c>
      <c r="I96" s="7">
        <v>40878</v>
      </c>
      <c r="J96" s="7">
        <v>41395</v>
      </c>
      <c r="K96" s="9" t="s">
        <v>195</v>
      </c>
      <c r="L96" s="14" t="s">
        <v>293</v>
      </c>
      <c r="M96" s="16"/>
      <c r="O96" s="15"/>
      <c r="P96" s="15" t="s">
        <v>516</v>
      </c>
      <c r="Q96" s="16">
        <f>+$D96*G96</f>
        <v>0</v>
      </c>
      <c r="R96" s="16">
        <f>+$D96*H96</f>
        <v>283.04500000000002</v>
      </c>
      <c r="S96" s="79"/>
      <c r="T96" s="79"/>
      <c r="U96" s="79"/>
    </row>
    <row r="97" spans="1:23" s="11" customFormat="1" ht="28" x14ac:dyDescent="0.35">
      <c r="A97" s="9" t="s">
        <v>97</v>
      </c>
      <c r="B97" s="8" t="s">
        <v>251</v>
      </c>
      <c r="C97" s="44" t="s">
        <v>381</v>
      </c>
      <c r="D97" s="10">
        <v>192.49</v>
      </c>
      <c r="E97" s="9" t="s">
        <v>105</v>
      </c>
      <c r="F97" s="9" t="s">
        <v>728</v>
      </c>
      <c r="G97" s="23">
        <v>0</v>
      </c>
      <c r="H97" s="23">
        <v>1</v>
      </c>
      <c r="I97" s="7">
        <v>40483</v>
      </c>
      <c r="J97" s="7">
        <v>41395</v>
      </c>
      <c r="K97" s="9" t="s">
        <v>195</v>
      </c>
      <c r="L97" s="14" t="s">
        <v>292</v>
      </c>
      <c r="M97" s="16"/>
      <c r="O97" s="15"/>
      <c r="P97" s="15" t="s">
        <v>516</v>
      </c>
      <c r="Q97" s="16">
        <f t="shared" ref="Q97:Q135" si="4">+$D97*G97</f>
        <v>0</v>
      </c>
      <c r="R97" s="16">
        <f t="shared" ref="R97:R135" si="5">+$D97*H97</f>
        <v>192.49</v>
      </c>
      <c r="S97" s="79"/>
      <c r="T97" s="79"/>
      <c r="U97" s="79"/>
    </row>
    <row r="98" spans="1:23" s="11" customFormat="1" ht="28" x14ac:dyDescent="0.35">
      <c r="A98" s="9" t="s">
        <v>98</v>
      </c>
      <c r="B98" s="8" t="s">
        <v>550</v>
      </c>
      <c r="C98" s="44" t="s">
        <v>381</v>
      </c>
      <c r="D98" s="10">
        <v>43.1</v>
      </c>
      <c r="E98" s="9" t="s">
        <v>81</v>
      </c>
      <c r="F98" s="9" t="s">
        <v>82</v>
      </c>
      <c r="G98" s="23">
        <v>1</v>
      </c>
      <c r="H98" s="23">
        <v>0</v>
      </c>
      <c r="I98" s="7">
        <v>42156</v>
      </c>
      <c r="J98" s="7">
        <v>42644</v>
      </c>
      <c r="K98" s="9" t="s">
        <v>315</v>
      </c>
      <c r="L98" s="14" t="s">
        <v>406</v>
      </c>
      <c r="M98" s="16"/>
      <c r="O98" s="15"/>
      <c r="P98" s="15" t="s">
        <v>516</v>
      </c>
      <c r="Q98" s="16">
        <f t="shared" si="4"/>
        <v>43.1</v>
      </c>
      <c r="R98" s="16">
        <f t="shared" si="5"/>
        <v>0</v>
      </c>
      <c r="S98" s="79"/>
      <c r="T98" s="79"/>
      <c r="U98" s="79"/>
    </row>
    <row r="99" spans="1:23" s="11" customFormat="1" ht="23" x14ac:dyDescent="0.35">
      <c r="A99" s="9" t="s">
        <v>99</v>
      </c>
      <c r="B99" s="8" t="s">
        <v>428</v>
      </c>
      <c r="C99" s="44" t="s">
        <v>381</v>
      </c>
      <c r="D99" s="10">
        <v>494.94</v>
      </c>
      <c r="E99" s="9" t="s">
        <v>81</v>
      </c>
      <c r="F99" s="9" t="s">
        <v>82</v>
      </c>
      <c r="G99" s="23">
        <v>0.82</v>
      </c>
      <c r="H99" s="23">
        <v>0.18</v>
      </c>
      <c r="I99" s="7">
        <v>41395</v>
      </c>
      <c r="J99" s="7">
        <v>41913</v>
      </c>
      <c r="K99" s="9" t="s">
        <v>315</v>
      </c>
      <c r="L99" s="14" t="s">
        <v>295</v>
      </c>
      <c r="M99" s="16"/>
      <c r="O99" s="15"/>
      <c r="P99" s="15" t="s">
        <v>516</v>
      </c>
      <c r="Q99" s="16">
        <f t="shared" si="4"/>
        <v>405.85079999999999</v>
      </c>
      <c r="R99" s="16">
        <f t="shared" si="5"/>
        <v>89.089199999999991</v>
      </c>
      <c r="S99" s="79"/>
      <c r="T99" s="79"/>
      <c r="U99" s="79"/>
    </row>
    <row r="100" spans="1:23" s="11" customFormat="1" ht="23" x14ac:dyDescent="0.35">
      <c r="A100" s="9" t="s">
        <v>100</v>
      </c>
      <c r="B100" s="8" t="s">
        <v>103</v>
      </c>
      <c r="C100" s="44" t="s">
        <v>381</v>
      </c>
      <c r="D100" s="10">
        <v>1839.038</v>
      </c>
      <c r="E100" s="9" t="s">
        <v>81</v>
      </c>
      <c r="F100" s="9" t="s">
        <v>82</v>
      </c>
      <c r="G100" s="23">
        <v>1</v>
      </c>
      <c r="H100" s="23">
        <v>0</v>
      </c>
      <c r="I100" s="7">
        <v>42614</v>
      </c>
      <c r="J100" s="7">
        <v>42948</v>
      </c>
      <c r="K100" s="9" t="s">
        <v>195</v>
      </c>
      <c r="L100" s="14" t="s">
        <v>551</v>
      </c>
      <c r="M100" s="16"/>
      <c r="O100" s="15"/>
      <c r="P100" s="15" t="s">
        <v>516</v>
      </c>
      <c r="Q100" s="16">
        <f t="shared" si="4"/>
        <v>1839.038</v>
      </c>
      <c r="R100" s="16">
        <f t="shared" si="5"/>
        <v>0</v>
      </c>
      <c r="S100" s="79"/>
      <c r="T100" s="79"/>
      <c r="U100" s="79"/>
    </row>
    <row r="101" spans="1:23" s="11" customFormat="1" ht="28" x14ac:dyDescent="0.35">
      <c r="A101" s="9" t="s">
        <v>101</v>
      </c>
      <c r="B101" s="8" t="s">
        <v>35</v>
      </c>
      <c r="C101" s="44" t="s">
        <v>381</v>
      </c>
      <c r="D101" s="10">
        <v>516.20100000000002</v>
      </c>
      <c r="E101" s="9" t="s">
        <v>81</v>
      </c>
      <c r="F101" s="9" t="s">
        <v>82</v>
      </c>
      <c r="G101" s="23">
        <v>0.64</v>
      </c>
      <c r="H101" s="23">
        <v>0.36</v>
      </c>
      <c r="I101" s="7">
        <v>41426</v>
      </c>
      <c r="J101" s="7">
        <v>41852</v>
      </c>
      <c r="K101" s="19" t="s">
        <v>195</v>
      </c>
      <c r="L101" s="14" t="s">
        <v>239</v>
      </c>
      <c r="M101" s="16"/>
      <c r="O101" s="15"/>
      <c r="P101" s="15" t="s">
        <v>516</v>
      </c>
      <c r="Q101" s="16">
        <f t="shared" si="4"/>
        <v>330.36864000000003</v>
      </c>
      <c r="R101" s="16">
        <f t="shared" si="5"/>
        <v>185.83235999999999</v>
      </c>
      <c r="S101" s="79"/>
      <c r="T101" s="79"/>
      <c r="U101" s="79"/>
    </row>
    <row r="102" spans="1:23" s="11" customFormat="1" ht="23" x14ac:dyDescent="0.35">
      <c r="A102" s="9" t="s">
        <v>102</v>
      </c>
      <c r="B102" s="8" t="s">
        <v>51</v>
      </c>
      <c r="C102" s="44" t="s">
        <v>381</v>
      </c>
      <c r="D102" s="10">
        <v>731.21</v>
      </c>
      <c r="E102" s="9" t="s">
        <v>81</v>
      </c>
      <c r="F102" s="9" t="s">
        <v>82</v>
      </c>
      <c r="G102" s="23">
        <v>1</v>
      </c>
      <c r="H102" s="23">
        <v>0</v>
      </c>
      <c r="I102" s="7">
        <v>42248</v>
      </c>
      <c r="J102" s="7">
        <v>42917</v>
      </c>
      <c r="K102" s="19" t="s">
        <v>195</v>
      </c>
      <c r="L102" s="14" t="s">
        <v>434</v>
      </c>
      <c r="M102" s="17"/>
      <c r="O102" s="15"/>
      <c r="P102" s="15" t="s">
        <v>516</v>
      </c>
      <c r="Q102" s="16">
        <f t="shared" si="4"/>
        <v>731.21</v>
      </c>
      <c r="R102" s="16">
        <f t="shared" si="5"/>
        <v>0</v>
      </c>
      <c r="S102" s="79"/>
      <c r="T102" s="79"/>
      <c r="U102" s="79"/>
    </row>
    <row r="103" spans="1:23" s="11" customFormat="1" ht="28" x14ac:dyDescent="0.35">
      <c r="A103" s="9" t="s">
        <v>104</v>
      </c>
      <c r="B103" s="8" t="s">
        <v>454</v>
      </c>
      <c r="C103" s="44" t="s">
        <v>383</v>
      </c>
      <c r="D103" s="10">
        <v>19440.560000000001</v>
      </c>
      <c r="E103" s="9" t="s">
        <v>81</v>
      </c>
      <c r="F103" s="9" t="s">
        <v>83</v>
      </c>
      <c r="G103" s="101">
        <v>0.99336931577005128</v>
      </c>
      <c r="H103" s="101">
        <v>6.6306842299486482E-3</v>
      </c>
      <c r="I103" s="7">
        <v>41760</v>
      </c>
      <c r="J103" s="7">
        <v>43509</v>
      </c>
      <c r="K103" s="9" t="s">
        <v>144</v>
      </c>
      <c r="L103" s="14" t="s">
        <v>538</v>
      </c>
      <c r="M103" s="16"/>
      <c r="O103" s="15"/>
      <c r="P103" s="15" t="s">
        <v>517</v>
      </c>
      <c r="Q103" s="16">
        <f t="shared" si="4"/>
        <v>19311.655785386629</v>
      </c>
      <c r="R103" s="16">
        <f t="shared" si="5"/>
        <v>128.9042146133705</v>
      </c>
      <c r="S103" s="79"/>
      <c r="T103" s="79"/>
      <c r="U103" s="79"/>
      <c r="W103" s="110"/>
    </row>
    <row r="104" spans="1:23" s="11" customFormat="1" ht="23" x14ac:dyDescent="0.35">
      <c r="A104" s="9" t="s">
        <v>199</v>
      </c>
      <c r="B104" s="8" t="s">
        <v>58</v>
      </c>
      <c r="C104" s="44" t="s">
        <v>382</v>
      </c>
      <c r="D104" s="10">
        <v>1857.6962141176471</v>
      </c>
      <c r="E104" s="9" t="s">
        <v>81</v>
      </c>
      <c r="F104" s="9" t="s">
        <v>82</v>
      </c>
      <c r="G104" s="23">
        <v>0.95</v>
      </c>
      <c r="H104" s="23">
        <v>0.05</v>
      </c>
      <c r="I104" s="7">
        <v>41518</v>
      </c>
      <c r="J104" s="7">
        <v>42461</v>
      </c>
      <c r="K104" s="19" t="s">
        <v>315</v>
      </c>
      <c r="L104" s="14" t="s">
        <v>633</v>
      </c>
      <c r="M104" s="57"/>
      <c r="O104" s="15"/>
      <c r="P104" s="15" t="s">
        <v>516</v>
      </c>
      <c r="Q104" s="16">
        <f t="shared" si="4"/>
        <v>1764.8114034117646</v>
      </c>
      <c r="R104" s="16">
        <f t="shared" si="5"/>
        <v>92.884810705882359</v>
      </c>
      <c r="S104" s="6"/>
      <c r="T104" s="6"/>
      <c r="U104" s="6"/>
      <c r="W104" s="110"/>
    </row>
    <row r="105" spans="1:23" s="11" customFormat="1" ht="28" x14ac:dyDescent="0.35">
      <c r="A105" s="9" t="s">
        <v>237</v>
      </c>
      <c r="B105" s="8" t="s">
        <v>252</v>
      </c>
      <c r="C105" s="44" t="s">
        <v>381</v>
      </c>
      <c r="D105" s="10">
        <v>324.22000000000003</v>
      </c>
      <c r="E105" s="9" t="s">
        <v>105</v>
      </c>
      <c r="F105" s="9" t="s">
        <v>728</v>
      </c>
      <c r="G105" s="23">
        <v>0</v>
      </c>
      <c r="H105" s="23">
        <v>1</v>
      </c>
      <c r="I105" s="7">
        <v>40057</v>
      </c>
      <c r="J105" s="7">
        <v>41306</v>
      </c>
      <c r="K105" s="9" t="s">
        <v>195</v>
      </c>
      <c r="L105" s="14" t="s">
        <v>304</v>
      </c>
      <c r="M105" s="57"/>
      <c r="O105" s="15"/>
      <c r="P105" s="15" t="s">
        <v>516</v>
      </c>
      <c r="Q105" s="16">
        <f t="shared" si="4"/>
        <v>0</v>
      </c>
      <c r="R105" s="16">
        <f t="shared" si="5"/>
        <v>324.22000000000003</v>
      </c>
      <c r="W105" s="111"/>
    </row>
    <row r="106" spans="1:23" s="11" customFormat="1" ht="28" x14ac:dyDescent="0.35">
      <c r="A106" s="9" t="s">
        <v>247</v>
      </c>
      <c r="B106" s="8" t="s">
        <v>506</v>
      </c>
      <c r="C106" s="44" t="s">
        <v>381</v>
      </c>
      <c r="D106" s="10">
        <v>519.81500000000005</v>
      </c>
      <c r="E106" s="9" t="s">
        <v>81</v>
      </c>
      <c r="F106" s="9" t="s">
        <v>82</v>
      </c>
      <c r="G106" s="23">
        <v>1</v>
      </c>
      <c r="H106" s="23">
        <v>0</v>
      </c>
      <c r="I106" s="7">
        <v>40087</v>
      </c>
      <c r="J106" s="7">
        <v>41395</v>
      </c>
      <c r="K106" s="9" t="s">
        <v>315</v>
      </c>
      <c r="L106" s="14" t="s">
        <v>305</v>
      </c>
      <c r="M106" s="57"/>
      <c r="O106" s="15"/>
      <c r="P106" s="15" t="s">
        <v>516</v>
      </c>
      <c r="Q106" s="16">
        <f t="shared" si="4"/>
        <v>519.81500000000005</v>
      </c>
      <c r="R106" s="16">
        <f t="shared" si="5"/>
        <v>0</v>
      </c>
      <c r="S106" s="6"/>
      <c r="T106" s="6"/>
      <c r="U106" s="6"/>
      <c r="W106" s="112"/>
    </row>
    <row r="107" spans="1:23" s="11" customFormat="1" ht="28" x14ac:dyDescent="0.35">
      <c r="A107" s="9" t="s">
        <v>244</v>
      </c>
      <c r="B107" s="8" t="s">
        <v>477</v>
      </c>
      <c r="C107" s="44" t="s">
        <v>381</v>
      </c>
      <c r="D107" s="10">
        <v>236.93</v>
      </c>
      <c r="E107" s="9" t="s">
        <v>105</v>
      </c>
      <c r="F107" s="9" t="s">
        <v>728</v>
      </c>
      <c r="G107" s="23">
        <v>0</v>
      </c>
      <c r="H107" s="23">
        <v>1</v>
      </c>
      <c r="I107" s="7">
        <v>40513</v>
      </c>
      <c r="J107" s="7">
        <v>41061</v>
      </c>
      <c r="K107" s="9" t="s">
        <v>195</v>
      </c>
      <c r="L107" s="14" t="s">
        <v>296</v>
      </c>
      <c r="M107" s="57"/>
      <c r="O107" s="15"/>
      <c r="P107" s="15" t="s">
        <v>516</v>
      </c>
      <c r="Q107" s="16">
        <f t="shared" si="4"/>
        <v>0</v>
      </c>
      <c r="R107" s="16">
        <f t="shared" si="5"/>
        <v>236.93</v>
      </c>
      <c r="S107" s="6"/>
      <c r="T107" s="6"/>
      <c r="U107" s="6"/>
      <c r="W107" s="112"/>
    </row>
    <row r="108" spans="1:23" s="11" customFormat="1" ht="28" x14ac:dyDescent="0.35">
      <c r="A108" s="9" t="s">
        <v>245</v>
      </c>
      <c r="B108" s="8" t="s">
        <v>238</v>
      </c>
      <c r="C108" s="44" t="s">
        <v>381</v>
      </c>
      <c r="D108" s="10">
        <v>17.428000000000001</v>
      </c>
      <c r="E108" s="9" t="s">
        <v>105</v>
      </c>
      <c r="F108" s="9" t="s">
        <v>728</v>
      </c>
      <c r="G108" s="23">
        <v>0</v>
      </c>
      <c r="H108" s="23">
        <v>1</v>
      </c>
      <c r="I108" s="7">
        <v>40087</v>
      </c>
      <c r="J108" s="7">
        <v>40148</v>
      </c>
      <c r="K108" s="9" t="s">
        <v>195</v>
      </c>
      <c r="L108" s="14" t="s">
        <v>306</v>
      </c>
      <c r="M108" s="57"/>
      <c r="O108" s="15"/>
      <c r="P108" s="15" t="s">
        <v>516</v>
      </c>
      <c r="Q108" s="16">
        <f t="shared" si="4"/>
        <v>0</v>
      </c>
      <c r="R108" s="16">
        <f t="shared" si="5"/>
        <v>17.428000000000001</v>
      </c>
      <c r="S108" s="6"/>
      <c r="T108" s="6"/>
      <c r="U108" s="6"/>
      <c r="W108" s="112"/>
    </row>
    <row r="109" spans="1:23" s="11" customFormat="1" ht="56" x14ac:dyDescent="0.35">
      <c r="A109" s="9" t="s">
        <v>246</v>
      </c>
      <c r="B109" s="8" t="s">
        <v>253</v>
      </c>
      <c r="C109" s="44" t="s">
        <v>381</v>
      </c>
      <c r="D109" s="10">
        <v>177.47</v>
      </c>
      <c r="E109" s="9" t="s">
        <v>105</v>
      </c>
      <c r="F109" s="9" t="s">
        <v>728</v>
      </c>
      <c r="G109" s="23">
        <v>0</v>
      </c>
      <c r="H109" s="23">
        <v>1</v>
      </c>
      <c r="I109" s="7">
        <v>40118</v>
      </c>
      <c r="J109" s="7">
        <v>41334</v>
      </c>
      <c r="K109" s="9" t="s">
        <v>315</v>
      </c>
      <c r="L109" s="14" t="s">
        <v>307</v>
      </c>
      <c r="M109" s="58"/>
      <c r="O109" s="15"/>
      <c r="P109" s="15" t="s">
        <v>516</v>
      </c>
      <c r="Q109" s="16">
        <f t="shared" si="4"/>
        <v>0</v>
      </c>
      <c r="R109" s="16">
        <f t="shared" si="5"/>
        <v>177.47</v>
      </c>
      <c r="S109" s="6"/>
      <c r="T109" s="6"/>
      <c r="U109" s="6"/>
      <c r="W109" s="113"/>
    </row>
    <row r="110" spans="1:23" s="11" customFormat="1" ht="28" x14ac:dyDescent="0.35">
      <c r="A110" s="9" t="s">
        <v>260</v>
      </c>
      <c r="B110" s="68" t="s">
        <v>27</v>
      </c>
      <c r="C110" s="44" t="s">
        <v>383</v>
      </c>
      <c r="D110" s="10">
        <v>118341.69</v>
      </c>
      <c r="E110" s="9" t="s">
        <v>259</v>
      </c>
      <c r="F110" s="9" t="s">
        <v>728</v>
      </c>
      <c r="G110" s="23">
        <v>0</v>
      </c>
      <c r="H110" s="23">
        <v>1</v>
      </c>
      <c r="I110" s="7">
        <v>39652</v>
      </c>
      <c r="J110" s="7">
        <v>41284</v>
      </c>
      <c r="K110" s="9" t="s">
        <v>195</v>
      </c>
      <c r="L110" s="14" t="s">
        <v>387</v>
      </c>
      <c r="M110" s="17"/>
      <c r="O110" s="15"/>
      <c r="P110" s="15" t="s">
        <v>517</v>
      </c>
      <c r="Q110" s="16">
        <f t="shared" si="4"/>
        <v>0</v>
      </c>
      <c r="R110" s="16">
        <f t="shared" si="5"/>
        <v>118341.69</v>
      </c>
      <c r="S110" s="6"/>
      <c r="T110" s="6"/>
      <c r="U110" s="6"/>
      <c r="W110" s="113"/>
    </row>
    <row r="111" spans="1:23" s="11" customFormat="1" ht="42" x14ac:dyDescent="0.35">
      <c r="A111" s="9" t="s">
        <v>261</v>
      </c>
      <c r="B111" s="68" t="s">
        <v>28</v>
      </c>
      <c r="C111" s="44" t="s">
        <v>383</v>
      </c>
      <c r="D111" s="10">
        <v>84599.28</v>
      </c>
      <c r="E111" s="9" t="s">
        <v>259</v>
      </c>
      <c r="F111" s="9" t="s">
        <v>728</v>
      </c>
      <c r="G111" s="23">
        <v>0</v>
      </c>
      <c r="H111" s="23">
        <v>1</v>
      </c>
      <c r="I111" s="7">
        <v>39652</v>
      </c>
      <c r="J111" s="7">
        <v>41619</v>
      </c>
      <c r="K111" s="9" t="s">
        <v>195</v>
      </c>
      <c r="L111" s="14" t="s">
        <v>388</v>
      </c>
      <c r="M111" s="17"/>
      <c r="O111" s="15"/>
      <c r="P111" s="15" t="s">
        <v>517</v>
      </c>
      <c r="Q111" s="16">
        <f t="shared" si="4"/>
        <v>0</v>
      </c>
      <c r="R111" s="16">
        <f t="shared" si="5"/>
        <v>84599.28</v>
      </c>
      <c r="S111" s="6"/>
      <c r="T111" s="6"/>
      <c r="U111" s="6"/>
    </row>
    <row r="112" spans="1:23" s="11" customFormat="1" ht="42" x14ac:dyDescent="0.35">
      <c r="A112" s="9" t="s">
        <v>262</v>
      </c>
      <c r="B112" s="68" t="s">
        <v>29</v>
      </c>
      <c r="C112" s="44" t="s">
        <v>383</v>
      </c>
      <c r="D112" s="10">
        <v>57103.38</v>
      </c>
      <c r="E112" s="9" t="s">
        <v>259</v>
      </c>
      <c r="F112" s="9" t="s">
        <v>728</v>
      </c>
      <c r="G112" s="23">
        <v>0</v>
      </c>
      <c r="H112" s="23">
        <v>1</v>
      </c>
      <c r="I112" s="7">
        <v>39872</v>
      </c>
      <c r="J112" s="7">
        <v>41699</v>
      </c>
      <c r="K112" s="9" t="s">
        <v>195</v>
      </c>
      <c r="L112" s="14" t="s">
        <v>389</v>
      </c>
      <c r="M112" s="17"/>
      <c r="O112" s="15"/>
      <c r="P112" s="15" t="s">
        <v>517</v>
      </c>
      <c r="Q112" s="16">
        <f t="shared" si="4"/>
        <v>0</v>
      </c>
      <c r="R112" s="16">
        <f t="shared" si="5"/>
        <v>57103.38</v>
      </c>
      <c r="T112" s="6"/>
      <c r="U112" s="6"/>
    </row>
    <row r="113" spans="1:21" s="11" customFormat="1" ht="28" x14ac:dyDescent="0.35">
      <c r="A113" s="9" t="s">
        <v>263</v>
      </c>
      <c r="B113" s="68" t="s">
        <v>30</v>
      </c>
      <c r="C113" s="44" t="s">
        <v>383</v>
      </c>
      <c r="D113" s="10">
        <v>61299.02</v>
      </c>
      <c r="E113" s="9" t="s">
        <v>259</v>
      </c>
      <c r="F113" s="9" t="s">
        <v>728</v>
      </c>
      <c r="G113" s="23">
        <v>0</v>
      </c>
      <c r="H113" s="23">
        <v>1</v>
      </c>
      <c r="I113" s="7">
        <v>39652</v>
      </c>
      <c r="J113" s="7">
        <v>42430</v>
      </c>
      <c r="K113" s="9" t="s">
        <v>195</v>
      </c>
      <c r="L113" s="14" t="s">
        <v>386</v>
      </c>
      <c r="M113" s="17"/>
      <c r="O113" s="15"/>
      <c r="P113" s="15" t="s">
        <v>517</v>
      </c>
      <c r="Q113" s="16">
        <f t="shared" si="4"/>
        <v>0</v>
      </c>
      <c r="R113" s="16">
        <f t="shared" si="5"/>
        <v>61299.02</v>
      </c>
      <c r="S113" s="6"/>
      <c r="T113" s="6"/>
      <c r="U113" s="6"/>
    </row>
    <row r="114" spans="1:21" s="11" customFormat="1" ht="28" x14ac:dyDescent="0.35">
      <c r="A114" s="9" t="s">
        <v>264</v>
      </c>
      <c r="B114" s="68" t="s">
        <v>31</v>
      </c>
      <c r="C114" s="44" t="s">
        <v>383</v>
      </c>
      <c r="D114" s="10">
        <v>59563.19</v>
      </c>
      <c r="E114" s="9" t="s">
        <v>259</v>
      </c>
      <c r="F114" s="9" t="s">
        <v>728</v>
      </c>
      <c r="G114" s="23">
        <v>0</v>
      </c>
      <c r="H114" s="23">
        <v>1</v>
      </c>
      <c r="I114" s="7">
        <v>39652</v>
      </c>
      <c r="J114" s="7">
        <v>42248</v>
      </c>
      <c r="K114" s="9" t="s">
        <v>195</v>
      </c>
      <c r="L114" s="14" t="s">
        <v>390</v>
      </c>
      <c r="M114" s="17"/>
      <c r="O114" s="15"/>
      <c r="P114" s="15" t="s">
        <v>517</v>
      </c>
      <c r="Q114" s="16">
        <f t="shared" si="4"/>
        <v>0</v>
      </c>
      <c r="R114" s="16">
        <f t="shared" si="5"/>
        <v>59563.19</v>
      </c>
      <c r="S114" s="6"/>
      <c r="T114" s="6"/>
      <c r="U114" s="6"/>
    </row>
    <row r="115" spans="1:21" s="11" customFormat="1" ht="28" x14ac:dyDescent="0.35">
      <c r="A115" s="9" t="s">
        <v>303</v>
      </c>
      <c r="B115" s="8" t="s">
        <v>455</v>
      </c>
      <c r="C115" s="72" t="s">
        <v>383</v>
      </c>
      <c r="D115" s="102">
        <f>19202.59+48.03</f>
        <v>19250.62</v>
      </c>
      <c r="E115" s="73" t="s">
        <v>81</v>
      </c>
      <c r="F115" s="73" t="s">
        <v>83</v>
      </c>
      <c r="G115" s="101">
        <v>0.89500000000000002</v>
      </c>
      <c r="H115" s="101">
        <f>100%-G115</f>
        <v>0.10499999999999998</v>
      </c>
      <c r="I115" s="7">
        <v>41609</v>
      </c>
      <c r="J115" s="7">
        <v>43770</v>
      </c>
      <c r="K115" s="9" t="s">
        <v>144</v>
      </c>
      <c r="L115" s="74" t="s">
        <v>539</v>
      </c>
      <c r="M115" s="17"/>
      <c r="O115" s="15"/>
      <c r="P115" s="15" t="s">
        <v>517</v>
      </c>
      <c r="Q115" s="16">
        <f t="shared" si="4"/>
        <v>17229.304899999999</v>
      </c>
      <c r="R115" s="16">
        <f t="shared" si="5"/>
        <v>2021.3150999999996</v>
      </c>
      <c r="S115" s="146"/>
      <c r="T115" s="6"/>
      <c r="U115" s="6"/>
    </row>
    <row r="116" spans="1:21" s="11" customFormat="1" ht="28" x14ac:dyDescent="0.35">
      <c r="A116" s="9" t="s">
        <v>335</v>
      </c>
      <c r="B116" s="8" t="s">
        <v>456</v>
      </c>
      <c r="C116" s="72" t="s">
        <v>383</v>
      </c>
      <c r="D116" s="102">
        <f>8557.05+1.05</f>
        <v>8558.0999999999985</v>
      </c>
      <c r="E116" s="73" t="s">
        <v>81</v>
      </c>
      <c r="F116" s="73" t="s">
        <v>83</v>
      </c>
      <c r="G116" s="103">
        <v>0.99987730921583073</v>
      </c>
      <c r="H116" s="103">
        <v>1.2269078416926593E-4</v>
      </c>
      <c r="I116" s="7">
        <v>41609</v>
      </c>
      <c r="J116" s="7">
        <v>43386</v>
      </c>
      <c r="K116" s="9" t="s">
        <v>144</v>
      </c>
      <c r="L116" s="74" t="s">
        <v>334</v>
      </c>
      <c r="M116" s="17"/>
      <c r="O116" s="15"/>
      <c r="P116" s="15" t="s">
        <v>517</v>
      </c>
      <c r="Q116" s="16">
        <f t="shared" si="4"/>
        <v>8557.0499999999993</v>
      </c>
      <c r="R116" s="16">
        <f t="shared" si="5"/>
        <v>1.0499999999989946</v>
      </c>
      <c r="S116" s="6"/>
      <c r="T116" s="6"/>
      <c r="U116" s="6"/>
    </row>
    <row r="117" spans="1:21" s="11" customFormat="1" ht="28" x14ac:dyDescent="0.35">
      <c r="A117" s="9" t="s">
        <v>336</v>
      </c>
      <c r="B117" s="8" t="s">
        <v>457</v>
      </c>
      <c r="C117" s="72" t="s">
        <v>383</v>
      </c>
      <c r="D117" s="102">
        <f>6393.86+47.32</f>
        <v>6441.1799999999994</v>
      </c>
      <c r="E117" s="73" t="s">
        <v>81</v>
      </c>
      <c r="F117" s="73" t="s">
        <v>83</v>
      </c>
      <c r="G117" s="101">
        <v>0.99265321227132941</v>
      </c>
      <c r="H117" s="101">
        <v>7.3467877286705584E-3</v>
      </c>
      <c r="I117" s="7">
        <v>41671</v>
      </c>
      <c r="J117" s="7">
        <v>43346</v>
      </c>
      <c r="K117" s="9" t="s">
        <v>195</v>
      </c>
      <c r="L117" s="74" t="s">
        <v>541</v>
      </c>
      <c r="M117" s="57"/>
      <c r="O117" s="15"/>
      <c r="P117" s="15" t="s">
        <v>517</v>
      </c>
      <c r="Q117" s="16">
        <f t="shared" si="4"/>
        <v>6393.8580178178408</v>
      </c>
      <c r="R117" s="16">
        <f t="shared" si="5"/>
        <v>47.321982182158223</v>
      </c>
      <c r="S117" s="79"/>
      <c r="T117" s="79"/>
      <c r="U117" s="79"/>
    </row>
    <row r="118" spans="1:21" s="11" customFormat="1" ht="28" x14ac:dyDescent="0.35">
      <c r="A118" s="9" t="s">
        <v>345</v>
      </c>
      <c r="B118" s="8" t="s">
        <v>56</v>
      </c>
      <c r="C118" s="44" t="s">
        <v>381</v>
      </c>
      <c r="D118" s="10">
        <v>273.24</v>
      </c>
      <c r="E118" s="9" t="s">
        <v>105</v>
      </c>
      <c r="F118" s="9" t="s">
        <v>728</v>
      </c>
      <c r="G118" s="23">
        <v>0</v>
      </c>
      <c r="H118" s="23">
        <v>1</v>
      </c>
      <c r="I118" s="7">
        <v>40878</v>
      </c>
      <c r="J118" s="7">
        <v>41395</v>
      </c>
      <c r="K118" s="9" t="s">
        <v>195</v>
      </c>
      <c r="L118" s="14" t="s">
        <v>292</v>
      </c>
      <c r="M118" s="57"/>
      <c r="O118" s="15"/>
      <c r="P118" s="15" t="s">
        <v>516</v>
      </c>
      <c r="Q118" s="16">
        <f t="shared" si="4"/>
        <v>0</v>
      </c>
      <c r="R118" s="16">
        <f t="shared" si="5"/>
        <v>273.24</v>
      </c>
      <c r="S118" s="79"/>
      <c r="T118" s="79"/>
      <c r="U118" s="79"/>
    </row>
    <row r="119" spans="1:21" s="11" customFormat="1" ht="23" x14ac:dyDescent="0.35">
      <c r="A119" s="9" t="s">
        <v>353</v>
      </c>
      <c r="B119" s="8" t="s">
        <v>314</v>
      </c>
      <c r="C119" s="44" t="s">
        <v>381</v>
      </c>
      <c r="D119" s="10">
        <v>211.45</v>
      </c>
      <c r="E119" s="9" t="s">
        <v>81</v>
      </c>
      <c r="F119" s="9" t="s">
        <v>82</v>
      </c>
      <c r="G119" s="23">
        <v>1</v>
      </c>
      <c r="H119" s="23">
        <v>0</v>
      </c>
      <c r="I119" s="7">
        <v>41518</v>
      </c>
      <c r="J119" s="7">
        <v>42552</v>
      </c>
      <c r="K119" s="9" t="s">
        <v>195</v>
      </c>
      <c r="L119" s="14" t="s">
        <v>294</v>
      </c>
      <c r="M119" s="57"/>
      <c r="O119" s="15"/>
      <c r="P119" s="15" t="s">
        <v>516</v>
      </c>
      <c r="Q119" s="16">
        <f t="shared" si="4"/>
        <v>211.45</v>
      </c>
      <c r="R119" s="16">
        <f t="shared" si="5"/>
        <v>0</v>
      </c>
      <c r="S119" s="79"/>
      <c r="T119" s="79"/>
      <c r="U119" s="79"/>
    </row>
    <row r="120" spans="1:21" s="11" customFormat="1" ht="28" x14ac:dyDescent="0.35">
      <c r="A120" s="9" t="s">
        <v>398</v>
      </c>
      <c r="B120" s="8" t="s">
        <v>54</v>
      </c>
      <c r="C120" s="44" t="s">
        <v>381</v>
      </c>
      <c r="D120" s="10">
        <v>143.53</v>
      </c>
      <c r="E120" s="9" t="s">
        <v>105</v>
      </c>
      <c r="F120" s="9" t="s">
        <v>728</v>
      </c>
      <c r="G120" s="23">
        <v>0</v>
      </c>
      <c r="H120" s="23">
        <v>1</v>
      </c>
      <c r="I120" s="7">
        <v>41518</v>
      </c>
      <c r="J120" s="7">
        <v>41944</v>
      </c>
      <c r="K120" s="9" t="s">
        <v>195</v>
      </c>
      <c r="L120" s="14" t="s">
        <v>53</v>
      </c>
      <c r="M120" s="58"/>
      <c r="O120" s="15"/>
      <c r="P120" s="15" t="s">
        <v>516</v>
      </c>
      <c r="Q120" s="16">
        <f t="shared" si="4"/>
        <v>0</v>
      </c>
      <c r="R120" s="16">
        <f t="shared" si="5"/>
        <v>143.53</v>
      </c>
      <c r="S120" s="79"/>
      <c r="T120" s="79"/>
      <c r="U120" s="79"/>
    </row>
    <row r="121" spans="1:21" s="11" customFormat="1" ht="27" customHeight="1" x14ac:dyDescent="0.35">
      <c r="A121" s="9" t="s">
        <v>399</v>
      </c>
      <c r="B121" s="8" t="s">
        <v>355</v>
      </c>
      <c r="C121" s="44" t="s">
        <v>383</v>
      </c>
      <c r="D121" s="10">
        <v>14862.031999999999</v>
      </c>
      <c r="E121" s="9" t="s">
        <v>81</v>
      </c>
      <c r="F121" s="9" t="s">
        <v>83</v>
      </c>
      <c r="G121" s="23">
        <v>1</v>
      </c>
      <c r="H121" s="23">
        <v>0</v>
      </c>
      <c r="I121" s="7">
        <v>40817</v>
      </c>
      <c r="J121" s="7">
        <v>40817</v>
      </c>
      <c r="K121" s="9" t="s">
        <v>195</v>
      </c>
      <c r="L121" s="14" t="s">
        <v>544</v>
      </c>
      <c r="M121" s="17"/>
      <c r="O121" s="15"/>
      <c r="P121" s="15" t="s">
        <v>517</v>
      </c>
      <c r="Q121" s="16">
        <f t="shared" si="4"/>
        <v>14862.031999999999</v>
      </c>
      <c r="R121" s="16">
        <f t="shared" si="5"/>
        <v>0</v>
      </c>
      <c r="S121" s="79"/>
      <c r="T121" s="79"/>
      <c r="U121" s="79"/>
    </row>
    <row r="122" spans="1:21" s="11" customFormat="1" ht="14" x14ac:dyDescent="0.35">
      <c r="A122" s="9" t="s">
        <v>400</v>
      </c>
      <c r="B122" s="8" t="s">
        <v>354</v>
      </c>
      <c r="C122" s="44" t="s">
        <v>383</v>
      </c>
      <c r="D122" s="10">
        <f>5138.66+4621.44+3952.94+4282.36</f>
        <v>17995.399999999998</v>
      </c>
      <c r="E122" s="9" t="s">
        <v>81</v>
      </c>
      <c r="F122" s="9" t="s">
        <v>83</v>
      </c>
      <c r="G122" s="103">
        <v>0.54236638251997726</v>
      </c>
      <c r="H122" s="103">
        <f>100%-G122</f>
        <v>0.45763361748002274</v>
      </c>
      <c r="I122" s="7">
        <v>41760</v>
      </c>
      <c r="J122" s="7">
        <v>43808</v>
      </c>
      <c r="K122" s="9" t="s">
        <v>195</v>
      </c>
      <c r="L122" s="104" t="s">
        <v>537</v>
      </c>
      <c r="M122" s="57"/>
      <c r="O122" s="15"/>
      <c r="P122" s="15" t="s">
        <v>517</v>
      </c>
      <c r="Q122" s="16">
        <f t="shared" si="4"/>
        <v>9760.0999999999985</v>
      </c>
      <c r="R122" s="16">
        <f t="shared" si="5"/>
        <v>8235.2999999999993</v>
      </c>
      <c r="S122" s="79"/>
      <c r="T122" s="79"/>
      <c r="U122" s="79"/>
    </row>
    <row r="123" spans="1:21" s="11" customFormat="1" ht="28" x14ac:dyDescent="0.35">
      <c r="A123" s="9" t="s">
        <v>401</v>
      </c>
      <c r="B123" s="8" t="s">
        <v>373</v>
      </c>
      <c r="C123" s="44" t="s">
        <v>381</v>
      </c>
      <c r="D123" s="10">
        <v>45.15</v>
      </c>
      <c r="E123" s="9" t="s">
        <v>105</v>
      </c>
      <c r="F123" s="9" t="s">
        <v>728</v>
      </c>
      <c r="G123" s="23">
        <v>0</v>
      </c>
      <c r="H123" s="23">
        <v>1</v>
      </c>
      <c r="I123" s="7">
        <v>42125</v>
      </c>
      <c r="J123" s="7">
        <v>42278</v>
      </c>
      <c r="K123" s="9" t="s">
        <v>195</v>
      </c>
      <c r="L123" s="14" t="s">
        <v>372</v>
      </c>
      <c r="M123" s="58"/>
      <c r="O123" s="15"/>
      <c r="P123" s="15" t="s">
        <v>516</v>
      </c>
      <c r="Q123" s="16">
        <f t="shared" si="4"/>
        <v>0</v>
      </c>
      <c r="R123" s="16">
        <f t="shared" si="5"/>
        <v>45.15</v>
      </c>
      <c r="S123" s="79"/>
      <c r="T123" s="79"/>
      <c r="U123" s="79"/>
    </row>
    <row r="124" spans="1:21" s="11" customFormat="1" ht="28" x14ac:dyDescent="0.35">
      <c r="A124" s="9" t="s">
        <v>414</v>
      </c>
      <c r="B124" s="8" t="s">
        <v>433</v>
      </c>
      <c r="C124" s="44" t="s">
        <v>381</v>
      </c>
      <c r="D124" s="10">
        <v>157.93</v>
      </c>
      <c r="E124" s="9" t="s">
        <v>81</v>
      </c>
      <c r="F124" s="9" t="s">
        <v>82</v>
      </c>
      <c r="G124" s="23">
        <v>1</v>
      </c>
      <c r="H124" s="23">
        <v>0</v>
      </c>
      <c r="I124" s="7">
        <v>43070</v>
      </c>
      <c r="J124" s="7">
        <v>43435</v>
      </c>
      <c r="K124" s="9" t="s">
        <v>195</v>
      </c>
      <c r="L124" s="14" t="s">
        <v>552</v>
      </c>
      <c r="M124" s="16"/>
      <c r="O124" s="15"/>
      <c r="P124" s="15" t="s">
        <v>516</v>
      </c>
      <c r="Q124" s="16">
        <f t="shared" si="4"/>
        <v>157.93</v>
      </c>
      <c r="R124" s="16">
        <f t="shared" si="5"/>
        <v>0</v>
      </c>
      <c r="S124" s="79"/>
      <c r="T124" s="79"/>
      <c r="U124" s="79"/>
    </row>
    <row r="125" spans="1:21" s="11" customFormat="1" ht="28" x14ac:dyDescent="0.35">
      <c r="A125" s="9" t="s">
        <v>417</v>
      </c>
      <c r="B125" s="8" t="s">
        <v>415</v>
      </c>
      <c r="C125" s="44" t="s">
        <v>381</v>
      </c>
      <c r="D125" s="10">
        <v>29.472999999999999</v>
      </c>
      <c r="E125" s="9" t="s">
        <v>105</v>
      </c>
      <c r="F125" s="9" t="s">
        <v>728</v>
      </c>
      <c r="G125" s="23">
        <v>0</v>
      </c>
      <c r="H125" s="23">
        <v>1</v>
      </c>
      <c r="I125" s="7">
        <v>42156</v>
      </c>
      <c r="J125" s="7">
        <v>42339</v>
      </c>
      <c r="K125" s="9" t="s">
        <v>195</v>
      </c>
      <c r="L125" s="14" t="s">
        <v>552</v>
      </c>
      <c r="M125" s="16"/>
      <c r="O125" s="15"/>
      <c r="P125" s="15" t="s">
        <v>516</v>
      </c>
      <c r="Q125" s="16">
        <f t="shared" si="4"/>
        <v>0</v>
      </c>
      <c r="R125" s="16">
        <f t="shared" si="5"/>
        <v>29.472999999999999</v>
      </c>
      <c r="S125" s="79"/>
      <c r="T125" s="79"/>
      <c r="U125" s="79"/>
    </row>
    <row r="126" spans="1:21" s="11" customFormat="1" ht="42" x14ac:dyDescent="0.35">
      <c r="A126" s="9" t="s">
        <v>429</v>
      </c>
      <c r="B126" s="8" t="s">
        <v>427</v>
      </c>
      <c r="C126" s="44" t="s">
        <v>381</v>
      </c>
      <c r="D126" s="10">
        <v>153.9</v>
      </c>
      <c r="E126" s="9" t="s">
        <v>81</v>
      </c>
      <c r="F126" s="9" t="s">
        <v>82</v>
      </c>
      <c r="G126" s="23">
        <v>1</v>
      </c>
      <c r="H126" s="23">
        <v>0</v>
      </c>
      <c r="I126" s="7">
        <v>42248</v>
      </c>
      <c r="J126" s="7">
        <v>42705</v>
      </c>
      <c r="K126" s="9" t="s">
        <v>315</v>
      </c>
      <c r="L126" s="14" t="s">
        <v>432</v>
      </c>
      <c r="M126" s="17"/>
      <c r="O126" s="15"/>
      <c r="P126" s="15" t="s">
        <v>516</v>
      </c>
      <c r="Q126" s="16">
        <f t="shared" si="4"/>
        <v>153.9</v>
      </c>
      <c r="R126" s="16">
        <f t="shared" si="5"/>
        <v>0</v>
      </c>
      <c r="S126" s="6"/>
      <c r="T126" s="6"/>
      <c r="U126" s="6"/>
    </row>
    <row r="127" spans="1:21" s="11" customFormat="1" ht="28" x14ac:dyDescent="0.35">
      <c r="A127" s="9" t="s">
        <v>458</v>
      </c>
      <c r="B127" s="68" t="s">
        <v>459</v>
      </c>
      <c r="C127" s="72" t="s">
        <v>383</v>
      </c>
      <c r="D127" s="102">
        <v>36066.050000000003</v>
      </c>
      <c r="E127" s="9" t="s">
        <v>259</v>
      </c>
      <c r="F127" s="9" t="s">
        <v>728</v>
      </c>
      <c r="G127" s="23">
        <v>0</v>
      </c>
      <c r="H127" s="23">
        <f>100%-G127</f>
        <v>1</v>
      </c>
      <c r="I127" s="7">
        <v>42248</v>
      </c>
      <c r="J127" s="7">
        <v>43770</v>
      </c>
      <c r="K127" s="9" t="s">
        <v>144</v>
      </c>
      <c r="L127" s="14" t="s">
        <v>386</v>
      </c>
      <c r="M127" s="17"/>
      <c r="O127" s="15"/>
      <c r="P127" s="15" t="s">
        <v>517</v>
      </c>
      <c r="Q127" s="16">
        <f t="shared" si="4"/>
        <v>0</v>
      </c>
      <c r="R127" s="16">
        <f t="shared" si="5"/>
        <v>36066.050000000003</v>
      </c>
      <c r="S127" s="6"/>
      <c r="T127" s="6"/>
      <c r="U127" s="6"/>
    </row>
    <row r="128" spans="1:21" s="11" customFormat="1" ht="28" x14ac:dyDescent="0.35">
      <c r="A128" s="9" t="s">
        <v>461</v>
      </c>
      <c r="B128" s="68" t="s">
        <v>493</v>
      </c>
      <c r="C128" s="72" t="s">
        <v>383</v>
      </c>
      <c r="D128" s="102">
        <v>11219.77</v>
      </c>
      <c r="E128" s="9" t="s">
        <v>81</v>
      </c>
      <c r="F128" s="9" t="s">
        <v>83</v>
      </c>
      <c r="G128" s="23">
        <v>1</v>
      </c>
      <c r="H128" s="23">
        <f>100%-G128</f>
        <v>0</v>
      </c>
      <c r="I128" s="7">
        <v>43070</v>
      </c>
      <c r="J128" s="7">
        <v>43770</v>
      </c>
      <c r="K128" s="9" t="s">
        <v>144</v>
      </c>
      <c r="L128" s="14" t="s">
        <v>460</v>
      </c>
      <c r="M128" s="106"/>
      <c r="O128" s="15"/>
      <c r="P128" s="15" t="s">
        <v>517</v>
      </c>
      <c r="Q128" s="16">
        <f t="shared" si="4"/>
        <v>11219.77</v>
      </c>
      <c r="R128" s="16">
        <f t="shared" si="5"/>
        <v>0</v>
      </c>
      <c r="S128" s="6"/>
      <c r="T128" s="6"/>
      <c r="U128" s="6"/>
    </row>
    <row r="129" spans="1:21" s="11" customFormat="1" ht="60" customHeight="1" x14ac:dyDescent="0.35">
      <c r="A129" s="9" t="s">
        <v>490</v>
      </c>
      <c r="B129" s="68" t="s">
        <v>491</v>
      </c>
      <c r="C129" s="69" t="s">
        <v>382</v>
      </c>
      <c r="D129" s="134">
        <v>2543.2194710000003</v>
      </c>
      <c r="E129" s="9" t="s">
        <v>81</v>
      </c>
      <c r="F129" s="9" t="s">
        <v>82</v>
      </c>
      <c r="G129" s="23">
        <v>1</v>
      </c>
      <c r="H129" s="23">
        <v>0</v>
      </c>
      <c r="I129" s="7">
        <v>42887</v>
      </c>
      <c r="J129" s="7">
        <v>43466</v>
      </c>
      <c r="K129" s="19" t="s">
        <v>144</v>
      </c>
      <c r="L129" s="14" t="s">
        <v>553</v>
      </c>
      <c r="M129" s="58"/>
      <c r="O129" s="15"/>
      <c r="P129" s="15" t="s">
        <v>516</v>
      </c>
      <c r="Q129" s="16">
        <f t="shared" si="4"/>
        <v>2543.2194710000003</v>
      </c>
      <c r="R129" s="16">
        <f t="shared" si="5"/>
        <v>0</v>
      </c>
      <c r="S129" s="6"/>
      <c r="T129" s="6"/>
      <c r="U129" s="6"/>
    </row>
    <row r="130" spans="1:21" s="11" customFormat="1" ht="42" x14ac:dyDescent="0.35">
      <c r="A130" s="9" t="s">
        <v>509</v>
      </c>
      <c r="B130" s="105" t="s">
        <v>427</v>
      </c>
      <c r="C130" s="69" t="s">
        <v>381</v>
      </c>
      <c r="D130" s="10">
        <v>177.46</v>
      </c>
      <c r="E130" s="9" t="s">
        <v>81</v>
      </c>
      <c r="F130" s="9" t="s">
        <v>82</v>
      </c>
      <c r="G130" s="23">
        <v>1</v>
      </c>
      <c r="H130" s="23">
        <v>0</v>
      </c>
      <c r="I130" s="7">
        <v>43009</v>
      </c>
      <c r="J130" s="7">
        <v>43313</v>
      </c>
      <c r="K130" s="9" t="s">
        <v>195</v>
      </c>
      <c r="L130" s="22" t="s">
        <v>554</v>
      </c>
      <c r="M130" s="58"/>
      <c r="O130" s="15"/>
      <c r="P130" s="15" t="s">
        <v>516</v>
      </c>
      <c r="Q130" s="16">
        <f t="shared" si="4"/>
        <v>177.46</v>
      </c>
      <c r="R130" s="16">
        <f t="shared" si="5"/>
        <v>0</v>
      </c>
      <c r="S130" s="6"/>
      <c r="T130" s="6"/>
      <c r="U130" s="6"/>
    </row>
    <row r="131" spans="1:21" s="11" customFormat="1" ht="28" x14ac:dyDescent="0.35">
      <c r="A131" s="9" t="s">
        <v>510</v>
      </c>
      <c r="B131" s="105" t="s">
        <v>555</v>
      </c>
      <c r="C131" s="69" t="s">
        <v>381</v>
      </c>
      <c r="D131" s="10">
        <v>937.08</v>
      </c>
      <c r="E131" s="9" t="s">
        <v>81</v>
      </c>
      <c r="F131" s="9" t="s">
        <v>82</v>
      </c>
      <c r="G131" s="23">
        <v>1</v>
      </c>
      <c r="H131" s="23">
        <v>0</v>
      </c>
      <c r="I131" s="7">
        <v>43101</v>
      </c>
      <c r="J131" s="7">
        <v>43525</v>
      </c>
      <c r="K131" s="9" t="s">
        <v>144</v>
      </c>
      <c r="L131" s="22" t="s">
        <v>720</v>
      </c>
      <c r="M131" s="58"/>
      <c r="O131" s="15"/>
      <c r="P131" s="15" t="s">
        <v>516</v>
      </c>
      <c r="Q131" s="16">
        <f t="shared" si="4"/>
        <v>937.08</v>
      </c>
      <c r="R131" s="16">
        <f t="shared" si="5"/>
        <v>0</v>
      </c>
      <c r="S131" s="6"/>
      <c r="T131" s="6"/>
      <c r="U131" s="6"/>
    </row>
    <row r="132" spans="1:21" s="11" customFormat="1" ht="28" x14ac:dyDescent="0.35">
      <c r="A132" s="9" t="s">
        <v>556</v>
      </c>
      <c r="B132" s="105" t="s">
        <v>557</v>
      </c>
      <c r="C132" s="69" t="s">
        <v>381</v>
      </c>
      <c r="D132" s="10">
        <v>102.23</v>
      </c>
      <c r="E132" s="9" t="s">
        <v>81</v>
      </c>
      <c r="F132" s="9" t="s">
        <v>82</v>
      </c>
      <c r="G132" s="23">
        <v>1</v>
      </c>
      <c r="H132" s="23">
        <v>0</v>
      </c>
      <c r="I132" s="7">
        <v>43374</v>
      </c>
      <c r="J132" s="7">
        <v>43586</v>
      </c>
      <c r="K132" s="9" t="s">
        <v>726</v>
      </c>
      <c r="L132" s="22" t="s">
        <v>651</v>
      </c>
      <c r="M132" s="106"/>
      <c r="O132" s="15"/>
      <c r="P132" s="15" t="s">
        <v>516</v>
      </c>
      <c r="Q132" s="16">
        <f t="shared" si="4"/>
        <v>102.23</v>
      </c>
      <c r="R132" s="16">
        <f t="shared" si="5"/>
        <v>0</v>
      </c>
      <c r="S132" s="6"/>
      <c r="T132" s="147"/>
      <c r="U132" s="6"/>
    </row>
    <row r="133" spans="1:21" s="11" customFormat="1" ht="28" x14ac:dyDescent="0.35">
      <c r="A133" s="9" t="s">
        <v>558</v>
      </c>
      <c r="B133" s="105" t="s">
        <v>649</v>
      </c>
      <c r="C133" s="69" t="s">
        <v>381</v>
      </c>
      <c r="D133" s="10">
        <v>767.41</v>
      </c>
      <c r="E133" s="10" t="s">
        <v>81</v>
      </c>
      <c r="F133" s="10" t="s">
        <v>82</v>
      </c>
      <c r="G133" s="23">
        <v>1</v>
      </c>
      <c r="H133" s="23">
        <v>0</v>
      </c>
      <c r="I133" s="7">
        <v>43132</v>
      </c>
      <c r="J133" s="7">
        <v>43466</v>
      </c>
      <c r="K133" s="10" t="s">
        <v>144</v>
      </c>
      <c r="L133" s="22" t="s">
        <v>652</v>
      </c>
      <c r="M133" s="106"/>
      <c r="O133" s="15"/>
      <c r="P133" s="15" t="s">
        <v>516</v>
      </c>
      <c r="Q133" s="16">
        <f t="shared" si="4"/>
        <v>767.41</v>
      </c>
      <c r="R133" s="16">
        <f t="shared" si="5"/>
        <v>0</v>
      </c>
      <c r="S133" s="6"/>
      <c r="T133" s="6"/>
      <c r="U133" s="6"/>
    </row>
    <row r="134" spans="1:21" s="11" customFormat="1" ht="28" x14ac:dyDescent="0.35">
      <c r="A134" s="9" t="s">
        <v>545</v>
      </c>
      <c r="B134" s="8" t="s">
        <v>511</v>
      </c>
      <c r="C134" s="44" t="s">
        <v>383</v>
      </c>
      <c r="D134" s="10">
        <v>3176.38</v>
      </c>
      <c r="E134" s="9" t="s">
        <v>81</v>
      </c>
      <c r="F134" s="9" t="s">
        <v>83</v>
      </c>
      <c r="G134" s="23">
        <v>1</v>
      </c>
      <c r="H134" s="23">
        <f>100%-G134</f>
        <v>0</v>
      </c>
      <c r="I134" s="7">
        <v>43221</v>
      </c>
      <c r="J134" s="7">
        <v>43770</v>
      </c>
      <c r="K134" s="9" t="s">
        <v>144</v>
      </c>
      <c r="L134" s="22" t="s">
        <v>460</v>
      </c>
      <c r="M134" s="106"/>
      <c r="O134" s="15"/>
      <c r="P134" s="15" t="s">
        <v>517</v>
      </c>
      <c r="Q134" s="16">
        <f t="shared" si="4"/>
        <v>3176.38</v>
      </c>
      <c r="R134" s="16">
        <f t="shared" si="5"/>
        <v>0</v>
      </c>
      <c r="S134" s="6"/>
      <c r="T134" s="6"/>
      <c r="U134" s="6"/>
    </row>
    <row r="135" spans="1:21" s="6" customFormat="1" ht="35.15" customHeight="1" x14ac:dyDescent="0.35">
      <c r="A135" s="9" t="s">
        <v>621</v>
      </c>
      <c r="B135" s="8" t="s">
        <v>622</v>
      </c>
      <c r="C135" s="44" t="s">
        <v>383</v>
      </c>
      <c r="D135" s="10">
        <v>1617.65</v>
      </c>
      <c r="E135" s="9" t="s">
        <v>81</v>
      </c>
      <c r="F135" s="9" t="s">
        <v>83</v>
      </c>
      <c r="G135" s="101">
        <v>0.73699999999999999</v>
      </c>
      <c r="H135" s="101">
        <f>100%-G135</f>
        <v>0.26300000000000001</v>
      </c>
      <c r="I135" s="7">
        <v>43252</v>
      </c>
      <c r="J135" s="7">
        <v>43770</v>
      </c>
      <c r="K135" s="9" t="s">
        <v>144</v>
      </c>
      <c r="L135" s="22" t="s">
        <v>460</v>
      </c>
      <c r="M135" s="106"/>
      <c r="O135" s="15"/>
      <c r="P135" s="15" t="s">
        <v>517</v>
      </c>
      <c r="Q135" s="16">
        <f t="shared" si="4"/>
        <v>1192.20805</v>
      </c>
      <c r="R135" s="16">
        <f t="shared" si="5"/>
        <v>425.44195000000002</v>
      </c>
    </row>
    <row r="136" spans="1:21" s="6" customFormat="1" ht="35.15" customHeight="1" x14ac:dyDescent="0.35">
      <c r="A136" s="51" t="s">
        <v>41</v>
      </c>
      <c r="B136" s="50"/>
      <c r="C136" s="64"/>
      <c r="D136" s="24">
        <f>SUM(D96:D135)</f>
        <v>532309.95768511773</v>
      </c>
      <c r="E136" s="117"/>
      <c r="F136" s="118"/>
      <c r="G136" s="24">
        <f>SUMPRODUCT(G96:G135,$D$96:$D$135)</f>
        <v>102387.23206761625</v>
      </c>
      <c r="H136" s="24">
        <f>SUMPRODUCT(H96:H135,$D$96:$D$135)</f>
        <v>429922.72561750142</v>
      </c>
      <c r="I136" s="119"/>
      <c r="J136" s="119"/>
      <c r="K136" s="120"/>
      <c r="L136" s="121"/>
      <c r="M136" s="121"/>
      <c r="O136" s="80"/>
      <c r="P136" s="80"/>
      <c r="Q136" s="81"/>
    </row>
    <row r="137" spans="1:21" s="11" customFormat="1" ht="14" x14ac:dyDescent="0.35">
      <c r="A137" s="25"/>
      <c r="B137" s="6"/>
      <c r="C137" s="44"/>
      <c r="D137" s="6"/>
      <c r="E137" s="6"/>
      <c r="F137" s="6"/>
      <c r="G137" s="6"/>
      <c r="H137" s="29"/>
      <c r="I137" s="30"/>
      <c r="J137" s="30"/>
      <c r="K137" s="31"/>
      <c r="L137" s="32"/>
      <c r="S137" s="79"/>
      <c r="T137" s="79"/>
      <c r="U137" s="79"/>
    </row>
    <row r="138" spans="1:21" s="11" customFormat="1" ht="15.5" x14ac:dyDescent="0.35">
      <c r="A138" s="49" t="s">
        <v>42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77"/>
      <c r="L138" s="52"/>
      <c r="M138" s="53"/>
      <c r="S138" s="79"/>
      <c r="T138" s="79"/>
      <c r="U138" s="79"/>
    </row>
    <row r="139" spans="1:21" s="11" customFormat="1" ht="28" x14ac:dyDescent="0.35">
      <c r="A139" s="9" t="s">
        <v>121</v>
      </c>
      <c r="B139" s="8" t="s">
        <v>227</v>
      </c>
      <c r="C139" s="44" t="s">
        <v>381</v>
      </c>
      <c r="D139" s="10">
        <v>209.12299999999999</v>
      </c>
      <c r="E139" s="9" t="s">
        <v>105</v>
      </c>
      <c r="F139" s="9" t="s">
        <v>728</v>
      </c>
      <c r="G139" s="23">
        <v>0</v>
      </c>
      <c r="H139" s="23">
        <v>1</v>
      </c>
      <c r="I139" s="7">
        <v>41395</v>
      </c>
      <c r="J139" s="7">
        <v>41944</v>
      </c>
      <c r="K139" s="19" t="s">
        <v>195</v>
      </c>
      <c r="L139" s="22" t="s">
        <v>297</v>
      </c>
      <c r="M139" s="8"/>
      <c r="O139" s="15"/>
      <c r="P139" s="15" t="s">
        <v>516</v>
      </c>
      <c r="Q139" s="16">
        <f>+$D139*G139</f>
        <v>0</v>
      </c>
      <c r="R139" s="16">
        <f>+$D139*H139</f>
        <v>209.12299999999999</v>
      </c>
    </row>
    <row r="140" spans="1:21" s="11" customFormat="1" ht="23" x14ac:dyDescent="0.35">
      <c r="A140" s="9" t="s">
        <v>122</v>
      </c>
      <c r="B140" s="8" t="s">
        <v>213</v>
      </c>
      <c r="C140" s="44" t="s">
        <v>381</v>
      </c>
      <c r="D140" s="10">
        <v>324.68</v>
      </c>
      <c r="E140" s="9" t="s">
        <v>81</v>
      </c>
      <c r="F140" s="9" t="s">
        <v>82</v>
      </c>
      <c r="G140" s="23">
        <v>0.76</v>
      </c>
      <c r="H140" s="23">
        <v>0.24</v>
      </c>
      <c r="I140" s="7">
        <v>41061</v>
      </c>
      <c r="J140" s="7">
        <v>42948</v>
      </c>
      <c r="K140" s="9" t="s">
        <v>195</v>
      </c>
      <c r="L140" s="22" t="s">
        <v>559</v>
      </c>
      <c r="M140" s="8"/>
      <c r="O140" s="15"/>
      <c r="P140" s="15" t="s">
        <v>516</v>
      </c>
      <c r="Q140" s="16">
        <f t="shared" ref="Q140:Q199" si="6">+$D140*G140</f>
        <v>246.7568</v>
      </c>
      <c r="R140" s="16">
        <f t="shared" ref="R140:R199" si="7">+$D140*H140</f>
        <v>77.923199999999994</v>
      </c>
    </row>
    <row r="141" spans="1:21" s="11" customFormat="1" ht="42" x14ac:dyDescent="0.35">
      <c r="A141" s="9" t="s">
        <v>123</v>
      </c>
      <c r="B141" s="8" t="s">
        <v>134</v>
      </c>
      <c r="C141" s="44" t="s">
        <v>381</v>
      </c>
      <c r="D141" s="10">
        <f>506.35+301.5+1.15+2.72</f>
        <v>811.72</v>
      </c>
      <c r="E141" s="9" t="s">
        <v>143</v>
      </c>
      <c r="F141" s="9" t="s">
        <v>728</v>
      </c>
      <c r="G141" s="23">
        <v>0.04</v>
      </c>
      <c r="H141" s="23">
        <v>0.96</v>
      </c>
      <c r="I141" s="7">
        <v>40118</v>
      </c>
      <c r="J141" s="7">
        <v>43800</v>
      </c>
      <c r="K141" s="9" t="s">
        <v>144</v>
      </c>
      <c r="L141" s="22" t="s">
        <v>702</v>
      </c>
      <c r="M141" s="8"/>
      <c r="O141" s="15"/>
      <c r="P141" s="15" t="s">
        <v>516</v>
      </c>
      <c r="Q141" s="16">
        <f t="shared" si="6"/>
        <v>32.468800000000002</v>
      </c>
      <c r="R141" s="16">
        <f t="shared" si="7"/>
        <v>779.25120000000004</v>
      </c>
      <c r="S141" s="79"/>
      <c r="T141" s="79"/>
      <c r="U141" s="79"/>
    </row>
    <row r="142" spans="1:21" s="11" customFormat="1" ht="28" x14ac:dyDescent="0.35">
      <c r="A142" s="9" t="s">
        <v>124</v>
      </c>
      <c r="B142" s="8" t="s">
        <v>370</v>
      </c>
      <c r="C142" s="44" t="s">
        <v>381</v>
      </c>
      <c r="D142" s="10">
        <v>7738.852913996202</v>
      </c>
      <c r="E142" s="9" t="s">
        <v>80</v>
      </c>
      <c r="F142" s="9" t="s">
        <v>728</v>
      </c>
      <c r="G142" s="23">
        <v>0.12</v>
      </c>
      <c r="H142" s="23">
        <v>0.88</v>
      </c>
      <c r="I142" s="7">
        <v>40118</v>
      </c>
      <c r="J142" s="7">
        <v>41699</v>
      </c>
      <c r="K142" s="9" t="s">
        <v>195</v>
      </c>
      <c r="L142" s="22" t="s">
        <v>357</v>
      </c>
      <c r="M142" s="8"/>
      <c r="O142" s="15"/>
      <c r="P142" s="15" t="s">
        <v>516</v>
      </c>
      <c r="Q142" s="16">
        <f t="shared" si="6"/>
        <v>928.66234967954415</v>
      </c>
      <c r="R142" s="16">
        <f t="shared" si="7"/>
        <v>6810.1905643166574</v>
      </c>
    </row>
    <row r="143" spans="1:21" s="11" customFormat="1" ht="28" x14ac:dyDescent="0.35">
      <c r="A143" s="9" t="s">
        <v>125</v>
      </c>
      <c r="B143" s="8" t="s">
        <v>173</v>
      </c>
      <c r="C143" s="44" t="s">
        <v>381</v>
      </c>
      <c r="D143" s="10">
        <v>2633.49</v>
      </c>
      <c r="E143" s="9" t="s">
        <v>80</v>
      </c>
      <c r="F143" s="9" t="s">
        <v>728</v>
      </c>
      <c r="G143" s="23">
        <v>0.17</v>
      </c>
      <c r="H143" s="23">
        <v>0.83</v>
      </c>
      <c r="I143" s="7">
        <v>40118</v>
      </c>
      <c r="J143" s="7">
        <v>41640</v>
      </c>
      <c r="K143" s="9" t="s">
        <v>195</v>
      </c>
      <c r="L143" s="22" t="s">
        <v>358</v>
      </c>
      <c r="M143" s="8"/>
      <c r="O143" s="15"/>
      <c r="P143" s="15" t="s">
        <v>516</v>
      </c>
      <c r="Q143" s="16">
        <f t="shared" si="6"/>
        <v>447.69330000000002</v>
      </c>
      <c r="R143" s="16">
        <f t="shared" si="7"/>
        <v>2185.7966999999999</v>
      </c>
    </row>
    <row r="144" spans="1:21" s="11" customFormat="1" ht="28" x14ac:dyDescent="0.35">
      <c r="A144" s="9" t="s">
        <v>126</v>
      </c>
      <c r="B144" s="8" t="s">
        <v>365</v>
      </c>
      <c r="C144" s="44" t="s">
        <v>381</v>
      </c>
      <c r="D144" s="10">
        <v>3954.76</v>
      </c>
      <c r="E144" s="9" t="s">
        <v>80</v>
      </c>
      <c r="F144" s="9" t="s">
        <v>728</v>
      </c>
      <c r="G144" s="23">
        <v>0.4</v>
      </c>
      <c r="H144" s="23">
        <v>0.6</v>
      </c>
      <c r="I144" s="7">
        <v>41548</v>
      </c>
      <c r="J144" s="7">
        <v>42614</v>
      </c>
      <c r="K144" s="9" t="s">
        <v>195</v>
      </c>
      <c r="L144" s="22" t="s">
        <v>366</v>
      </c>
      <c r="M144" s="8"/>
      <c r="O144" s="15"/>
      <c r="P144" s="15" t="s">
        <v>516</v>
      </c>
      <c r="Q144" s="16">
        <f t="shared" si="6"/>
        <v>1581.9040000000002</v>
      </c>
      <c r="R144" s="16">
        <f t="shared" si="7"/>
        <v>2372.8560000000002</v>
      </c>
      <c r="S144" s="79"/>
      <c r="T144" s="79"/>
      <c r="U144" s="79"/>
    </row>
    <row r="145" spans="1:21" s="11" customFormat="1" ht="28" x14ac:dyDescent="0.35">
      <c r="A145" s="9" t="s">
        <v>127</v>
      </c>
      <c r="B145" s="8" t="s">
        <v>371</v>
      </c>
      <c r="C145" s="44" t="s">
        <v>381</v>
      </c>
      <c r="D145" s="10">
        <v>598.27</v>
      </c>
      <c r="E145" s="9" t="s">
        <v>80</v>
      </c>
      <c r="F145" s="9" t="s">
        <v>728</v>
      </c>
      <c r="G145" s="101">
        <v>1E-3</v>
      </c>
      <c r="H145" s="101">
        <v>0.999</v>
      </c>
      <c r="I145" s="7">
        <v>41883</v>
      </c>
      <c r="J145" s="7">
        <v>42614</v>
      </c>
      <c r="K145" s="9" t="s">
        <v>195</v>
      </c>
      <c r="L145" s="22" t="s">
        <v>367</v>
      </c>
      <c r="M145" s="17"/>
      <c r="O145" s="15"/>
      <c r="P145" s="15" t="s">
        <v>516</v>
      </c>
      <c r="Q145" s="16">
        <f t="shared" si="6"/>
        <v>0.59826999999999997</v>
      </c>
      <c r="R145" s="16">
        <f t="shared" si="7"/>
        <v>597.67173000000003</v>
      </c>
      <c r="S145" s="79"/>
      <c r="T145" s="79"/>
      <c r="U145" s="79"/>
    </row>
    <row r="146" spans="1:21" s="11" customFormat="1" ht="28" x14ac:dyDescent="0.35">
      <c r="A146" s="9" t="s">
        <v>128</v>
      </c>
      <c r="B146" s="8" t="s">
        <v>359</v>
      </c>
      <c r="C146" s="44" t="s">
        <v>381</v>
      </c>
      <c r="D146" s="10">
        <v>1208.8599999999999</v>
      </c>
      <c r="E146" s="9" t="s">
        <v>80</v>
      </c>
      <c r="F146" s="9" t="s">
        <v>728</v>
      </c>
      <c r="G146" s="23">
        <v>0.4</v>
      </c>
      <c r="H146" s="23">
        <v>0.6</v>
      </c>
      <c r="I146" s="7">
        <v>41640</v>
      </c>
      <c r="J146" s="7">
        <v>43435</v>
      </c>
      <c r="K146" s="9" t="s">
        <v>703</v>
      </c>
      <c r="L146" s="14" t="s">
        <v>403</v>
      </c>
      <c r="M146" s="8"/>
      <c r="O146" s="15"/>
      <c r="P146" s="15" t="s">
        <v>516</v>
      </c>
      <c r="Q146" s="16">
        <f t="shared" si="6"/>
        <v>483.54399999999998</v>
      </c>
      <c r="R146" s="16">
        <f t="shared" si="7"/>
        <v>725.31599999999992</v>
      </c>
      <c r="S146" s="79"/>
      <c r="T146" s="79"/>
      <c r="U146" s="79"/>
    </row>
    <row r="147" spans="1:21" s="11" customFormat="1" ht="42" x14ac:dyDescent="0.35">
      <c r="A147" s="9" t="s">
        <v>129</v>
      </c>
      <c r="B147" s="8" t="s">
        <v>135</v>
      </c>
      <c r="C147" s="44" t="s">
        <v>381</v>
      </c>
      <c r="D147" s="10">
        <f>153.508+2.72</f>
        <v>156.22800000000001</v>
      </c>
      <c r="E147" s="9" t="s">
        <v>142</v>
      </c>
      <c r="F147" s="9" t="s">
        <v>728</v>
      </c>
      <c r="G147" s="23">
        <v>0</v>
      </c>
      <c r="H147" s="23">
        <v>1</v>
      </c>
      <c r="I147" s="7">
        <v>42614</v>
      </c>
      <c r="J147" s="7">
        <v>43800</v>
      </c>
      <c r="K147" s="9" t="s">
        <v>144</v>
      </c>
      <c r="L147" s="22" t="s">
        <v>704</v>
      </c>
      <c r="M147" s="8"/>
      <c r="O147" s="15"/>
      <c r="P147" s="15" t="s">
        <v>516</v>
      </c>
      <c r="Q147" s="16">
        <f t="shared" si="6"/>
        <v>0</v>
      </c>
      <c r="R147" s="16">
        <f t="shared" si="7"/>
        <v>156.22800000000001</v>
      </c>
      <c r="S147" s="79"/>
      <c r="T147" s="79"/>
      <c r="U147" s="79"/>
    </row>
    <row r="148" spans="1:21" s="11" customFormat="1" ht="28" x14ac:dyDescent="0.35">
      <c r="A148" s="9" t="s">
        <v>130</v>
      </c>
      <c r="B148" s="8" t="s">
        <v>248</v>
      </c>
      <c r="C148" s="44" t="s">
        <v>381</v>
      </c>
      <c r="D148" s="148">
        <f>(96400+120173)+(114784+141082+18042.89)/1000</f>
        <v>216846.90888999999</v>
      </c>
      <c r="E148" s="9" t="s">
        <v>80</v>
      </c>
      <c r="F148" s="9" t="s">
        <v>728</v>
      </c>
      <c r="G148" s="23">
        <v>0.47</v>
      </c>
      <c r="H148" s="23">
        <v>0.53</v>
      </c>
      <c r="I148" s="7">
        <v>41306</v>
      </c>
      <c r="J148" s="7">
        <v>43800</v>
      </c>
      <c r="K148" s="9" t="s">
        <v>144</v>
      </c>
      <c r="L148" s="22" t="s">
        <v>705</v>
      </c>
      <c r="M148" s="130"/>
      <c r="O148" s="15"/>
      <c r="P148" s="15" t="s">
        <v>516</v>
      </c>
      <c r="Q148" s="16">
        <f t="shared" si="6"/>
        <v>101918.0471783</v>
      </c>
      <c r="R148" s="16">
        <f t="shared" si="7"/>
        <v>114928.8617117</v>
      </c>
      <c r="S148" s="79"/>
      <c r="T148" s="79"/>
      <c r="U148" s="79"/>
    </row>
    <row r="149" spans="1:21" s="11" customFormat="1" ht="28" x14ac:dyDescent="0.35">
      <c r="A149" s="9" t="s">
        <v>131</v>
      </c>
      <c r="B149" s="8" t="s">
        <v>194</v>
      </c>
      <c r="C149" s="44" t="s">
        <v>381</v>
      </c>
      <c r="D149" s="10">
        <v>21.085000000000001</v>
      </c>
      <c r="E149" s="9" t="s">
        <v>80</v>
      </c>
      <c r="F149" s="9" t="s">
        <v>728</v>
      </c>
      <c r="G149" s="23">
        <v>1</v>
      </c>
      <c r="H149" s="23">
        <v>0</v>
      </c>
      <c r="I149" s="7">
        <v>40878</v>
      </c>
      <c r="J149" s="7">
        <v>41244</v>
      </c>
      <c r="K149" s="9" t="s">
        <v>195</v>
      </c>
      <c r="L149" s="22" t="s">
        <v>193</v>
      </c>
      <c r="M149" s="8"/>
      <c r="O149" s="15"/>
      <c r="P149" s="15" t="s">
        <v>516</v>
      </c>
      <c r="Q149" s="16">
        <f t="shared" si="6"/>
        <v>21.085000000000001</v>
      </c>
      <c r="R149" s="16">
        <f t="shared" si="7"/>
        <v>0</v>
      </c>
      <c r="S149" s="79"/>
      <c r="T149" s="79"/>
      <c r="U149" s="79"/>
    </row>
    <row r="150" spans="1:21" s="11" customFormat="1" ht="28" x14ac:dyDescent="0.35">
      <c r="A150" s="9" t="s">
        <v>132</v>
      </c>
      <c r="B150" s="8" t="s">
        <v>228</v>
      </c>
      <c r="C150" s="44" t="s">
        <v>381</v>
      </c>
      <c r="D150" s="10">
        <v>27.68</v>
      </c>
      <c r="E150" s="9" t="s">
        <v>80</v>
      </c>
      <c r="F150" s="9" t="s">
        <v>728</v>
      </c>
      <c r="G150" s="23">
        <v>1</v>
      </c>
      <c r="H150" s="23">
        <v>0</v>
      </c>
      <c r="I150" s="7">
        <v>42614</v>
      </c>
      <c r="J150" s="7">
        <v>42644</v>
      </c>
      <c r="K150" s="9" t="s">
        <v>195</v>
      </c>
      <c r="L150" s="22" t="s">
        <v>298</v>
      </c>
      <c r="M150" s="8"/>
      <c r="O150" s="15"/>
      <c r="P150" s="15" t="s">
        <v>516</v>
      </c>
      <c r="Q150" s="16">
        <f t="shared" si="6"/>
        <v>27.68</v>
      </c>
      <c r="R150" s="16">
        <f t="shared" si="7"/>
        <v>0</v>
      </c>
      <c r="S150" s="79"/>
      <c r="T150" s="79"/>
      <c r="U150" s="79"/>
    </row>
    <row r="151" spans="1:21" s="11" customFormat="1" ht="42" x14ac:dyDescent="0.35">
      <c r="A151" s="9" t="s">
        <v>133</v>
      </c>
      <c r="B151" s="8" t="s">
        <v>136</v>
      </c>
      <c r="C151" s="44" t="s">
        <v>381</v>
      </c>
      <c r="D151" s="10">
        <f>(2092438+18042.89)/1000</f>
        <v>2110.4808900000003</v>
      </c>
      <c r="E151" s="9" t="s">
        <v>143</v>
      </c>
      <c r="F151" s="9" t="s">
        <v>728</v>
      </c>
      <c r="G151" s="23">
        <v>0.05</v>
      </c>
      <c r="H151" s="23">
        <v>0.95</v>
      </c>
      <c r="I151" s="7">
        <v>40118</v>
      </c>
      <c r="J151" s="7">
        <v>43800</v>
      </c>
      <c r="K151" s="9" t="s">
        <v>144</v>
      </c>
      <c r="L151" s="22" t="s">
        <v>706</v>
      </c>
      <c r="M151" s="8"/>
      <c r="O151" s="15"/>
      <c r="P151" s="15" t="s">
        <v>516</v>
      </c>
      <c r="Q151" s="16">
        <f t="shared" si="6"/>
        <v>105.52404450000002</v>
      </c>
      <c r="R151" s="16">
        <f t="shared" si="7"/>
        <v>2004.9568455000001</v>
      </c>
      <c r="S151" s="79"/>
      <c r="T151" s="79"/>
      <c r="U151" s="79"/>
    </row>
    <row r="152" spans="1:21" s="11" customFormat="1" ht="42" x14ac:dyDescent="0.35">
      <c r="A152" s="9" t="s">
        <v>183</v>
      </c>
      <c r="B152" s="8" t="s">
        <v>711</v>
      </c>
      <c r="C152" s="59" t="s">
        <v>382</v>
      </c>
      <c r="D152" s="10">
        <f>533.19+1600+2035+1012+41.361+662</f>
        <v>5883.5510000000004</v>
      </c>
      <c r="E152" s="9" t="s">
        <v>143</v>
      </c>
      <c r="F152" s="9" t="s">
        <v>728</v>
      </c>
      <c r="G152" s="23">
        <v>0.38</v>
      </c>
      <c r="H152" s="23">
        <v>0.62</v>
      </c>
      <c r="I152" s="7">
        <v>40603</v>
      </c>
      <c r="J152" s="7">
        <v>43800</v>
      </c>
      <c r="K152" s="9" t="s">
        <v>144</v>
      </c>
      <c r="L152" s="22" t="s">
        <v>709</v>
      </c>
      <c r="M152" s="8"/>
      <c r="O152" s="15"/>
      <c r="P152" s="15" t="s">
        <v>516</v>
      </c>
      <c r="Q152" s="16">
        <f t="shared" si="6"/>
        <v>2235.7493800000002</v>
      </c>
      <c r="R152" s="16">
        <f t="shared" si="7"/>
        <v>3647.8016200000002</v>
      </c>
      <c r="S152" s="79"/>
      <c r="T152" s="79"/>
      <c r="U152" s="79"/>
    </row>
    <row r="153" spans="1:21" s="11" customFormat="1" ht="28" x14ac:dyDescent="0.35">
      <c r="A153" s="9" t="s">
        <v>184</v>
      </c>
      <c r="B153" s="8" t="s">
        <v>560</v>
      </c>
      <c r="C153" s="59" t="s">
        <v>382</v>
      </c>
      <c r="D153" s="10">
        <v>590.79</v>
      </c>
      <c r="E153" s="9" t="s">
        <v>80</v>
      </c>
      <c r="F153" s="9" t="s">
        <v>728</v>
      </c>
      <c r="G153" s="23">
        <v>0</v>
      </c>
      <c r="H153" s="23">
        <v>1</v>
      </c>
      <c r="I153" s="7">
        <v>40940</v>
      </c>
      <c r="J153" s="7">
        <v>42278</v>
      </c>
      <c r="K153" s="9" t="s">
        <v>195</v>
      </c>
      <c r="L153" s="22" t="s">
        <v>478</v>
      </c>
      <c r="M153" s="8"/>
      <c r="O153" s="15"/>
      <c r="P153" s="15" t="s">
        <v>516</v>
      </c>
      <c r="Q153" s="16">
        <f t="shared" si="6"/>
        <v>0</v>
      </c>
      <c r="R153" s="16">
        <f t="shared" si="7"/>
        <v>590.79</v>
      </c>
      <c r="S153" s="79"/>
      <c r="T153" s="79"/>
      <c r="U153" s="79"/>
    </row>
    <row r="154" spans="1:21" s="11" customFormat="1" ht="28" x14ac:dyDescent="0.35">
      <c r="A154" s="9" t="s">
        <v>185</v>
      </c>
      <c r="B154" s="8" t="s">
        <v>242</v>
      </c>
      <c r="C154" s="59" t="s">
        <v>382</v>
      </c>
      <c r="D154" s="10">
        <v>124.788</v>
      </c>
      <c r="E154" s="9" t="s">
        <v>80</v>
      </c>
      <c r="F154" s="9" t="s">
        <v>728</v>
      </c>
      <c r="G154" s="23">
        <v>0</v>
      </c>
      <c r="H154" s="23">
        <v>1</v>
      </c>
      <c r="I154" s="7">
        <v>41244</v>
      </c>
      <c r="J154" s="7">
        <v>41365</v>
      </c>
      <c r="K154" s="9" t="s">
        <v>195</v>
      </c>
      <c r="L154" s="22" t="s">
        <v>192</v>
      </c>
      <c r="M154" s="8"/>
      <c r="O154" s="15"/>
      <c r="P154" s="15" t="s">
        <v>516</v>
      </c>
      <c r="Q154" s="16">
        <f t="shared" si="6"/>
        <v>0</v>
      </c>
      <c r="R154" s="16">
        <f t="shared" si="7"/>
        <v>124.788</v>
      </c>
      <c r="S154" s="79"/>
      <c r="T154" s="79"/>
      <c r="U154" s="79"/>
    </row>
    <row r="155" spans="1:21" s="11" customFormat="1" ht="28" x14ac:dyDescent="0.35">
      <c r="A155" s="9" t="s">
        <v>186</v>
      </c>
      <c r="B155" s="8" t="s">
        <v>137</v>
      </c>
      <c r="C155" s="59" t="s">
        <v>382</v>
      </c>
      <c r="D155" s="10">
        <v>87.125</v>
      </c>
      <c r="E155" s="9" t="s">
        <v>80</v>
      </c>
      <c r="F155" s="9" t="s">
        <v>728</v>
      </c>
      <c r="G155" s="23">
        <v>0</v>
      </c>
      <c r="H155" s="23">
        <v>1</v>
      </c>
      <c r="I155" s="7">
        <v>40664</v>
      </c>
      <c r="J155" s="7">
        <v>41030</v>
      </c>
      <c r="K155" s="9" t="s">
        <v>195</v>
      </c>
      <c r="L155" s="22" t="s">
        <v>241</v>
      </c>
      <c r="M155" s="8"/>
      <c r="O155" s="15"/>
      <c r="P155" s="15" t="s">
        <v>516</v>
      </c>
      <c r="Q155" s="16">
        <f t="shared" si="6"/>
        <v>0</v>
      </c>
      <c r="R155" s="16">
        <f t="shared" si="7"/>
        <v>87.125</v>
      </c>
      <c r="S155" s="79"/>
      <c r="T155" s="79"/>
      <c r="U155" s="79"/>
    </row>
    <row r="156" spans="1:21" s="11" customFormat="1" ht="28" x14ac:dyDescent="0.35">
      <c r="A156" s="9" t="s">
        <v>187</v>
      </c>
      <c r="B156" s="8" t="s">
        <v>138</v>
      </c>
      <c r="C156" s="59" t="s">
        <v>382</v>
      </c>
      <c r="D156" s="10">
        <v>1059.8699999999999</v>
      </c>
      <c r="E156" s="9" t="s">
        <v>80</v>
      </c>
      <c r="F156" s="9" t="s">
        <v>728</v>
      </c>
      <c r="G156" s="23">
        <v>0</v>
      </c>
      <c r="H156" s="23">
        <v>1</v>
      </c>
      <c r="I156" s="7">
        <v>42278</v>
      </c>
      <c r="J156" s="7">
        <v>42767</v>
      </c>
      <c r="K156" s="9" t="s">
        <v>195</v>
      </c>
      <c r="L156" s="22" t="s">
        <v>243</v>
      </c>
      <c r="M156" s="8"/>
      <c r="O156" s="15"/>
      <c r="P156" s="15" t="s">
        <v>516</v>
      </c>
      <c r="Q156" s="16">
        <f t="shared" si="6"/>
        <v>0</v>
      </c>
      <c r="R156" s="16">
        <f t="shared" si="7"/>
        <v>1059.8699999999999</v>
      </c>
      <c r="S156" s="79"/>
      <c r="T156" s="79"/>
      <c r="U156" s="79"/>
    </row>
    <row r="157" spans="1:21" s="11" customFormat="1" ht="42" x14ac:dyDescent="0.35">
      <c r="A157" s="9" t="s">
        <v>188</v>
      </c>
      <c r="B157" s="8" t="s">
        <v>140</v>
      </c>
      <c r="C157" s="59" t="s">
        <v>382</v>
      </c>
      <c r="D157" s="10">
        <f>935.073-407+825.65+19.64</f>
        <v>1373.3630000000001</v>
      </c>
      <c r="E157" s="9" t="s">
        <v>143</v>
      </c>
      <c r="F157" s="9" t="s">
        <v>728</v>
      </c>
      <c r="G157" s="23">
        <v>0</v>
      </c>
      <c r="H157" s="23">
        <v>1</v>
      </c>
      <c r="I157" s="7" t="s">
        <v>182</v>
      </c>
      <c r="J157" s="7">
        <v>43800</v>
      </c>
      <c r="K157" s="9" t="s">
        <v>144</v>
      </c>
      <c r="L157" s="22" t="s">
        <v>707</v>
      </c>
      <c r="M157" s="8"/>
      <c r="O157" s="15"/>
      <c r="P157" s="15" t="s">
        <v>516</v>
      </c>
      <c r="Q157" s="16">
        <f t="shared" si="6"/>
        <v>0</v>
      </c>
      <c r="R157" s="16">
        <f t="shared" si="7"/>
        <v>1373.3630000000001</v>
      </c>
      <c r="S157" s="79"/>
      <c r="T157" s="79"/>
      <c r="U157" s="79"/>
    </row>
    <row r="158" spans="1:21" s="11" customFormat="1" ht="42" x14ac:dyDescent="0.35">
      <c r="A158" s="9" t="s">
        <v>189</v>
      </c>
      <c r="B158" s="8" t="s">
        <v>141</v>
      </c>
      <c r="C158" s="75" t="s">
        <v>384</v>
      </c>
      <c r="D158" s="10">
        <f>448.758+300.15+163.817+28.91</f>
        <v>941.63499999999988</v>
      </c>
      <c r="E158" s="9" t="s">
        <v>143</v>
      </c>
      <c r="F158" s="9" t="s">
        <v>728</v>
      </c>
      <c r="G158" s="23">
        <v>0</v>
      </c>
      <c r="H158" s="23">
        <v>1</v>
      </c>
      <c r="I158" s="7">
        <v>40603</v>
      </c>
      <c r="J158" s="7">
        <v>43800</v>
      </c>
      <c r="K158" s="9" t="s">
        <v>144</v>
      </c>
      <c r="L158" s="22" t="s">
        <v>708</v>
      </c>
      <c r="M158" s="8"/>
      <c r="O158" s="15"/>
      <c r="P158" s="15" t="s">
        <v>516</v>
      </c>
      <c r="Q158" s="16">
        <f t="shared" si="6"/>
        <v>0</v>
      </c>
      <c r="R158" s="16">
        <f t="shared" si="7"/>
        <v>941.63499999999988</v>
      </c>
      <c r="S158" s="79"/>
      <c r="T158" s="79"/>
      <c r="U158" s="79"/>
    </row>
    <row r="159" spans="1:21" s="11" customFormat="1" ht="42" x14ac:dyDescent="0.35">
      <c r="A159" s="9" t="s">
        <v>190</v>
      </c>
      <c r="B159" s="8" t="s">
        <v>171</v>
      </c>
      <c r="C159" s="59" t="s">
        <v>381</v>
      </c>
      <c r="D159" s="10">
        <f>4217.933+9.71</f>
        <v>4227.643</v>
      </c>
      <c r="E159" s="9" t="s">
        <v>143</v>
      </c>
      <c r="F159" s="9" t="s">
        <v>728</v>
      </c>
      <c r="G159" s="23">
        <v>7.0000000000000007E-2</v>
      </c>
      <c r="H159" s="23">
        <v>0.93</v>
      </c>
      <c r="I159" s="7">
        <v>40118</v>
      </c>
      <c r="J159" s="7">
        <v>43800</v>
      </c>
      <c r="K159" s="9" t="s">
        <v>144</v>
      </c>
      <c r="L159" s="22" t="s">
        <v>710</v>
      </c>
      <c r="M159" s="17"/>
      <c r="O159" s="15"/>
      <c r="P159" s="15" t="s">
        <v>516</v>
      </c>
      <c r="Q159" s="16">
        <f t="shared" si="6"/>
        <v>295.93501000000003</v>
      </c>
      <c r="R159" s="16">
        <f t="shared" si="7"/>
        <v>3931.7079900000003</v>
      </c>
      <c r="S159" s="79"/>
      <c r="T159" s="79"/>
      <c r="U159" s="79"/>
    </row>
    <row r="160" spans="1:21" s="11" customFormat="1" ht="28" x14ac:dyDescent="0.35">
      <c r="A160" s="9" t="s">
        <v>265</v>
      </c>
      <c r="B160" s="8" t="s">
        <v>274</v>
      </c>
      <c r="C160" s="59" t="s">
        <v>381</v>
      </c>
      <c r="D160" s="10">
        <v>25.629000000000001</v>
      </c>
      <c r="E160" s="9" t="s">
        <v>105</v>
      </c>
      <c r="F160" s="9" t="s">
        <v>728</v>
      </c>
      <c r="G160" s="23">
        <v>0</v>
      </c>
      <c r="H160" s="23">
        <v>1</v>
      </c>
      <c r="I160" s="7">
        <v>40148</v>
      </c>
      <c r="J160" s="7">
        <v>40483</v>
      </c>
      <c r="K160" s="9" t="s">
        <v>195</v>
      </c>
      <c r="L160" s="22" t="s">
        <v>273</v>
      </c>
      <c r="M160" s="17"/>
      <c r="O160" s="15"/>
      <c r="P160" s="15" t="s">
        <v>516</v>
      </c>
      <c r="Q160" s="16">
        <f t="shared" si="6"/>
        <v>0</v>
      </c>
      <c r="R160" s="16">
        <f t="shared" si="7"/>
        <v>25.629000000000001</v>
      </c>
      <c r="S160" s="79"/>
      <c r="T160" s="79"/>
      <c r="U160" s="79"/>
    </row>
    <row r="161" spans="1:21" s="11" customFormat="1" ht="28" x14ac:dyDescent="0.35">
      <c r="A161" s="9" t="s">
        <v>266</v>
      </c>
      <c r="B161" s="8" t="s">
        <v>275</v>
      </c>
      <c r="C161" s="59" t="s">
        <v>381</v>
      </c>
      <c r="D161" s="10">
        <v>4.3860000000000001</v>
      </c>
      <c r="E161" s="9" t="s">
        <v>105</v>
      </c>
      <c r="F161" s="9" t="s">
        <v>728</v>
      </c>
      <c r="G161" s="23">
        <v>0</v>
      </c>
      <c r="H161" s="23">
        <v>1</v>
      </c>
      <c r="I161" s="7">
        <v>40179</v>
      </c>
      <c r="J161" s="7">
        <v>40452</v>
      </c>
      <c r="K161" s="9" t="s">
        <v>195</v>
      </c>
      <c r="L161" s="22" t="s">
        <v>369</v>
      </c>
      <c r="M161" s="17"/>
      <c r="O161" s="15"/>
      <c r="P161" s="15" t="s">
        <v>516</v>
      </c>
      <c r="Q161" s="16">
        <f t="shared" si="6"/>
        <v>0</v>
      </c>
      <c r="R161" s="16">
        <f t="shared" si="7"/>
        <v>4.3860000000000001</v>
      </c>
      <c r="S161" s="79"/>
      <c r="T161" s="79"/>
      <c r="U161" s="79"/>
    </row>
    <row r="162" spans="1:21" s="11" customFormat="1" ht="28" x14ac:dyDescent="0.35">
      <c r="A162" s="9" t="s">
        <v>276</v>
      </c>
      <c r="B162" s="8" t="s">
        <v>561</v>
      </c>
      <c r="C162" s="59" t="s">
        <v>382</v>
      </c>
      <c r="D162" s="10">
        <v>218.51</v>
      </c>
      <c r="E162" s="9" t="s">
        <v>80</v>
      </c>
      <c r="F162" s="9" t="s">
        <v>728</v>
      </c>
      <c r="G162" s="23">
        <v>0</v>
      </c>
      <c r="H162" s="23">
        <v>1</v>
      </c>
      <c r="I162" s="7">
        <v>42095</v>
      </c>
      <c r="J162" s="7">
        <v>42522</v>
      </c>
      <c r="K162" s="9" t="s">
        <v>195</v>
      </c>
      <c r="L162" s="22" t="s">
        <v>319</v>
      </c>
      <c r="M162" s="8"/>
      <c r="O162" s="15"/>
      <c r="P162" s="15" t="s">
        <v>516</v>
      </c>
      <c r="Q162" s="16">
        <f t="shared" si="6"/>
        <v>0</v>
      </c>
      <c r="R162" s="16">
        <f t="shared" si="7"/>
        <v>218.51</v>
      </c>
      <c r="S162" s="79"/>
      <c r="T162" s="79"/>
      <c r="U162" s="79"/>
    </row>
    <row r="163" spans="1:21" s="11" customFormat="1" ht="28" x14ac:dyDescent="0.35">
      <c r="A163" s="9" t="s">
        <v>348</v>
      </c>
      <c r="B163" s="8" t="s">
        <v>562</v>
      </c>
      <c r="C163" s="59" t="s">
        <v>382</v>
      </c>
      <c r="D163" s="10">
        <v>91.97</v>
      </c>
      <c r="E163" s="9" t="s">
        <v>80</v>
      </c>
      <c r="F163" s="9" t="s">
        <v>728</v>
      </c>
      <c r="G163" s="23">
        <v>0.12</v>
      </c>
      <c r="H163" s="23">
        <v>0.88</v>
      </c>
      <c r="I163" s="7">
        <v>41944</v>
      </c>
      <c r="J163" s="7">
        <v>42705</v>
      </c>
      <c r="K163" s="9" t="s">
        <v>195</v>
      </c>
      <c r="L163" s="22" t="s">
        <v>319</v>
      </c>
      <c r="M163" s="8"/>
      <c r="O163" s="15"/>
      <c r="P163" s="15" t="s">
        <v>516</v>
      </c>
      <c r="Q163" s="16">
        <f t="shared" si="6"/>
        <v>11.036399999999999</v>
      </c>
      <c r="R163" s="16">
        <f t="shared" si="7"/>
        <v>80.933599999999998</v>
      </c>
      <c r="S163" s="79"/>
      <c r="T163" s="79"/>
      <c r="U163" s="79"/>
    </row>
    <row r="164" spans="1:21" s="11" customFormat="1" ht="28" x14ac:dyDescent="0.35">
      <c r="A164" s="9" t="s">
        <v>349</v>
      </c>
      <c r="B164" s="8" t="s">
        <v>563</v>
      </c>
      <c r="C164" s="59" t="s">
        <v>382</v>
      </c>
      <c r="D164" s="10">
        <v>48.07</v>
      </c>
      <c r="E164" s="9" t="s">
        <v>80</v>
      </c>
      <c r="F164" s="9" t="s">
        <v>728</v>
      </c>
      <c r="G164" s="23">
        <v>0</v>
      </c>
      <c r="H164" s="23">
        <v>1</v>
      </c>
      <c r="I164" s="7">
        <v>42036</v>
      </c>
      <c r="J164" s="7">
        <v>42705</v>
      </c>
      <c r="K164" s="9" t="s">
        <v>195</v>
      </c>
      <c r="L164" s="22" t="s">
        <v>564</v>
      </c>
      <c r="M164" s="17"/>
      <c r="O164" s="15"/>
      <c r="P164" s="15" t="s">
        <v>516</v>
      </c>
      <c r="Q164" s="16">
        <f t="shared" si="6"/>
        <v>0</v>
      </c>
      <c r="R164" s="16">
        <f t="shared" si="7"/>
        <v>48.07</v>
      </c>
    </row>
    <row r="165" spans="1:21" s="11" customFormat="1" ht="28" x14ac:dyDescent="0.35">
      <c r="A165" s="9" t="s">
        <v>346</v>
      </c>
      <c r="B165" s="8" t="s">
        <v>139</v>
      </c>
      <c r="C165" s="59" t="s">
        <v>382</v>
      </c>
      <c r="D165" s="10">
        <v>368</v>
      </c>
      <c r="E165" s="9" t="s">
        <v>80</v>
      </c>
      <c r="F165" s="9" t="s">
        <v>728</v>
      </c>
      <c r="G165" s="23">
        <v>0</v>
      </c>
      <c r="H165" s="23">
        <v>1</v>
      </c>
      <c r="I165" s="7">
        <v>41883</v>
      </c>
      <c r="J165" s="7">
        <v>42278</v>
      </c>
      <c r="K165" s="9" t="s">
        <v>195</v>
      </c>
      <c r="L165" s="22" t="s">
        <v>318</v>
      </c>
      <c r="M165" s="8"/>
      <c r="O165" s="15"/>
      <c r="P165" s="15" t="s">
        <v>516</v>
      </c>
      <c r="Q165" s="16">
        <f t="shared" si="6"/>
        <v>0</v>
      </c>
      <c r="R165" s="16">
        <f t="shared" si="7"/>
        <v>368</v>
      </c>
    </row>
    <row r="166" spans="1:21" s="11" customFormat="1" ht="28" x14ac:dyDescent="0.35">
      <c r="A166" s="9" t="s">
        <v>347</v>
      </c>
      <c r="B166" s="8" t="s">
        <v>565</v>
      </c>
      <c r="C166" s="59" t="s">
        <v>382</v>
      </c>
      <c r="D166" s="10">
        <v>521.34</v>
      </c>
      <c r="E166" s="9" t="s">
        <v>80</v>
      </c>
      <c r="F166" s="9" t="s">
        <v>728</v>
      </c>
      <c r="G166" s="23">
        <v>0</v>
      </c>
      <c r="H166" s="23">
        <v>1</v>
      </c>
      <c r="I166" s="7">
        <v>41579</v>
      </c>
      <c r="J166" s="7">
        <v>43435</v>
      </c>
      <c r="K166" s="19" t="s">
        <v>195</v>
      </c>
      <c r="L166" s="22" t="s">
        <v>566</v>
      </c>
      <c r="M166" s="17"/>
      <c r="O166" s="15"/>
      <c r="P166" s="15" t="s">
        <v>516</v>
      </c>
      <c r="Q166" s="16">
        <f t="shared" si="6"/>
        <v>0</v>
      </c>
      <c r="R166" s="16">
        <f t="shared" si="7"/>
        <v>521.34</v>
      </c>
      <c r="S166" s="79"/>
      <c r="T166" s="79"/>
      <c r="U166" s="79"/>
    </row>
    <row r="167" spans="1:21" s="11" customFormat="1" ht="28" x14ac:dyDescent="0.35">
      <c r="A167" s="9" t="s">
        <v>360</v>
      </c>
      <c r="B167" s="8" t="s">
        <v>368</v>
      </c>
      <c r="C167" s="59" t="s">
        <v>382</v>
      </c>
      <c r="D167" s="10">
        <v>103</v>
      </c>
      <c r="E167" s="9" t="s">
        <v>80</v>
      </c>
      <c r="F167" s="9" t="s">
        <v>728</v>
      </c>
      <c r="G167" s="23">
        <v>0</v>
      </c>
      <c r="H167" s="23">
        <v>1</v>
      </c>
      <c r="I167" s="7">
        <v>41913</v>
      </c>
      <c r="J167" s="7">
        <v>42309</v>
      </c>
      <c r="K167" s="9" t="s">
        <v>195</v>
      </c>
      <c r="L167" s="22" t="s">
        <v>318</v>
      </c>
      <c r="M167" s="17"/>
      <c r="O167" s="15"/>
      <c r="P167" s="15" t="s">
        <v>516</v>
      </c>
      <c r="Q167" s="16">
        <f t="shared" si="6"/>
        <v>0</v>
      </c>
      <c r="R167" s="16">
        <f t="shared" si="7"/>
        <v>103</v>
      </c>
      <c r="S167" s="79"/>
      <c r="T167" s="79"/>
      <c r="U167" s="79"/>
    </row>
    <row r="168" spans="1:21" s="11" customFormat="1" ht="28" x14ac:dyDescent="0.35">
      <c r="A168" s="9" t="s">
        <v>425</v>
      </c>
      <c r="B168" s="8" t="s">
        <v>361</v>
      </c>
      <c r="C168" s="44" t="s">
        <v>381</v>
      </c>
      <c r="D168" s="10">
        <v>66</v>
      </c>
      <c r="E168" s="9" t="s">
        <v>105</v>
      </c>
      <c r="F168" s="9" t="s">
        <v>728</v>
      </c>
      <c r="G168" s="23">
        <v>0</v>
      </c>
      <c r="H168" s="23">
        <v>1</v>
      </c>
      <c r="I168" s="7">
        <v>41913</v>
      </c>
      <c r="J168" s="7">
        <v>42156</v>
      </c>
      <c r="K168" s="9" t="s">
        <v>195</v>
      </c>
      <c r="L168" s="14" t="s">
        <v>362</v>
      </c>
      <c r="M168" s="17"/>
      <c r="O168" s="15"/>
      <c r="P168" s="15" t="s">
        <v>516</v>
      </c>
      <c r="Q168" s="16">
        <f t="shared" si="6"/>
        <v>0</v>
      </c>
      <c r="R168" s="16">
        <f t="shared" si="7"/>
        <v>66</v>
      </c>
      <c r="S168" s="79"/>
      <c r="T168" s="79"/>
      <c r="U168" s="79"/>
    </row>
    <row r="169" spans="1:21" s="11" customFormat="1" ht="28" x14ac:dyDescent="0.35">
      <c r="A169" s="9" t="s">
        <v>416</v>
      </c>
      <c r="B169" s="8" t="s">
        <v>567</v>
      </c>
      <c r="C169" s="44" t="s">
        <v>381</v>
      </c>
      <c r="D169" s="10">
        <v>105.21</v>
      </c>
      <c r="E169" s="9" t="s">
        <v>80</v>
      </c>
      <c r="F169" s="9" t="s">
        <v>728</v>
      </c>
      <c r="G169" s="23">
        <v>0</v>
      </c>
      <c r="H169" s="23">
        <v>1</v>
      </c>
      <c r="I169" s="7">
        <v>42156</v>
      </c>
      <c r="J169" s="7">
        <v>43781</v>
      </c>
      <c r="K169" s="9" t="s">
        <v>144</v>
      </c>
      <c r="L169" s="22" t="s">
        <v>713</v>
      </c>
      <c r="M169" s="8"/>
      <c r="O169" s="15"/>
      <c r="P169" s="15" t="s">
        <v>516</v>
      </c>
      <c r="Q169" s="16">
        <f t="shared" si="6"/>
        <v>0</v>
      </c>
      <c r="R169" s="16">
        <f t="shared" si="7"/>
        <v>105.21</v>
      </c>
      <c r="S169" s="79"/>
      <c r="T169" s="79"/>
      <c r="U169" s="79"/>
    </row>
    <row r="170" spans="1:21" s="11" customFormat="1" ht="28" x14ac:dyDescent="0.35">
      <c r="A170" s="9" t="s">
        <v>418</v>
      </c>
      <c r="B170" s="8" t="s">
        <v>568</v>
      </c>
      <c r="C170" s="44" t="s">
        <v>382</v>
      </c>
      <c r="D170" s="10">
        <v>426.35</v>
      </c>
      <c r="E170" s="9" t="s">
        <v>80</v>
      </c>
      <c r="F170" s="9" t="s">
        <v>728</v>
      </c>
      <c r="G170" s="23">
        <v>0.5</v>
      </c>
      <c r="H170" s="23">
        <v>0.5</v>
      </c>
      <c r="I170" s="7">
        <v>42156</v>
      </c>
      <c r="J170" s="7">
        <v>42583</v>
      </c>
      <c r="K170" s="9" t="s">
        <v>195</v>
      </c>
      <c r="L170" s="22" t="s">
        <v>419</v>
      </c>
      <c r="M170" s="17"/>
      <c r="O170" s="15"/>
      <c r="P170" s="15" t="s">
        <v>516</v>
      </c>
      <c r="Q170" s="16">
        <f t="shared" si="6"/>
        <v>213.17500000000001</v>
      </c>
      <c r="R170" s="16">
        <f t="shared" si="7"/>
        <v>213.17500000000001</v>
      </c>
      <c r="S170" s="79"/>
      <c r="T170" s="79"/>
      <c r="U170" s="79"/>
    </row>
    <row r="171" spans="1:21" s="11" customFormat="1" ht="28" x14ac:dyDescent="0.35">
      <c r="A171" s="9" t="s">
        <v>420</v>
      </c>
      <c r="B171" s="8" t="s">
        <v>569</v>
      </c>
      <c r="C171" s="44" t="s">
        <v>381</v>
      </c>
      <c r="D171" s="10">
        <v>19.95</v>
      </c>
      <c r="E171" s="9" t="s">
        <v>80</v>
      </c>
      <c r="F171" s="9" t="s">
        <v>728</v>
      </c>
      <c r="G171" s="23">
        <v>0</v>
      </c>
      <c r="H171" s="23">
        <v>1</v>
      </c>
      <c r="I171" s="7">
        <v>42156</v>
      </c>
      <c r="J171" s="7">
        <v>42583</v>
      </c>
      <c r="K171" s="9" t="s">
        <v>195</v>
      </c>
      <c r="L171" s="22" t="s">
        <v>421</v>
      </c>
      <c r="M171" s="8"/>
      <c r="O171" s="15"/>
      <c r="P171" s="15" t="s">
        <v>516</v>
      </c>
      <c r="Q171" s="16">
        <f t="shared" si="6"/>
        <v>0</v>
      </c>
      <c r="R171" s="16">
        <f t="shared" si="7"/>
        <v>19.95</v>
      </c>
      <c r="S171" s="79"/>
      <c r="T171" s="79"/>
      <c r="U171" s="79"/>
    </row>
    <row r="172" spans="1:21" s="11" customFormat="1" ht="28" x14ac:dyDescent="0.35">
      <c r="A172" s="9" t="s">
        <v>435</v>
      </c>
      <c r="B172" s="8" t="s">
        <v>570</v>
      </c>
      <c r="C172" s="59" t="s">
        <v>382</v>
      </c>
      <c r="D172" s="10">
        <f>176897.07/1000</f>
        <v>176.89707000000001</v>
      </c>
      <c r="E172" s="9" t="s">
        <v>80</v>
      </c>
      <c r="F172" s="9" t="s">
        <v>728</v>
      </c>
      <c r="G172" s="23">
        <v>0</v>
      </c>
      <c r="H172" s="23">
        <v>1</v>
      </c>
      <c r="I172" s="7">
        <v>42248</v>
      </c>
      <c r="J172" s="7">
        <v>42767</v>
      </c>
      <c r="K172" s="9" t="s">
        <v>195</v>
      </c>
      <c r="L172" s="22" t="s">
        <v>436</v>
      </c>
      <c r="M172" s="17"/>
      <c r="O172" s="15"/>
      <c r="P172" s="15" t="s">
        <v>516</v>
      </c>
      <c r="Q172" s="16">
        <f t="shared" si="6"/>
        <v>0</v>
      </c>
      <c r="R172" s="16">
        <f t="shared" si="7"/>
        <v>176.89707000000001</v>
      </c>
      <c r="S172" s="79"/>
      <c r="T172" s="79"/>
      <c r="U172" s="79"/>
    </row>
    <row r="173" spans="1:21" s="11" customFormat="1" ht="28" x14ac:dyDescent="0.35">
      <c r="A173" s="9" t="s">
        <v>466</v>
      </c>
      <c r="B173" s="8" t="s">
        <v>464</v>
      </c>
      <c r="C173" s="44" t="s">
        <v>381</v>
      </c>
      <c r="D173" s="10">
        <f>27678.45/1000</f>
        <v>27.678450000000002</v>
      </c>
      <c r="E173" s="9" t="s">
        <v>80</v>
      </c>
      <c r="F173" s="9" t="s">
        <v>728</v>
      </c>
      <c r="G173" s="23">
        <v>1</v>
      </c>
      <c r="H173" s="23">
        <v>0</v>
      </c>
      <c r="I173" s="7">
        <v>42309</v>
      </c>
      <c r="J173" s="7">
        <v>42614</v>
      </c>
      <c r="K173" s="9" t="s">
        <v>195</v>
      </c>
      <c r="L173" s="22" t="s">
        <v>465</v>
      </c>
      <c r="M173" s="17"/>
      <c r="O173" s="15"/>
      <c r="P173" s="15" t="s">
        <v>516</v>
      </c>
      <c r="Q173" s="16">
        <f t="shared" si="6"/>
        <v>27.678450000000002</v>
      </c>
      <c r="R173" s="16">
        <f t="shared" si="7"/>
        <v>0</v>
      </c>
      <c r="S173" s="79"/>
      <c r="T173" s="79"/>
      <c r="U173" s="79"/>
    </row>
    <row r="174" spans="1:21" s="11" customFormat="1" ht="28" x14ac:dyDescent="0.35">
      <c r="A174" s="9" t="s">
        <v>470</v>
      </c>
      <c r="B174" s="8" t="s">
        <v>571</v>
      </c>
      <c r="C174" s="44" t="s">
        <v>381</v>
      </c>
      <c r="D174" s="10">
        <v>21.81</v>
      </c>
      <c r="E174" s="9" t="s">
        <v>80</v>
      </c>
      <c r="F174" s="9" t="s">
        <v>728</v>
      </c>
      <c r="G174" s="23">
        <v>0.75</v>
      </c>
      <c r="H174" s="23">
        <v>0.25</v>
      </c>
      <c r="I174" s="7">
        <v>42309</v>
      </c>
      <c r="J174" s="7">
        <v>42795</v>
      </c>
      <c r="K174" s="9" t="s">
        <v>195</v>
      </c>
      <c r="L174" s="22" t="s">
        <v>471</v>
      </c>
      <c r="M174" s="17"/>
      <c r="O174" s="15"/>
      <c r="P174" s="15" t="s">
        <v>516</v>
      </c>
      <c r="Q174" s="16">
        <f t="shared" si="6"/>
        <v>16.357499999999998</v>
      </c>
      <c r="R174" s="16">
        <f t="shared" si="7"/>
        <v>5.4524999999999997</v>
      </c>
      <c r="S174" s="79"/>
      <c r="T174" s="79"/>
      <c r="U174" s="79"/>
    </row>
    <row r="175" spans="1:21" s="11" customFormat="1" ht="28" x14ac:dyDescent="0.35">
      <c r="A175" s="9" t="s">
        <v>472</v>
      </c>
      <c r="B175" s="8" t="s">
        <v>474</v>
      </c>
      <c r="C175" s="75" t="s">
        <v>384</v>
      </c>
      <c r="D175" s="10">
        <v>6.4</v>
      </c>
      <c r="E175" s="9" t="s">
        <v>80</v>
      </c>
      <c r="F175" s="9" t="s">
        <v>728</v>
      </c>
      <c r="G175" s="23">
        <v>0</v>
      </c>
      <c r="H175" s="23">
        <v>1</v>
      </c>
      <c r="I175" s="7">
        <v>42309</v>
      </c>
      <c r="J175" s="7">
        <v>42401</v>
      </c>
      <c r="K175" s="9" t="s">
        <v>195</v>
      </c>
      <c r="L175" s="22" t="s">
        <v>473</v>
      </c>
      <c r="M175" s="17"/>
      <c r="O175" s="15"/>
      <c r="P175" s="15" t="s">
        <v>516</v>
      </c>
      <c r="Q175" s="16">
        <f t="shared" si="6"/>
        <v>0</v>
      </c>
      <c r="R175" s="16">
        <f t="shared" si="7"/>
        <v>6.4</v>
      </c>
      <c r="S175" s="79"/>
      <c r="T175" s="79"/>
      <c r="U175" s="79"/>
    </row>
    <row r="176" spans="1:21" s="11" customFormat="1" ht="28" x14ac:dyDescent="0.35">
      <c r="A176" s="9" t="s">
        <v>484</v>
      </c>
      <c r="B176" s="8" t="s">
        <v>572</v>
      </c>
      <c r="C176" s="59" t="s">
        <v>382</v>
      </c>
      <c r="D176" s="10">
        <v>209.24</v>
      </c>
      <c r="E176" s="9" t="s">
        <v>80</v>
      </c>
      <c r="F176" s="9" t="s">
        <v>728</v>
      </c>
      <c r="G176" s="23">
        <v>1</v>
      </c>
      <c r="H176" s="23">
        <v>0</v>
      </c>
      <c r="I176" s="7">
        <v>42461</v>
      </c>
      <c r="J176" s="7">
        <v>42887</v>
      </c>
      <c r="K176" s="9" t="s">
        <v>195</v>
      </c>
      <c r="L176" s="22" t="s">
        <v>483</v>
      </c>
      <c r="M176" s="17"/>
      <c r="O176" s="15"/>
      <c r="P176" s="15" t="s">
        <v>516</v>
      </c>
      <c r="Q176" s="16">
        <f t="shared" si="6"/>
        <v>209.24</v>
      </c>
      <c r="R176" s="16">
        <f t="shared" si="7"/>
        <v>0</v>
      </c>
      <c r="S176" s="79"/>
      <c r="T176" s="79"/>
      <c r="U176" s="79"/>
    </row>
    <row r="177" spans="1:21" s="11" customFormat="1" ht="28" x14ac:dyDescent="0.35">
      <c r="A177" s="9" t="s">
        <v>494</v>
      </c>
      <c r="B177" s="8" t="s">
        <v>573</v>
      </c>
      <c r="C177" s="44" t="s">
        <v>381</v>
      </c>
      <c r="D177" s="10">
        <v>149.07</v>
      </c>
      <c r="E177" s="9" t="s">
        <v>80</v>
      </c>
      <c r="F177" s="9" t="s">
        <v>728</v>
      </c>
      <c r="G177" s="23">
        <v>0</v>
      </c>
      <c r="H177" s="23">
        <v>1</v>
      </c>
      <c r="I177" s="7">
        <v>42614</v>
      </c>
      <c r="J177" s="7">
        <v>43739</v>
      </c>
      <c r="K177" s="9" t="s">
        <v>144</v>
      </c>
      <c r="L177" s="22" t="s">
        <v>714</v>
      </c>
      <c r="M177" s="17"/>
      <c r="O177" s="15"/>
      <c r="P177" s="15" t="s">
        <v>516</v>
      </c>
      <c r="Q177" s="16">
        <f t="shared" si="6"/>
        <v>0</v>
      </c>
      <c r="R177" s="16">
        <f t="shared" si="7"/>
        <v>149.07</v>
      </c>
      <c r="S177" s="79"/>
      <c r="T177" s="79"/>
      <c r="U177" s="79"/>
    </row>
    <row r="178" spans="1:21" s="11" customFormat="1" ht="28" x14ac:dyDescent="0.35">
      <c r="A178" s="9" t="s">
        <v>497</v>
      </c>
      <c r="B178" s="8" t="s">
        <v>498</v>
      </c>
      <c r="C178" s="44" t="s">
        <v>381</v>
      </c>
      <c r="D178" s="10">
        <v>13.18</v>
      </c>
      <c r="E178" s="9" t="s">
        <v>80</v>
      </c>
      <c r="F178" s="9" t="s">
        <v>728</v>
      </c>
      <c r="G178" s="23">
        <v>1</v>
      </c>
      <c r="H178" s="23">
        <v>0</v>
      </c>
      <c r="I178" s="7">
        <v>43191</v>
      </c>
      <c r="J178" s="7">
        <v>43313</v>
      </c>
      <c r="K178" s="9" t="s">
        <v>195</v>
      </c>
      <c r="L178" s="22" t="s">
        <v>653</v>
      </c>
      <c r="M178" s="17"/>
      <c r="O178" s="15"/>
      <c r="P178" s="15" t="s">
        <v>516</v>
      </c>
      <c r="Q178" s="16">
        <f t="shared" si="6"/>
        <v>13.18</v>
      </c>
      <c r="R178" s="16">
        <f t="shared" si="7"/>
        <v>0</v>
      </c>
      <c r="S178" s="149"/>
      <c r="T178" s="149"/>
      <c r="U178" s="6"/>
    </row>
    <row r="179" spans="1:21" s="11" customFormat="1" ht="28" x14ac:dyDescent="0.35">
      <c r="A179" s="9" t="s">
        <v>499</v>
      </c>
      <c r="B179" s="8" t="s">
        <v>574</v>
      </c>
      <c r="C179" s="59" t="s">
        <v>382</v>
      </c>
      <c r="D179" s="10">
        <v>1547.7098141176471</v>
      </c>
      <c r="E179" s="9" t="s">
        <v>80</v>
      </c>
      <c r="F179" s="9" t="s">
        <v>728</v>
      </c>
      <c r="G179" s="23">
        <v>0.49</v>
      </c>
      <c r="H179" s="23">
        <v>0.51</v>
      </c>
      <c r="I179" s="7">
        <v>42614</v>
      </c>
      <c r="J179" s="7">
        <v>43800</v>
      </c>
      <c r="K179" s="9" t="s">
        <v>144</v>
      </c>
      <c r="L179" s="22" t="s">
        <v>715</v>
      </c>
      <c r="M179" s="17"/>
      <c r="O179" s="15"/>
      <c r="P179" s="15" t="s">
        <v>516</v>
      </c>
      <c r="Q179" s="16">
        <f t="shared" si="6"/>
        <v>758.37780891764703</v>
      </c>
      <c r="R179" s="16">
        <f t="shared" si="7"/>
        <v>789.33200520000003</v>
      </c>
      <c r="S179" s="149"/>
      <c r="T179" s="149"/>
      <c r="U179" s="6"/>
    </row>
    <row r="180" spans="1:21" s="11" customFormat="1" ht="28" x14ac:dyDescent="0.35">
      <c r="A180" s="9" t="s">
        <v>502</v>
      </c>
      <c r="B180" s="8" t="s">
        <v>504</v>
      </c>
      <c r="C180" s="59" t="s">
        <v>384</v>
      </c>
      <c r="D180" s="10">
        <v>28.34</v>
      </c>
      <c r="E180" s="9" t="s">
        <v>503</v>
      </c>
      <c r="F180" s="9" t="s">
        <v>82</v>
      </c>
      <c r="G180" s="23">
        <v>1</v>
      </c>
      <c r="H180" s="23">
        <v>0</v>
      </c>
      <c r="I180" s="7">
        <v>42705</v>
      </c>
      <c r="J180" s="7">
        <v>42767</v>
      </c>
      <c r="K180" s="9" t="s">
        <v>195</v>
      </c>
      <c r="L180" s="22" t="s">
        <v>317</v>
      </c>
      <c r="M180" s="17"/>
      <c r="O180" s="15"/>
      <c r="P180" s="15" t="s">
        <v>517</v>
      </c>
      <c r="Q180" s="16">
        <f t="shared" si="6"/>
        <v>28.34</v>
      </c>
      <c r="R180" s="16">
        <f t="shared" si="7"/>
        <v>0</v>
      </c>
      <c r="S180" s="149"/>
      <c r="T180" s="149"/>
      <c r="U180" s="6"/>
    </row>
    <row r="181" spans="1:21" s="11" customFormat="1" ht="28" x14ac:dyDescent="0.35">
      <c r="A181" s="9" t="s">
        <v>575</v>
      </c>
      <c r="B181" s="68" t="s">
        <v>576</v>
      </c>
      <c r="C181" s="69" t="s">
        <v>381</v>
      </c>
      <c r="D181" s="102">
        <v>126.47</v>
      </c>
      <c r="E181" s="9" t="s">
        <v>80</v>
      </c>
      <c r="F181" s="9" t="s">
        <v>728</v>
      </c>
      <c r="G181" s="23">
        <v>1</v>
      </c>
      <c r="H181" s="23">
        <v>0</v>
      </c>
      <c r="I181" s="7">
        <v>43009</v>
      </c>
      <c r="J181" s="7">
        <v>43191</v>
      </c>
      <c r="K181" s="9" t="s">
        <v>195</v>
      </c>
      <c r="L181" s="14" t="s">
        <v>577</v>
      </c>
      <c r="M181" s="17"/>
      <c r="O181" s="15"/>
      <c r="P181" s="15" t="s">
        <v>516</v>
      </c>
      <c r="Q181" s="16">
        <f t="shared" si="6"/>
        <v>126.47</v>
      </c>
      <c r="R181" s="16">
        <f t="shared" si="7"/>
        <v>0</v>
      </c>
      <c r="S181" s="149"/>
      <c r="T181" s="149"/>
      <c r="U181" s="6"/>
    </row>
    <row r="182" spans="1:21" s="11" customFormat="1" ht="28" x14ac:dyDescent="0.35">
      <c r="A182" s="9" t="s">
        <v>578</v>
      </c>
      <c r="B182" s="68" t="s">
        <v>579</v>
      </c>
      <c r="C182" s="69" t="s">
        <v>382</v>
      </c>
      <c r="D182" s="102">
        <v>97</v>
      </c>
      <c r="E182" s="9" t="s">
        <v>80</v>
      </c>
      <c r="F182" s="9" t="s">
        <v>728</v>
      </c>
      <c r="G182" s="23">
        <v>1</v>
      </c>
      <c r="H182" s="23">
        <v>0</v>
      </c>
      <c r="I182" s="7">
        <v>42826</v>
      </c>
      <c r="J182" s="7">
        <v>43252</v>
      </c>
      <c r="K182" s="9" t="s">
        <v>195</v>
      </c>
      <c r="L182" s="14" t="s">
        <v>580</v>
      </c>
      <c r="M182" s="17"/>
      <c r="O182" s="15"/>
      <c r="P182" s="15" t="s">
        <v>516</v>
      </c>
      <c r="Q182" s="16">
        <f t="shared" si="6"/>
        <v>97</v>
      </c>
      <c r="R182" s="16">
        <f t="shared" si="7"/>
        <v>0</v>
      </c>
      <c r="S182" s="149"/>
      <c r="T182" s="149"/>
      <c r="U182" s="6"/>
    </row>
    <row r="183" spans="1:21" s="11" customFormat="1" ht="28" x14ac:dyDescent="0.35">
      <c r="A183" s="9" t="s">
        <v>581</v>
      </c>
      <c r="B183" s="8" t="s">
        <v>582</v>
      </c>
      <c r="C183" s="59" t="s">
        <v>382</v>
      </c>
      <c r="D183" s="10">
        <f>((35352+15906+14875)/1000)+208.25</f>
        <v>274.38299999999998</v>
      </c>
      <c r="E183" s="9" t="s">
        <v>80</v>
      </c>
      <c r="F183" s="9" t="s">
        <v>728</v>
      </c>
      <c r="G183" s="23">
        <v>0.55000000000000004</v>
      </c>
      <c r="H183" s="23">
        <v>0.45</v>
      </c>
      <c r="I183" s="7">
        <v>42795</v>
      </c>
      <c r="J183" s="7">
        <v>43800</v>
      </c>
      <c r="K183" s="9" t="s">
        <v>144</v>
      </c>
      <c r="L183" s="22" t="s">
        <v>583</v>
      </c>
      <c r="M183" s="17"/>
      <c r="O183" s="15"/>
      <c r="P183" s="15" t="s">
        <v>516</v>
      </c>
      <c r="Q183" s="16">
        <f t="shared" si="6"/>
        <v>150.91065</v>
      </c>
      <c r="R183" s="16">
        <f t="shared" si="7"/>
        <v>123.47234999999999</v>
      </c>
      <c r="S183" s="149"/>
      <c r="T183" s="149"/>
      <c r="U183" s="6"/>
    </row>
    <row r="184" spans="1:21" s="11" customFormat="1" ht="28" x14ac:dyDescent="0.35">
      <c r="A184" s="9" t="s">
        <v>584</v>
      </c>
      <c r="B184" s="68" t="s">
        <v>585</v>
      </c>
      <c r="C184" s="69" t="s">
        <v>382</v>
      </c>
      <c r="D184" s="102">
        <v>175.13</v>
      </c>
      <c r="E184" s="9" t="s">
        <v>80</v>
      </c>
      <c r="F184" s="9" t="s">
        <v>728</v>
      </c>
      <c r="G184" s="23">
        <v>0.78</v>
      </c>
      <c r="H184" s="23">
        <v>0.22</v>
      </c>
      <c r="I184" s="7">
        <v>42807</v>
      </c>
      <c r="J184" s="7">
        <v>43435</v>
      </c>
      <c r="K184" s="9" t="s">
        <v>195</v>
      </c>
      <c r="L184" s="14" t="s">
        <v>586</v>
      </c>
      <c r="M184" s="17"/>
      <c r="O184" s="15"/>
      <c r="P184" s="15" t="s">
        <v>516</v>
      </c>
      <c r="Q184" s="16">
        <f t="shared" si="6"/>
        <v>136.60140000000001</v>
      </c>
      <c r="R184" s="16">
        <f t="shared" si="7"/>
        <v>38.528599999999997</v>
      </c>
      <c r="S184" s="149"/>
      <c r="T184" s="149"/>
      <c r="U184" s="6"/>
    </row>
    <row r="185" spans="1:21" s="11" customFormat="1" ht="28" x14ac:dyDescent="0.35">
      <c r="A185" s="9" t="s">
        <v>587</v>
      </c>
      <c r="B185" s="68" t="s">
        <v>588</v>
      </c>
      <c r="C185" s="69" t="s">
        <v>382</v>
      </c>
      <c r="D185" s="102">
        <v>298.18</v>
      </c>
      <c r="E185" s="9" t="s">
        <v>80</v>
      </c>
      <c r="F185" s="9" t="s">
        <v>728</v>
      </c>
      <c r="G185" s="23">
        <v>0.68</v>
      </c>
      <c r="H185" s="23">
        <v>0.32</v>
      </c>
      <c r="I185" s="7">
        <v>42800</v>
      </c>
      <c r="J185" s="7">
        <v>43800</v>
      </c>
      <c r="K185" s="9" t="s">
        <v>144</v>
      </c>
      <c r="L185" s="14" t="s">
        <v>716</v>
      </c>
      <c r="M185" s="17"/>
      <c r="O185" s="15"/>
      <c r="P185" s="15" t="s">
        <v>516</v>
      </c>
      <c r="Q185" s="16">
        <f t="shared" si="6"/>
        <v>202.76240000000001</v>
      </c>
      <c r="R185" s="16">
        <f t="shared" si="7"/>
        <v>95.417600000000007</v>
      </c>
      <c r="S185" s="149"/>
      <c r="T185" s="149"/>
      <c r="U185" s="6"/>
    </row>
    <row r="186" spans="1:21" s="11" customFormat="1" ht="28" x14ac:dyDescent="0.35">
      <c r="A186" s="9" t="s">
        <v>589</v>
      </c>
      <c r="B186" s="8" t="s">
        <v>605</v>
      </c>
      <c r="C186" s="59" t="s">
        <v>382</v>
      </c>
      <c r="D186" s="10">
        <v>128.65</v>
      </c>
      <c r="E186" s="9" t="s">
        <v>80</v>
      </c>
      <c r="F186" s="9" t="s">
        <v>728</v>
      </c>
      <c r="G186" s="23">
        <v>0.75</v>
      </c>
      <c r="H186" s="23">
        <v>0.25</v>
      </c>
      <c r="I186" s="7">
        <v>42979</v>
      </c>
      <c r="J186" s="7">
        <v>43374</v>
      </c>
      <c r="K186" s="9" t="s">
        <v>144</v>
      </c>
      <c r="L186" s="22" t="s">
        <v>590</v>
      </c>
      <c r="M186" s="17"/>
      <c r="O186" s="15"/>
      <c r="P186" s="15" t="s">
        <v>516</v>
      </c>
      <c r="Q186" s="16">
        <f t="shared" si="6"/>
        <v>96.487500000000011</v>
      </c>
      <c r="R186" s="16">
        <f t="shared" si="7"/>
        <v>32.162500000000001</v>
      </c>
      <c r="S186" s="149"/>
      <c r="T186" s="149"/>
      <c r="U186" s="6"/>
    </row>
    <row r="187" spans="1:21" s="11" customFormat="1" ht="28" x14ac:dyDescent="0.35">
      <c r="A187" s="9" t="s">
        <v>614</v>
      </c>
      <c r="B187" s="8" t="s">
        <v>615</v>
      </c>
      <c r="C187" s="44" t="s">
        <v>381</v>
      </c>
      <c r="D187" s="10">
        <v>92.46</v>
      </c>
      <c r="E187" s="9" t="s">
        <v>80</v>
      </c>
      <c r="F187" s="9" t="s">
        <v>728</v>
      </c>
      <c r="G187" s="23">
        <v>0</v>
      </c>
      <c r="H187" s="23">
        <v>1</v>
      </c>
      <c r="I187" s="7">
        <v>43009</v>
      </c>
      <c r="J187" s="7">
        <v>43435</v>
      </c>
      <c r="K187" s="9" t="s">
        <v>144</v>
      </c>
      <c r="L187" s="22" t="s">
        <v>620</v>
      </c>
      <c r="M187" s="17"/>
      <c r="O187" s="15"/>
      <c r="P187" s="15" t="s">
        <v>516</v>
      </c>
      <c r="Q187" s="16">
        <f t="shared" si="6"/>
        <v>0</v>
      </c>
      <c r="R187" s="16">
        <f t="shared" si="7"/>
        <v>92.46</v>
      </c>
      <c r="S187" s="149"/>
      <c r="T187" s="149"/>
      <c r="U187" s="6"/>
    </row>
    <row r="188" spans="1:21" s="11" customFormat="1" ht="28" x14ac:dyDescent="0.35">
      <c r="A188" s="9" t="s">
        <v>636</v>
      </c>
      <c r="B188" s="8" t="s">
        <v>637</v>
      </c>
      <c r="C188" s="44" t="s">
        <v>381</v>
      </c>
      <c r="D188" s="10">
        <v>41.505047058823536</v>
      </c>
      <c r="E188" s="9" t="s">
        <v>80</v>
      </c>
      <c r="F188" s="9" t="s">
        <v>728</v>
      </c>
      <c r="G188" s="23">
        <v>1</v>
      </c>
      <c r="H188" s="23">
        <v>0</v>
      </c>
      <c r="I188" s="7">
        <v>43282</v>
      </c>
      <c r="J188" s="7">
        <v>43374</v>
      </c>
      <c r="K188" s="9" t="s">
        <v>195</v>
      </c>
      <c r="L188" s="22" t="s">
        <v>638</v>
      </c>
      <c r="M188" s="17"/>
      <c r="O188" s="15"/>
      <c r="P188" s="15" t="s">
        <v>516</v>
      </c>
      <c r="Q188" s="16">
        <f t="shared" si="6"/>
        <v>41.505047058823536</v>
      </c>
      <c r="R188" s="16">
        <f t="shared" si="7"/>
        <v>0</v>
      </c>
      <c r="S188" s="149"/>
      <c r="T188" s="149"/>
      <c r="U188" s="6"/>
    </row>
    <row r="189" spans="1:21" s="11" customFormat="1" ht="28" x14ac:dyDescent="0.35">
      <c r="A189" s="9" t="s">
        <v>639</v>
      </c>
      <c r="B189" s="68" t="s">
        <v>640</v>
      </c>
      <c r="C189" s="59" t="s">
        <v>382</v>
      </c>
      <c r="D189" s="10">
        <v>102.94</v>
      </c>
      <c r="E189" s="9" t="s">
        <v>80</v>
      </c>
      <c r="F189" s="9" t="s">
        <v>728</v>
      </c>
      <c r="G189" s="23">
        <v>1</v>
      </c>
      <c r="H189" s="23">
        <v>0</v>
      </c>
      <c r="I189" s="7">
        <v>43191</v>
      </c>
      <c r="J189" s="7">
        <v>43586</v>
      </c>
      <c r="K189" s="9" t="s">
        <v>144</v>
      </c>
      <c r="L189" s="14" t="s">
        <v>641</v>
      </c>
      <c r="M189" s="17"/>
      <c r="O189" s="15"/>
      <c r="P189" s="15" t="s">
        <v>516</v>
      </c>
      <c r="Q189" s="16">
        <f t="shared" si="6"/>
        <v>102.94</v>
      </c>
      <c r="R189" s="16">
        <f t="shared" si="7"/>
        <v>0</v>
      </c>
      <c r="S189" s="149"/>
      <c r="T189" s="149"/>
      <c r="U189" s="6"/>
    </row>
    <row r="190" spans="1:21" s="11" customFormat="1" ht="33" customHeight="1" x14ac:dyDescent="0.35">
      <c r="A190" s="9" t="s">
        <v>645</v>
      </c>
      <c r="B190" s="68" t="s">
        <v>647</v>
      </c>
      <c r="C190" s="44" t="s">
        <v>381</v>
      </c>
      <c r="D190" s="10">
        <v>120.59</v>
      </c>
      <c r="E190" s="9" t="s">
        <v>80</v>
      </c>
      <c r="F190" s="7" t="s">
        <v>728</v>
      </c>
      <c r="G190" s="23">
        <v>1</v>
      </c>
      <c r="H190" s="23">
        <v>0</v>
      </c>
      <c r="I190" s="7">
        <v>43374</v>
      </c>
      <c r="J190" s="7">
        <v>43647</v>
      </c>
      <c r="K190" s="9" t="s">
        <v>700</v>
      </c>
      <c r="L190" s="14" t="s">
        <v>677</v>
      </c>
      <c r="M190" s="17"/>
      <c r="O190" s="9"/>
      <c r="P190" s="9" t="s">
        <v>516</v>
      </c>
      <c r="Q190" s="17">
        <f t="shared" si="6"/>
        <v>120.59</v>
      </c>
      <c r="R190" s="17">
        <f t="shared" si="7"/>
        <v>0</v>
      </c>
      <c r="S190" s="150"/>
      <c r="T190" s="150"/>
    </row>
    <row r="191" spans="1:21" s="11" customFormat="1" ht="33" customHeight="1" x14ac:dyDescent="0.35">
      <c r="A191" s="9" t="s">
        <v>646</v>
      </c>
      <c r="B191" s="68" t="s">
        <v>648</v>
      </c>
      <c r="C191" s="44" t="s">
        <v>381</v>
      </c>
      <c r="D191" s="10">
        <v>96.47</v>
      </c>
      <c r="E191" s="9" t="s">
        <v>80</v>
      </c>
      <c r="F191" s="7" t="s">
        <v>728</v>
      </c>
      <c r="G191" s="23">
        <v>1</v>
      </c>
      <c r="H191" s="23">
        <v>0</v>
      </c>
      <c r="I191" s="7">
        <v>43374</v>
      </c>
      <c r="J191" s="7">
        <v>43647</v>
      </c>
      <c r="K191" s="9" t="s">
        <v>700</v>
      </c>
      <c r="L191" s="14" t="s">
        <v>676</v>
      </c>
      <c r="M191" s="17"/>
      <c r="O191" s="15"/>
      <c r="P191" s="15" t="s">
        <v>516</v>
      </c>
      <c r="Q191" s="16">
        <f t="shared" si="6"/>
        <v>96.47</v>
      </c>
      <c r="R191" s="16">
        <f t="shared" si="7"/>
        <v>0</v>
      </c>
      <c r="S191" s="149"/>
      <c r="T191" s="149"/>
      <c r="U191" s="6"/>
    </row>
    <row r="192" spans="1:21" s="11" customFormat="1" ht="33" customHeight="1" x14ac:dyDescent="0.35">
      <c r="A192" s="9" t="s">
        <v>656</v>
      </c>
      <c r="B192" s="68" t="s">
        <v>658</v>
      </c>
      <c r="C192" s="44" t="s">
        <v>381</v>
      </c>
      <c r="D192" s="132">
        <v>112.15</v>
      </c>
      <c r="E192" s="9" t="s">
        <v>619</v>
      </c>
      <c r="F192" s="9" t="s">
        <v>82</v>
      </c>
      <c r="G192" s="23">
        <v>0.89</v>
      </c>
      <c r="H192" s="23">
        <v>0.11</v>
      </c>
      <c r="I192" s="7">
        <v>43374</v>
      </c>
      <c r="J192" s="7">
        <v>43617</v>
      </c>
      <c r="K192" s="9" t="s">
        <v>698</v>
      </c>
      <c r="L192" s="22" t="s">
        <v>675</v>
      </c>
      <c r="M192" s="17"/>
      <c r="O192" s="15"/>
      <c r="P192" s="15" t="s">
        <v>516</v>
      </c>
      <c r="Q192" s="16">
        <f t="shared" si="6"/>
        <v>99.813500000000005</v>
      </c>
      <c r="R192" s="16">
        <f t="shared" si="7"/>
        <v>12.336500000000001</v>
      </c>
      <c r="S192" s="149"/>
      <c r="T192" s="149"/>
      <c r="U192" s="6"/>
    </row>
    <row r="193" spans="1:21" s="11" customFormat="1" ht="33" customHeight="1" x14ac:dyDescent="0.35">
      <c r="A193" s="9" t="s">
        <v>657</v>
      </c>
      <c r="B193" s="68" t="s">
        <v>660</v>
      </c>
      <c r="C193" s="44" t="s">
        <v>381</v>
      </c>
      <c r="D193" s="132">
        <f>15000/3.4/1000</f>
        <v>4.4117647058823533</v>
      </c>
      <c r="E193" s="9" t="s">
        <v>80</v>
      </c>
      <c r="F193" s="9" t="s">
        <v>728</v>
      </c>
      <c r="G193" s="23">
        <v>1</v>
      </c>
      <c r="H193" s="23">
        <v>0</v>
      </c>
      <c r="I193" s="7">
        <v>43282</v>
      </c>
      <c r="J193" s="7">
        <v>43556</v>
      </c>
      <c r="K193" s="9" t="s">
        <v>698</v>
      </c>
      <c r="L193" s="22" t="s">
        <v>675</v>
      </c>
      <c r="M193" s="17"/>
      <c r="O193" s="15"/>
      <c r="P193" s="15" t="s">
        <v>516</v>
      </c>
      <c r="Q193" s="16">
        <f t="shared" si="6"/>
        <v>4.4117647058823533</v>
      </c>
      <c r="R193" s="16">
        <f t="shared" si="7"/>
        <v>0</v>
      </c>
      <c r="S193" s="149"/>
      <c r="T193" s="149"/>
      <c r="U193" s="6"/>
    </row>
    <row r="194" spans="1:21" s="11" customFormat="1" ht="33" customHeight="1" x14ac:dyDescent="0.35">
      <c r="A194" s="9" t="s">
        <v>659</v>
      </c>
      <c r="B194" s="68" t="s">
        <v>662</v>
      </c>
      <c r="C194" s="44" t="s">
        <v>381</v>
      </c>
      <c r="D194" s="132">
        <v>40.659999999999997</v>
      </c>
      <c r="E194" s="9" t="s">
        <v>661</v>
      </c>
      <c r="F194" s="9" t="s">
        <v>728</v>
      </c>
      <c r="G194" s="23">
        <v>1</v>
      </c>
      <c r="H194" s="23">
        <v>0</v>
      </c>
      <c r="I194" s="7">
        <v>43344</v>
      </c>
      <c r="J194" s="7">
        <v>43556</v>
      </c>
      <c r="K194" s="9" t="s">
        <v>698</v>
      </c>
      <c r="L194" s="22" t="s">
        <v>675</v>
      </c>
      <c r="M194" s="17"/>
      <c r="O194" s="15"/>
      <c r="P194" s="15" t="s">
        <v>516</v>
      </c>
      <c r="Q194" s="16">
        <f t="shared" si="6"/>
        <v>40.659999999999997</v>
      </c>
      <c r="R194" s="16">
        <f t="shared" si="7"/>
        <v>0</v>
      </c>
      <c r="S194" s="149"/>
      <c r="T194" s="149"/>
      <c r="U194" s="6"/>
    </row>
    <row r="195" spans="1:21" s="11" customFormat="1" ht="33" customHeight="1" x14ac:dyDescent="0.35">
      <c r="A195" s="9" t="s">
        <v>671</v>
      </c>
      <c r="B195" s="68" t="s">
        <v>712</v>
      </c>
      <c r="C195" s="59" t="s">
        <v>382</v>
      </c>
      <c r="D195" s="132">
        <v>184.96852941176471</v>
      </c>
      <c r="E195" s="10" t="s">
        <v>80</v>
      </c>
      <c r="F195" s="9" t="s">
        <v>728</v>
      </c>
      <c r="G195" s="23">
        <v>0</v>
      </c>
      <c r="H195" s="23">
        <v>1</v>
      </c>
      <c r="I195" s="7">
        <v>43374</v>
      </c>
      <c r="J195" s="7">
        <v>43800</v>
      </c>
      <c r="K195" s="9" t="s">
        <v>698</v>
      </c>
      <c r="L195" s="22" t="s">
        <v>672</v>
      </c>
      <c r="M195" s="17"/>
      <c r="O195" s="15"/>
      <c r="P195" s="15" t="s">
        <v>516</v>
      </c>
      <c r="Q195" s="16">
        <f t="shared" si="6"/>
        <v>0</v>
      </c>
      <c r="R195" s="16">
        <f t="shared" si="7"/>
        <v>184.96852941176471</v>
      </c>
      <c r="S195" s="149"/>
      <c r="T195" s="149"/>
      <c r="U195" s="6"/>
    </row>
    <row r="196" spans="1:21" s="11" customFormat="1" ht="33" customHeight="1" x14ac:dyDescent="0.35">
      <c r="A196" s="9" t="s">
        <v>678</v>
      </c>
      <c r="B196" s="68" t="s">
        <v>674</v>
      </c>
      <c r="C196" s="44" t="s">
        <v>381</v>
      </c>
      <c r="D196" s="132">
        <v>43.57</v>
      </c>
      <c r="E196" s="133" t="s">
        <v>80</v>
      </c>
      <c r="F196" s="9" t="s">
        <v>728</v>
      </c>
      <c r="G196" s="23">
        <v>0</v>
      </c>
      <c r="H196" s="23">
        <v>1</v>
      </c>
      <c r="I196" s="7">
        <v>43374</v>
      </c>
      <c r="J196" s="7">
        <v>43800</v>
      </c>
      <c r="K196" s="9" t="s">
        <v>698</v>
      </c>
      <c r="L196" s="22" t="s">
        <v>673</v>
      </c>
      <c r="M196" s="17"/>
      <c r="O196" s="15"/>
      <c r="P196" s="15" t="s">
        <v>516</v>
      </c>
      <c r="Q196" s="16">
        <f t="shared" si="6"/>
        <v>0</v>
      </c>
      <c r="R196" s="16">
        <f t="shared" si="7"/>
        <v>43.57</v>
      </c>
      <c r="S196" s="149"/>
      <c r="T196" s="149"/>
      <c r="U196" s="6"/>
    </row>
    <row r="197" spans="1:21" s="11" customFormat="1" ht="33" customHeight="1" x14ac:dyDescent="0.35">
      <c r="A197" s="9" t="s">
        <v>679</v>
      </c>
      <c r="B197" s="68" t="s">
        <v>681</v>
      </c>
      <c r="C197" s="44" t="s">
        <v>381</v>
      </c>
      <c r="D197" s="134">
        <f>799278.55/3.4/1000</f>
        <v>235.08192647058826</v>
      </c>
      <c r="E197" s="133" t="s">
        <v>80</v>
      </c>
      <c r="F197" s="9" t="s">
        <v>728</v>
      </c>
      <c r="G197" s="23">
        <v>1</v>
      </c>
      <c r="H197" s="23">
        <v>0</v>
      </c>
      <c r="I197" s="7">
        <v>43374</v>
      </c>
      <c r="J197" s="7">
        <v>43617</v>
      </c>
      <c r="K197" s="7" t="s">
        <v>84</v>
      </c>
      <c r="L197" s="22" t="s">
        <v>683</v>
      </c>
      <c r="M197" s="17"/>
      <c r="O197" s="15"/>
      <c r="P197" s="15" t="s">
        <v>516</v>
      </c>
      <c r="Q197" s="16">
        <f t="shared" si="6"/>
        <v>235.08192647058826</v>
      </c>
      <c r="R197" s="16">
        <f t="shared" si="7"/>
        <v>0</v>
      </c>
      <c r="S197" s="149"/>
      <c r="T197" s="149"/>
      <c r="U197" s="6"/>
    </row>
    <row r="198" spans="1:21" s="6" customFormat="1" ht="35.15" customHeight="1" x14ac:dyDescent="0.35">
      <c r="A198" s="9" t="s">
        <v>680</v>
      </c>
      <c r="B198" s="68" t="s">
        <v>684</v>
      </c>
      <c r="C198" s="44" t="s">
        <v>381</v>
      </c>
      <c r="D198" s="132">
        <f>(726834+1198287.03+251878.86)/3.4/1000</f>
        <v>640.29408529411774</v>
      </c>
      <c r="E198" s="133" t="s">
        <v>80</v>
      </c>
      <c r="F198" s="9" t="s">
        <v>728</v>
      </c>
      <c r="G198" s="23">
        <v>1</v>
      </c>
      <c r="H198" s="23">
        <v>0</v>
      </c>
      <c r="I198" s="7">
        <v>43525</v>
      </c>
      <c r="J198" s="7">
        <v>43739</v>
      </c>
      <c r="K198" s="7" t="s">
        <v>84</v>
      </c>
      <c r="L198" s="22" t="s">
        <v>682</v>
      </c>
      <c r="M198" s="17"/>
      <c r="O198" s="15"/>
      <c r="P198" s="15" t="s">
        <v>516</v>
      </c>
      <c r="Q198" s="16">
        <f t="shared" si="6"/>
        <v>640.29408529411774</v>
      </c>
      <c r="R198" s="16">
        <f t="shared" si="7"/>
        <v>0</v>
      </c>
    </row>
    <row r="199" spans="1:21" s="6" customFormat="1" ht="35.15" customHeight="1" x14ac:dyDescent="0.35">
      <c r="A199" s="9" t="s">
        <v>685</v>
      </c>
      <c r="B199" s="68" t="s">
        <v>717</v>
      </c>
      <c r="C199" s="59" t="s">
        <v>381</v>
      </c>
      <c r="D199" s="132">
        <v>448.66591764705879</v>
      </c>
      <c r="E199" s="133" t="s">
        <v>80</v>
      </c>
      <c r="F199" s="9" t="s">
        <v>728</v>
      </c>
      <c r="G199" s="23">
        <v>0.4</v>
      </c>
      <c r="H199" s="23">
        <v>0.6</v>
      </c>
      <c r="I199" s="7">
        <v>43466</v>
      </c>
      <c r="J199" s="7">
        <v>43800</v>
      </c>
      <c r="K199" s="9" t="s">
        <v>698</v>
      </c>
      <c r="L199" s="22" t="s">
        <v>686</v>
      </c>
      <c r="M199" s="131"/>
      <c r="O199" s="15"/>
      <c r="P199" s="15" t="s">
        <v>516</v>
      </c>
      <c r="Q199" s="16">
        <f t="shared" si="6"/>
        <v>179.46636705882352</v>
      </c>
      <c r="R199" s="16">
        <f t="shared" si="7"/>
        <v>269.19955058823524</v>
      </c>
    </row>
    <row r="200" spans="1:21" s="6" customFormat="1" ht="35.15" customHeight="1" x14ac:dyDescent="0.35">
      <c r="A200" s="9" t="s">
        <v>690</v>
      </c>
      <c r="B200" s="68" t="s">
        <v>697</v>
      </c>
      <c r="C200" s="59" t="s">
        <v>381</v>
      </c>
      <c r="D200" s="134">
        <f>119900.25/3.4/1000</f>
        <v>35.264779411764707</v>
      </c>
      <c r="E200" s="133" t="s">
        <v>80</v>
      </c>
      <c r="F200" s="7" t="s">
        <v>728</v>
      </c>
      <c r="G200" s="23">
        <v>0</v>
      </c>
      <c r="H200" s="23">
        <v>1</v>
      </c>
      <c r="I200" s="7">
        <v>43497</v>
      </c>
      <c r="J200" s="7">
        <v>43800</v>
      </c>
      <c r="K200" s="7" t="s">
        <v>84</v>
      </c>
      <c r="L200" s="22" t="s">
        <v>691</v>
      </c>
      <c r="M200" s="131"/>
      <c r="O200" s="15"/>
      <c r="P200" s="15" t="s">
        <v>516</v>
      </c>
      <c r="Q200" s="16">
        <f t="shared" ref="Q200:Q204" si="8">+$D200*G200</f>
        <v>0</v>
      </c>
      <c r="R200" s="16">
        <f t="shared" ref="R200:R204" si="9">+$D200*H200</f>
        <v>35.264779411764707</v>
      </c>
    </row>
    <row r="201" spans="1:21" s="6" customFormat="1" ht="35.15" customHeight="1" x14ac:dyDescent="0.35">
      <c r="A201" s="9" t="s">
        <v>727</v>
      </c>
      <c r="B201" s="68" t="s">
        <v>692</v>
      </c>
      <c r="C201" s="59" t="s">
        <v>381</v>
      </c>
      <c r="D201" s="132">
        <f>100000/3.4/1000</f>
        <v>29.411764705882351</v>
      </c>
      <c r="E201" s="133" t="s">
        <v>80</v>
      </c>
      <c r="F201" s="7" t="s">
        <v>728</v>
      </c>
      <c r="G201" s="23">
        <v>1</v>
      </c>
      <c r="H201" s="23">
        <v>0</v>
      </c>
      <c r="I201" s="7">
        <v>43525</v>
      </c>
      <c r="J201" s="7">
        <v>43800</v>
      </c>
      <c r="K201" s="7" t="s">
        <v>84</v>
      </c>
      <c r="L201" s="22" t="s">
        <v>694</v>
      </c>
      <c r="M201" s="131"/>
      <c r="O201" s="15"/>
      <c r="P201" s="15" t="s">
        <v>516</v>
      </c>
      <c r="Q201" s="16">
        <f t="shared" ref="Q201:Q202" si="10">+$D201*G201</f>
        <v>29.411764705882351</v>
      </c>
      <c r="R201" s="16">
        <f t="shared" ref="R201:R202" si="11">+$D201*H201</f>
        <v>0</v>
      </c>
    </row>
    <row r="202" spans="1:21" s="6" customFormat="1" ht="28" x14ac:dyDescent="0.35">
      <c r="A202" s="151">
        <v>3100</v>
      </c>
      <c r="B202" s="68" t="s">
        <v>723</v>
      </c>
      <c r="C202" s="59" t="s">
        <v>381</v>
      </c>
      <c r="D202" s="132">
        <f>150000/3.4/1000</f>
        <v>44.117647058823529</v>
      </c>
      <c r="E202" s="133" t="s">
        <v>80</v>
      </c>
      <c r="F202" s="7" t="s">
        <v>728</v>
      </c>
      <c r="G202" s="23">
        <v>1</v>
      </c>
      <c r="H202" s="23">
        <v>0</v>
      </c>
      <c r="I202" s="7">
        <v>43525</v>
      </c>
      <c r="J202" s="7">
        <v>43800</v>
      </c>
      <c r="K202" s="7" t="s">
        <v>84</v>
      </c>
      <c r="L202" s="22" t="s">
        <v>693</v>
      </c>
      <c r="M202" s="131"/>
      <c r="O202" s="15"/>
      <c r="P202" s="15" t="s">
        <v>516</v>
      </c>
      <c r="Q202" s="16">
        <f t="shared" si="10"/>
        <v>44.117647058823529</v>
      </c>
      <c r="R202" s="16">
        <f t="shared" si="11"/>
        <v>0</v>
      </c>
    </row>
    <row r="203" spans="1:21" s="6" customFormat="1" ht="35.15" customHeight="1" x14ac:dyDescent="0.35">
      <c r="A203" s="151">
        <v>3101</v>
      </c>
      <c r="B203" s="68" t="s">
        <v>699</v>
      </c>
      <c r="C203" s="59" t="s">
        <v>381</v>
      </c>
      <c r="D203" s="132">
        <f>347130/3.4/1000</f>
        <v>102.09705882352941</v>
      </c>
      <c r="E203" s="133" t="s">
        <v>80</v>
      </c>
      <c r="F203" s="7" t="s">
        <v>728</v>
      </c>
      <c r="G203" s="23">
        <v>1</v>
      </c>
      <c r="H203" s="23">
        <v>0</v>
      </c>
      <c r="I203" s="7">
        <v>43525</v>
      </c>
      <c r="J203" s="7">
        <v>43800</v>
      </c>
      <c r="K203" s="7" t="s">
        <v>84</v>
      </c>
      <c r="L203" s="22" t="s">
        <v>691</v>
      </c>
      <c r="M203" s="131"/>
      <c r="O203" s="15"/>
      <c r="P203" s="15" t="s">
        <v>516</v>
      </c>
      <c r="Q203" s="16">
        <f t="shared" si="8"/>
        <v>102.09705882352941</v>
      </c>
      <c r="R203" s="16">
        <f t="shared" si="9"/>
        <v>0</v>
      </c>
    </row>
    <row r="204" spans="1:21" s="6" customFormat="1" ht="35.15" customHeight="1" x14ac:dyDescent="0.35">
      <c r="A204" s="151">
        <v>3102</v>
      </c>
      <c r="B204" s="68" t="s">
        <v>722</v>
      </c>
      <c r="C204" s="59" t="s">
        <v>381</v>
      </c>
      <c r="D204" s="132">
        <f>772742.3/3.4/1000</f>
        <v>227.27714705882354</v>
      </c>
      <c r="E204" s="133" t="s">
        <v>80</v>
      </c>
      <c r="F204" s="7" t="s">
        <v>728</v>
      </c>
      <c r="G204" s="23">
        <v>0</v>
      </c>
      <c r="H204" s="23">
        <v>1</v>
      </c>
      <c r="I204" s="7">
        <v>43525</v>
      </c>
      <c r="J204" s="7">
        <v>43800</v>
      </c>
      <c r="K204" s="7" t="s">
        <v>84</v>
      </c>
      <c r="L204" s="22" t="s">
        <v>691</v>
      </c>
      <c r="M204" s="131"/>
      <c r="O204" s="15"/>
      <c r="P204" s="15"/>
      <c r="Q204" s="16">
        <f t="shared" si="8"/>
        <v>0</v>
      </c>
      <c r="R204" s="16">
        <f t="shared" si="9"/>
        <v>227.27714705882354</v>
      </c>
    </row>
    <row r="205" spans="1:21" s="6" customFormat="1" ht="35.15" customHeight="1" x14ac:dyDescent="0.35">
      <c r="A205" s="151">
        <v>3103</v>
      </c>
      <c r="B205" s="68" t="s">
        <v>640</v>
      </c>
      <c r="C205" s="59" t="s">
        <v>381</v>
      </c>
      <c r="D205" s="132">
        <f>350000/3.4/1000</f>
        <v>102.94117647058823</v>
      </c>
      <c r="E205" s="133" t="s">
        <v>80</v>
      </c>
      <c r="F205" s="7" t="s">
        <v>728</v>
      </c>
      <c r="G205" s="23">
        <v>1</v>
      </c>
      <c r="H205" s="23">
        <v>0</v>
      </c>
      <c r="I205" s="7">
        <v>43556</v>
      </c>
      <c r="J205" s="7">
        <v>43952</v>
      </c>
      <c r="K205" s="7" t="s">
        <v>84</v>
      </c>
      <c r="L205" s="22" t="s">
        <v>718</v>
      </c>
      <c r="M205" s="131"/>
      <c r="O205" s="15"/>
      <c r="P205" s="15"/>
      <c r="Q205" s="16"/>
      <c r="R205" s="16"/>
    </row>
    <row r="206" spans="1:21" s="6" customFormat="1" ht="35.15" customHeight="1" x14ac:dyDescent="0.35">
      <c r="A206" s="9"/>
      <c r="B206" s="68"/>
      <c r="C206" s="59"/>
      <c r="D206" s="134"/>
      <c r="E206" s="133"/>
      <c r="F206" s="10"/>
      <c r="G206" s="23"/>
      <c r="H206" s="23"/>
      <c r="I206" s="7"/>
      <c r="J206" s="7"/>
      <c r="K206" s="7"/>
      <c r="L206" s="22"/>
      <c r="M206" s="131"/>
      <c r="O206" s="15"/>
      <c r="P206" s="15" t="s">
        <v>516</v>
      </c>
      <c r="Q206" s="16">
        <f t="shared" ref="Q206" si="12">+$D206*G206</f>
        <v>0</v>
      </c>
      <c r="R206" s="16">
        <f t="shared" ref="R206" si="13">+$D206*H206</f>
        <v>0</v>
      </c>
    </row>
    <row r="207" spans="1:21" s="6" customFormat="1" ht="35.15" customHeight="1" x14ac:dyDescent="0.35">
      <c r="A207" s="51" t="s">
        <v>378</v>
      </c>
      <c r="B207" s="50"/>
      <c r="C207" s="34"/>
      <c r="D207" s="24">
        <f>SUM(D139:D206)</f>
        <v>258914.33387223154</v>
      </c>
      <c r="E207" s="117"/>
      <c r="F207" s="118"/>
      <c r="G207" s="24">
        <f>SUMPRODUCT(G139:G206,$D$139:$D$206)</f>
        <v>112253.06557904428</v>
      </c>
      <c r="H207" s="24">
        <f>SUMPRODUCT(H139:H206,$D$139:$D$206)</f>
        <v>146661.26829318726</v>
      </c>
      <c r="I207" s="119"/>
      <c r="J207" s="119"/>
      <c r="K207" s="120"/>
      <c r="L207" s="121"/>
      <c r="M207" s="121"/>
      <c r="O207" s="80"/>
      <c r="P207" s="80"/>
      <c r="Q207" s="81"/>
    </row>
    <row r="208" spans="1:21" s="11" customFormat="1" ht="14" x14ac:dyDescent="0.35">
      <c r="A208" s="25"/>
      <c r="B208" s="25"/>
      <c r="C208" s="25"/>
      <c r="D208" s="26"/>
      <c r="E208" s="27"/>
      <c r="F208" s="152"/>
      <c r="G208" s="28"/>
      <c r="H208" s="29"/>
      <c r="I208" s="30"/>
      <c r="J208" s="30"/>
      <c r="K208" s="31"/>
      <c r="L208" s="33"/>
      <c r="S208" s="79"/>
      <c r="T208" s="79"/>
      <c r="U208" s="79"/>
    </row>
    <row r="209" spans="1:21" s="11" customFormat="1" ht="15.5" x14ac:dyDescent="0.35">
      <c r="A209" s="49" t="s">
        <v>44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77"/>
      <c r="L209" s="52"/>
      <c r="M209" s="53"/>
      <c r="S209" s="79"/>
      <c r="T209" s="79"/>
      <c r="U209" s="79"/>
    </row>
    <row r="210" spans="1:21" s="11" customFormat="1" ht="42" x14ac:dyDescent="0.35">
      <c r="A210" s="9" t="s">
        <v>146</v>
      </c>
      <c r="B210" s="8" t="s">
        <v>196</v>
      </c>
      <c r="C210" s="44" t="s">
        <v>381</v>
      </c>
      <c r="D210" s="18">
        <f>((695500/1850)+59.616)</f>
        <v>435.56194594594592</v>
      </c>
      <c r="E210" s="9" t="s">
        <v>181</v>
      </c>
      <c r="F210" s="9" t="s">
        <v>728</v>
      </c>
      <c r="G210" s="23">
        <v>0</v>
      </c>
      <c r="H210" s="23">
        <v>1</v>
      </c>
      <c r="I210" s="7" t="s">
        <v>145</v>
      </c>
      <c r="J210" s="7">
        <v>41365</v>
      </c>
      <c r="K210" s="9" t="s">
        <v>195</v>
      </c>
      <c r="L210" s="14" t="s">
        <v>278</v>
      </c>
      <c r="M210" s="17"/>
      <c r="O210" s="15"/>
      <c r="P210" s="15" t="s">
        <v>516</v>
      </c>
      <c r="Q210" s="16">
        <f>+$D210*G210</f>
        <v>0</v>
      </c>
      <c r="R210" s="16">
        <f>+$D210*H210</f>
        <v>435.56194594594592</v>
      </c>
      <c r="S210" s="79"/>
      <c r="T210" s="79"/>
      <c r="U210" s="79"/>
    </row>
    <row r="211" spans="1:21" s="11" customFormat="1" ht="28" x14ac:dyDescent="0.35">
      <c r="A211" s="9" t="s">
        <v>147</v>
      </c>
      <c r="B211" s="21" t="s">
        <v>172</v>
      </c>
      <c r="C211" s="44" t="s">
        <v>381</v>
      </c>
      <c r="D211" s="18">
        <v>199.77</v>
      </c>
      <c r="E211" s="9" t="s">
        <v>73</v>
      </c>
      <c r="F211" s="9" t="s">
        <v>728</v>
      </c>
      <c r="G211" s="23">
        <v>0</v>
      </c>
      <c r="H211" s="23">
        <v>1</v>
      </c>
      <c r="I211" s="7">
        <v>40664</v>
      </c>
      <c r="J211" s="7">
        <v>41061</v>
      </c>
      <c r="K211" s="9" t="s">
        <v>195</v>
      </c>
      <c r="L211" s="14" t="s">
        <v>279</v>
      </c>
      <c r="M211" s="17"/>
      <c r="O211" s="15"/>
      <c r="P211" s="15" t="s">
        <v>516</v>
      </c>
      <c r="Q211" s="16">
        <f t="shared" ref="Q211:Q245" si="14">+$D211*G211</f>
        <v>0</v>
      </c>
      <c r="R211" s="16">
        <f t="shared" ref="R211:R245" si="15">+$D211*H211</f>
        <v>199.77</v>
      </c>
      <c r="S211" s="79"/>
      <c r="T211" s="79"/>
      <c r="U211" s="79"/>
    </row>
    <row r="212" spans="1:21" s="11" customFormat="1" ht="23" x14ac:dyDescent="0.35">
      <c r="A212" s="9" t="s">
        <v>148</v>
      </c>
      <c r="B212" s="21" t="s">
        <v>63</v>
      </c>
      <c r="C212" s="44" t="s">
        <v>381</v>
      </c>
      <c r="D212" s="18">
        <v>167.48</v>
      </c>
      <c r="E212" s="9" t="s">
        <v>74</v>
      </c>
      <c r="F212" s="9" t="s">
        <v>82</v>
      </c>
      <c r="G212" s="23">
        <v>1</v>
      </c>
      <c r="H212" s="23">
        <v>0</v>
      </c>
      <c r="I212" s="7">
        <v>41153</v>
      </c>
      <c r="J212" s="7">
        <v>42036</v>
      </c>
      <c r="K212" s="19" t="s">
        <v>195</v>
      </c>
      <c r="L212" s="14" t="s">
        <v>249</v>
      </c>
      <c r="M212" s="17"/>
      <c r="O212" s="15"/>
      <c r="P212" s="15" t="s">
        <v>516</v>
      </c>
      <c r="Q212" s="16">
        <f t="shared" si="14"/>
        <v>167.48</v>
      </c>
      <c r="R212" s="16">
        <f t="shared" si="15"/>
        <v>0</v>
      </c>
      <c r="S212" s="79"/>
      <c r="T212" s="79"/>
      <c r="U212" s="79"/>
    </row>
    <row r="213" spans="1:21" s="11" customFormat="1" ht="28" x14ac:dyDescent="0.35">
      <c r="A213" s="9" t="s">
        <v>149</v>
      </c>
      <c r="B213" s="21" t="s">
        <v>64</v>
      </c>
      <c r="C213" s="44" t="s">
        <v>381</v>
      </c>
      <c r="D213" s="18">
        <v>526.31600000000003</v>
      </c>
      <c r="E213" s="9" t="s">
        <v>73</v>
      </c>
      <c r="F213" s="9" t="s">
        <v>728</v>
      </c>
      <c r="G213" s="23">
        <v>0</v>
      </c>
      <c r="H213" s="23">
        <v>1</v>
      </c>
      <c r="I213" s="7">
        <v>40664</v>
      </c>
      <c r="J213" s="7">
        <v>41974</v>
      </c>
      <c r="K213" s="9" t="s">
        <v>315</v>
      </c>
      <c r="L213" s="14" t="s">
        <v>191</v>
      </c>
      <c r="M213" s="17"/>
      <c r="O213" s="15"/>
      <c r="P213" s="15" t="s">
        <v>516</v>
      </c>
      <c r="Q213" s="16">
        <f t="shared" si="14"/>
        <v>0</v>
      </c>
      <c r="R213" s="16">
        <f t="shared" si="15"/>
        <v>526.31600000000003</v>
      </c>
      <c r="S213" s="79"/>
      <c r="T213" s="79"/>
      <c r="U213" s="79"/>
    </row>
    <row r="214" spans="1:21" s="11" customFormat="1" ht="28" x14ac:dyDescent="0.35">
      <c r="A214" s="9" t="s">
        <v>150</v>
      </c>
      <c r="B214" s="21" t="s">
        <v>240</v>
      </c>
      <c r="C214" s="44" t="s">
        <v>381</v>
      </c>
      <c r="D214" s="18">
        <v>60</v>
      </c>
      <c r="E214" s="9" t="s">
        <v>74</v>
      </c>
      <c r="F214" s="9" t="s">
        <v>82</v>
      </c>
      <c r="G214" s="23">
        <v>1</v>
      </c>
      <c r="H214" s="23">
        <v>0</v>
      </c>
      <c r="I214" s="7">
        <v>41000</v>
      </c>
      <c r="J214" s="7">
        <v>41456</v>
      </c>
      <c r="K214" s="9" t="s">
        <v>195</v>
      </c>
      <c r="L214" s="14" t="s">
        <v>57</v>
      </c>
      <c r="M214" s="17"/>
      <c r="O214" s="15"/>
      <c r="P214" s="15" t="s">
        <v>516</v>
      </c>
      <c r="Q214" s="16">
        <f t="shared" si="14"/>
        <v>60</v>
      </c>
      <c r="R214" s="16">
        <f t="shared" si="15"/>
        <v>0</v>
      </c>
      <c r="S214" s="79"/>
      <c r="T214" s="79"/>
      <c r="U214" s="79"/>
    </row>
    <row r="215" spans="1:21" s="11" customFormat="1" ht="28" x14ac:dyDescent="0.35">
      <c r="A215" s="9" t="s">
        <v>151</v>
      </c>
      <c r="B215" s="21" t="s">
        <v>159</v>
      </c>
      <c r="C215" s="44" t="s">
        <v>381</v>
      </c>
      <c r="D215" s="18">
        <v>263.15800000000002</v>
      </c>
      <c r="E215" s="9" t="s">
        <v>75</v>
      </c>
      <c r="F215" s="9" t="s">
        <v>82</v>
      </c>
      <c r="G215" s="23">
        <v>1</v>
      </c>
      <c r="H215" s="23">
        <v>0</v>
      </c>
      <c r="I215" s="7">
        <v>41518</v>
      </c>
      <c r="J215" s="7">
        <v>41944</v>
      </c>
      <c r="K215" s="19" t="s">
        <v>195</v>
      </c>
      <c r="L215" s="14" t="s">
        <v>332</v>
      </c>
      <c r="M215" s="17"/>
      <c r="O215" s="15"/>
      <c r="P215" s="15" t="s">
        <v>516</v>
      </c>
      <c r="Q215" s="16">
        <f t="shared" si="14"/>
        <v>263.15800000000002</v>
      </c>
      <c r="R215" s="16">
        <f t="shared" si="15"/>
        <v>0</v>
      </c>
      <c r="S215" s="79"/>
      <c r="T215" s="79"/>
      <c r="U215" s="79"/>
    </row>
    <row r="216" spans="1:21" s="11" customFormat="1" ht="42" x14ac:dyDescent="0.35">
      <c r="A216" s="9" t="s">
        <v>152</v>
      </c>
      <c r="B216" s="21" t="s">
        <v>356</v>
      </c>
      <c r="C216" s="44" t="s">
        <v>381</v>
      </c>
      <c r="D216" s="18">
        <v>264.08</v>
      </c>
      <c r="E216" s="9" t="s">
        <v>74</v>
      </c>
      <c r="F216" s="9" t="s">
        <v>83</v>
      </c>
      <c r="G216" s="23">
        <v>1</v>
      </c>
      <c r="H216" s="23">
        <v>0</v>
      </c>
      <c r="I216" s="7">
        <v>40909</v>
      </c>
      <c r="J216" s="7">
        <v>42036</v>
      </c>
      <c r="K216" s="9" t="s">
        <v>315</v>
      </c>
      <c r="L216" s="14" t="s">
        <v>299</v>
      </c>
      <c r="M216" s="17"/>
      <c r="O216" s="15"/>
      <c r="P216" s="15" t="s">
        <v>516</v>
      </c>
      <c r="Q216" s="16">
        <f t="shared" si="14"/>
        <v>264.08</v>
      </c>
      <c r="R216" s="16">
        <f t="shared" si="15"/>
        <v>0</v>
      </c>
      <c r="S216" s="79"/>
      <c r="T216" s="79"/>
      <c r="U216" s="79"/>
    </row>
    <row r="217" spans="1:21" s="11" customFormat="1" ht="28" x14ac:dyDescent="0.35">
      <c r="A217" s="9" t="s">
        <v>152</v>
      </c>
      <c r="B217" s="21" t="s">
        <v>52</v>
      </c>
      <c r="C217" s="44" t="s">
        <v>381</v>
      </c>
      <c r="D217" s="18">
        <v>90.58</v>
      </c>
      <c r="E217" s="9" t="s">
        <v>74</v>
      </c>
      <c r="F217" s="9" t="s">
        <v>83</v>
      </c>
      <c r="G217" s="23">
        <v>1</v>
      </c>
      <c r="H217" s="23">
        <v>0</v>
      </c>
      <c r="I217" s="7">
        <v>40909</v>
      </c>
      <c r="J217" s="7">
        <v>41671</v>
      </c>
      <c r="K217" s="9" t="s">
        <v>315</v>
      </c>
      <c r="L217" s="14" t="s">
        <v>299</v>
      </c>
      <c r="M217" s="17"/>
      <c r="O217" s="15"/>
      <c r="P217" s="15" t="s">
        <v>516</v>
      </c>
      <c r="Q217" s="16">
        <f t="shared" si="14"/>
        <v>90.58</v>
      </c>
      <c r="R217" s="16">
        <f t="shared" si="15"/>
        <v>0</v>
      </c>
      <c r="S217" s="79"/>
      <c r="T217" s="79"/>
      <c r="U217" s="79"/>
    </row>
    <row r="218" spans="1:21" s="11" customFormat="1" ht="60.75" customHeight="1" x14ac:dyDescent="0.35">
      <c r="A218" s="9" t="s">
        <v>152</v>
      </c>
      <c r="B218" s="21" t="s">
        <v>591</v>
      </c>
      <c r="C218" s="44" t="s">
        <v>381</v>
      </c>
      <c r="D218" s="18">
        <v>164.68</v>
      </c>
      <c r="E218" s="9" t="s">
        <v>74</v>
      </c>
      <c r="F218" s="9" t="s">
        <v>83</v>
      </c>
      <c r="G218" s="23">
        <v>1</v>
      </c>
      <c r="H218" s="23">
        <v>0</v>
      </c>
      <c r="I218" s="7">
        <v>42036</v>
      </c>
      <c r="J218" s="7">
        <v>42705</v>
      </c>
      <c r="K218" s="9" t="s">
        <v>315</v>
      </c>
      <c r="L218" s="14" t="s">
        <v>407</v>
      </c>
      <c r="M218" s="17"/>
      <c r="O218" s="15"/>
      <c r="P218" s="15" t="s">
        <v>516</v>
      </c>
      <c r="Q218" s="16">
        <f t="shared" si="14"/>
        <v>164.68</v>
      </c>
      <c r="R218" s="16">
        <f t="shared" si="15"/>
        <v>0</v>
      </c>
      <c r="S218" s="79"/>
      <c r="T218" s="79"/>
      <c r="U218" s="79"/>
    </row>
    <row r="219" spans="1:21" s="11" customFormat="1" ht="42" x14ac:dyDescent="0.35">
      <c r="A219" s="9" t="s">
        <v>153</v>
      </c>
      <c r="B219" s="21" t="s">
        <v>229</v>
      </c>
      <c r="C219" s="44" t="s">
        <v>381</v>
      </c>
      <c r="D219" s="18">
        <v>194.7372</v>
      </c>
      <c r="E219" s="9" t="s">
        <v>74</v>
      </c>
      <c r="F219" s="9" t="s">
        <v>82</v>
      </c>
      <c r="G219" s="23">
        <v>1</v>
      </c>
      <c r="H219" s="23">
        <v>0</v>
      </c>
      <c r="I219" s="7">
        <v>41426</v>
      </c>
      <c r="J219" s="7">
        <v>41974</v>
      </c>
      <c r="K219" s="19" t="s">
        <v>315</v>
      </c>
      <c r="L219" s="14" t="s">
        <v>333</v>
      </c>
      <c r="M219" s="108"/>
      <c r="O219" s="15"/>
      <c r="P219" s="15" t="s">
        <v>516</v>
      </c>
      <c r="Q219" s="16">
        <f t="shared" si="14"/>
        <v>194.7372</v>
      </c>
      <c r="R219" s="16">
        <f t="shared" si="15"/>
        <v>0</v>
      </c>
      <c r="S219" s="79"/>
      <c r="T219" s="79"/>
      <c r="U219" s="79"/>
    </row>
    <row r="220" spans="1:21" s="11" customFormat="1" ht="42" x14ac:dyDescent="0.35">
      <c r="A220" s="9" t="s">
        <v>201</v>
      </c>
      <c r="B220" s="21" t="s">
        <v>512</v>
      </c>
      <c r="C220" s="44" t="s">
        <v>383</v>
      </c>
      <c r="D220" s="18">
        <v>5911.57</v>
      </c>
      <c r="E220" s="9" t="s">
        <v>178</v>
      </c>
      <c r="F220" s="9" t="s">
        <v>83</v>
      </c>
      <c r="G220" s="101">
        <v>0.89</v>
      </c>
      <c r="H220" s="101">
        <f>100%-G220</f>
        <v>0.10999999999999999</v>
      </c>
      <c r="I220" s="7">
        <v>41122</v>
      </c>
      <c r="J220" s="7">
        <v>43800</v>
      </c>
      <c r="K220" s="9" t="s">
        <v>144</v>
      </c>
      <c r="L220" s="14" t="s">
        <v>395</v>
      </c>
      <c r="M220" s="108"/>
      <c r="O220" s="15"/>
      <c r="P220" s="15" t="s">
        <v>517</v>
      </c>
      <c r="Q220" s="16">
        <f t="shared" si="14"/>
        <v>5261.2973000000002</v>
      </c>
      <c r="R220" s="16">
        <f t="shared" si="15"/>
        <v>650.27269999999987</v>
      </c>
      <c r="S220" s="6"/>
      <c r="T220" s="6"/>
      <c r="U220" s="6"/>
    </row>
    <row r="221" spans="1:21" s="11" customFormat="1" ht="56" x14ac:dyDescent="0.35">
      <c r="A221" s="9" t="s">
        <v>154</v>
      </c>
      <c r="B221" s="21" t="s">
        <v>254</v>
      </c>
      <c r="C221" s="44" t="s">
        <v>383</v>
      </c>
      <c r="D221" s="18">
        <v>5178.63</v>
      </c>
      <c r="E221" s="9" t="s">
        <v>178</v>
      </c>
      <c r="F221" s="9" t="s">
        <v>83</v>
      </c>
      <c r="G221" s="101">
        <v>0.99495740943132749</v>
      </c>
      <c r="H221" s="101">
        <f>100%-G221</f>
        <v>5.0425905686725114E-3</v>
      </c>
      <c r="I221" s="7">
        <v>40360</v>
      </c>
      <c r="J221" s="7">
        <v>43556</v>
      </c>
      <c r="K221" s="9" t="s">
        <v>144</v>
      </c>
      <c r="L221" s="14" t="s">
        <v>396</v>
      </c>
      <c r="M221" s="17"/>
      <c r="O221" s="15"/>
      <c r="P221" s="15" t="s">
        <v>517</v>
      </c>
      <c r="Q221" s="16">
        <f t="shared" si="14"/>
        <v>5152.5162892033559</v>
      </c>
      <c r="R221" s="16">
        <f t="shared" si="15"/>
        <v>26.113710796644529</v>
      </c>
      <c r="S221" s="6"/>
      <c r="T221" s="6"/>
      <c r="U221" s="6"/>
    </row>
    <row r="222" spans="1:21" s="11" customFormat="1" ht="28" x14ac:dyDescent="0.35">
      <c r="A222" s="9" t="s">
        <v>155</v>
      </c>
      <c r="B222" s="21" t="s">
        <v>65</v>
      </c>
      <c r="C222" s="44" t="s">
        <v>382</v>
      </c>
      <c r="D222" s="18">
        <v>466.85599999999999</v>
      </c>
      <c r="E222" s="9" t="s">
        <v>74</v>
      </c>
      <c r="F222" s="9" t="s">
        <v>83</v>
      </c>
      <c r="G222" s="23">
        <v>0.83</v>
      </c>
      <c r="H222" s="23">
        <v>0.17</v>
      </c>
      <c r="I222" s="7">
        <v>41091</v>
      </c>
      <c r="J222" s="7">
        <v>41518</v>
      </c>
      <c r="K222" s="19" t="s">
        <v>195</v>
      </c>
      <c r="L222" s="14" t="s">
        <v>300</v>
      </c>
      <c r="M222" s="17"/>
      <c r="O222" s="15"/>
      <c r="P222" s="15" t="s">
        <v>516</v>
      </c>
      <c r="Q222" s="16">
        <f t="shared" si="14"/>
        <v>387.49047999999999</v>
      </c>
      <c r="R222" s="16">
        <f t="shared" si="15"/>
        <v>79.365520000000004</v>
      </c>
      <c r="S222" s="79"/>
      <c r="T222" s="79"/>
      <c r="U222" s="79"/>
    </row>
    <row r="223" spans="1:21" s="11" customFormat="1" ht="28" x14ac:dyDescent="0.35">
      <c r="A223" s="9" t="s">
        <v>156</v>
      </c>
      <c r="B223" s="21" t="s">
        <v>66</v>
      </c>
      <c r="C223" s="44" t="s">
        <v>382</v>
      </c>
      <c r="D223" s="18">
        <v>475.58</v>
      </c>
      <c r="E223" s="9" t="s">
        <v>74</v>
      </c>
      <c r="F223" s="9" t="s">
        <v>82</v>
      </c>
      <c r="G223" s="23">
        <v>1</v>
      </c>
      <c r="H223" s="23">
        <v>0</v>
      </c>
      <c r="I223" s="7">
        <v>41153</v>
      </c>
      <c r="J223" s="7">
        <v>41974</v>
      </c>
      <c r="K223" s="9" t="s">
        <v>195</v>
      </c>
      <c r="L223" s="14" t="s">
        <v>301</v>
      </c>
      <c r="M223" s="17"/>
      <c r="O223" s="15"/>
      <c r="P223" s="15" t="s">
        <v>516</v>
      </c>
      <c r="Q223" s="16">
        <f t="shared" si="14"/>
        <v>475.58</v>
      </c>
      <c r="R223" s="16">
        <f t="shared" si="15"/>
        <v>0</v>
      </c>
      <c r="S223" s="79"/>
      <c r="T223" s="79"/>
      <c r="U223" s="79"/>
    </row>
    <row r="224" spans="1:21" s="11" customFormat="1" ht="28" x14ac:dyDescent="0.35">
      <c r="A224" s="9" t="s">
        <v>157</v>
      </c>
      <c r="B224" s="21" t="s">
        <v>203</v>
      </c>
      <c r="C224" s="44" t="s">
        <v>382</v>
      </c>
      <c r="D224" s="18">
        <v>408.86500000000001</v>
      </c>
      <c r="E224" s="9" t="s">
        <v>75</v>
      </c>
      <c r="F224" s="9" t="s">
        <v>82</v>
      </c>
      <c r="G224" s="23">
        <v>0.76</v>
      </c>
      <c r="H224" s="23">
        <v>0.24</v>
      </c>
      <c r="I224" s="7">
        <v>41214</v>
      </c>
      <c r="J224" s="7">
        <v>41487</v>
      </c>
      <c r="K224" s="19" t="s">
        <v>195</v>
      </c>
      <c r="L224" s="14" t="s">
        <v>302</v>
      </c>
      <c r="M224" s="17"/>
      <c r="O224" s="15"/>
      <c r="P224" s="15" t="s">
        <v>516</v>
      </c>
      <c r="Q224" s="16">
        <f t="shared" si="14"/>
        <v>310.73740000000004</v>
      </c>
      <c r="R224" s="16">
        <f t="shared" si="15"/>
        <v>98.127600000000001</v>
      </c>
      <c r="S224" s="79"/>
      <c r="T224" s="79"/>
      <c r="U224" s="79"/>
    </row>
    <row r="225" spans="1:21" s="11" customFormat="1" ht="65.25" customHeight="1" x14ac:dyDescent="0.35">
      <c r="A225" s="9" t="s">
        <v>202</v>
      </c>
      <c r="B225" s="21" t="s">
        <v>204</v>
      </c>
      <c r="C225" s="44" t="s">
        <v>382</v>
      </c>
      <c r="D225" s="18">
        <v>396.23500000000001</v>
      </c>
      <c r="E225" s="9" t="s">
        <v>75</v>
      </c>
      <c r="F225" s="9" t="s">
        <v>82</v>
      </c>
      <c r="G225" s="23">
        <v>1</v>
      </c>
      <c r="H225" s="23">
        <v>0</v>
      </c>
      <c r="I225" s="7">
        <v>41214</v>
      </c>
      <c r="J225" s="7">
        <v>41487</v>
      </c>
      <c r="K225" s="19" t="s">
        <v>195</v>
      </c>
      <c r="L225" s="14" t="s">
        <v>302</v>
      </c>
      <c r="M225" s="17"/>
      <c r="O225" s="15"/>
      <c r="P225" s="15" t="s">
        <v>516</v>
      </c>
      <c r="Q225" s="16">
        <f t="shared" si="14"/>
        <v>396.23500000000001</v>
      </c>
      <c r="R225" s="16">
        <f t="shared" si="15"/>
        <v>0</v>
      </c>
      <c r="S225" s="6"/>
      <c r="T225" s="6"/>
      <c r="U225" s="6"/>
    </row>
    <row r="226" spans="1:21" s="11" customFormat="1" ht="35.15" customHeight="1" x14ac:dyDescent="0.35">
      <c r="A226" s="9" t="s">
        <v>69</v>
      </c>
      <c r="B226" s="21" t="s">
        <v>231</v>
      </c>
      <c r="C226" s="44" t="s">
        <v>382</v>
      </c>
      <c r="D226" s="18">
        <v>426.43799999999999</v>
      </c>
      <c r="E226" s="9" t="s">
        <v>75</v>
      </c>
      <c r="F226" s="9" t="s">
        <v>82</v>
      </c>
      <c r="G226" s="23">
        <v>1</v>
      </c>
      <c r="H226" s="23">
        <v>0</v>
      </c>
      <c r="I226" s="7">
        <v>41214</v>
      </c>
      <c r="J226" s="7">
        <v>41487</v>
      </c>
      <c r="K226" s="19" t="s">
        <v>195</v>
      </c>
      <c r="L226" s="14" t="s">
        <v>302</v>
      </c>
      <c r="M226" s="108"/>
      <c r="O226" s="15"/>
      <c r="P226" s="15" t="s">
        <v>516</v>
      </c>
      <c r="Q226" s="16">
        <f t="shared" si="14"/>
        <v>426.43799999999999</v>
      </c>
      <c r="R226" s="16">
        <f t="shared" si="15"/>
        <v>0</v>
      </c>
      <c r="S226" s="6"/>
      <c r="T226" s="6"/>
      <c r="U226" s="6"/>
    </row>
    <row r="227" spans="1:21" s="11" customFormat="1" ht="35.15" customHeight="1" x14ac:dyDescent="0.35">
      <c r="A227" s="9" t="s">
        <v>70</v>
      </c>
      <c r="B227" s="21" t="s">
        <v>62</v>
      </c>
      <c r="C227" s="71" t="s">
        <v>384</v>
      </c>
      <c r="D227" s="18">
        <v>4206.3900000000003</v>
      </c>
      <c r="E227" s="9" t="s">
        <v>178</v>
      </c>
      <c r="F227" s="9" t="s">
        <v>83</v>
      </c>
      <c r="G227" s="101">
        <v>0.53300000000000003</v>
      </c>
      <c r="H227" s="101">
        <f>100%-G227</f>
        <v>0.46699999999999997</v>
      </c>
      <c r="I227" s="7">
        <v>42005</v>
      </c>
      <c r="J227" s="7">
        <v>43800</v>
      </c>
      <c r="K227" s="9" t="s">
        <v>144</v>
      </c>
      <c r="L227" s="14" t="s">
        <v>542</v>
      </c>
      <c r="M227" s="17"/>
      <c r="O227" s="15"/>
      <c r="P227" s="15" t="s">
        <v>517</v>
      </c>
      <c r="Q227" s="16">
        <f t="shared" si="14"/>
        <v>2242.0058700000004</v>
      </c>
      <c r="R227" s="16">
        <f t="shared" si="15"/>
        <v>1964.3841300000001</v>
      </c>
      <c r="S227" s="6"/>
      <c r="T227" s="6"/>
      <c r="U227" s="6"/>
    </row>
    <row r="228" spans="1:21" s="11" customFormat="1" ht="28" x14ac:dyDescent="0.35">
      <c r="A228" s="9" t="s">
        <v>71</v>
      </c>
      <c r="B228" s="21" t="s">
        <v>67</v>
      </c>
      <c r="C228" s="71" t="s">
        <v>384</v>
      </c>
      <c r="D228" s="18">
        <v>3187.5430000000001</v>
      </c>
      <c r="E228" s="9" t="s">
        <v>80</v>
      </c>
      <c r="F228" s="9" t="s">
        <v>728</v>
      </c>
      <c r="G228" s="23">
        <v>0</v>
      </c>
      <c r="H228" s="23">
        <v>1</v>
      </c>
      <c r="I228" s="7">
        <v>40391</v>
      </c>
      <c r="J228" s="7">
        <v>42186</v>
      </c>
      <c r="K228" s="9" t="s">
        <v>195</v>
      </c>
      <c r="L228" s="14" t="s">
        <v>236</v>
      </c>
      <c r="M228" s="17"/>
      <c r="O228" s="15"/>
      <c r="P228" s="15" t="s">
        <v>516</v>
      </c>
      <c r="Q228" s="16">
        <f t="shared" si="14"/>
        <v>0</v>
      </c>
      <c r="R228" s="16">
        <f t="shared" si="15"/>
        <v>3187.5430000000001</v>
      </c>
      <c r="S228" s="79"/>
      <c r="T228" s="79"/>
      <c r="U228" s="79"/>
    </row>
    <row r="229" spans="1:21" s="11" customFormat="1" ht="34.5" x14ac:dyDescent="0.35">
      <c r="A229" s="9" t="s">
        <v>72</v>
      </c>
      <c r="B229" s="21" t="s">
        <v>13</v>
      </c>
      <c r="C229" s="71" t="s">
        <v>385</v>
      </c>
      <c r="D229" s="18">
        <v>269.02999999999997</v>
      </c>
      <c r="E229" s="9" t="s">
        <v>75</v>
      </c>
      <c r="F229" s="9" t="s">
        <v>82</v>
      </c>
      <c r="G229" s="23">
        <v>0.52</v>
      </c>
      <c r="H229" s="23">
        <v>0.48</v>
      </c>
      <c r="I229" s="7">
        <v>40969</v>
      </c>
      <c r="J229" s="7">
        <v>42979</v>
      </c>
      <c r="K229" s="9" t="s">
        <v>195</v>
      </c>
      <c r="L229" s="14" t="s">
        <v>606</v>
      </c>
      <c r="M229" s="17"/>
      <c r="O229" s="15"/>
      <c r="P229" s="15" t="s">
        <v>516</v>
      </c>
      <c r="Q229" s="16">
        <f t="shared" si="14"/>
        <v>139.8956</v>
      </c>
      <c r="R229" s="16">
        <f t="shared" si="15"/>
        <v>129.13439999999997</v>
      </c>
      <c r="S229" s="6"/>
      <c r="T229" s="6"/>
      <c r="U229" s="6"/>
    </row>
    <row r="230" spans="1:21" s="11" customFormat="1" ht="42" x14ac:dyDescent="0.35">
      <c r="A230" s="9" t="s">
        <v>200</v>
      </c>
      <c r="B230" s="21" t="s">
        <v>364</v>
      </c>
      <c r="C230" s="71" t="s">
        <v>385</v>
      </c>
      <c r="D230" s="18">
        <f>201+103</f>
        <v>304</v>
      </c>
      <c r="E230" s="9" t="s">
        <v>75</v>
      </c>
      <c r="F230" s="9" t="s">
        <v>83</v>
      </c>
      <c r="G230" s="23">
        <f>1-H230</f>
        <v>0.66118421052631571</v>
      </c>
      <c r="H230" s="23">
        <f>103/D230</f>
        <v>0.33881578947368424</v>
      </c>
      <c r="I230" s="7">
        <v>41426</v>
      </c>
      <c r="J230" s="7">
        <v>42705</v>
      </c>
      <c r="K230" s="19" t="s">
        <v>195</v>
      </c>
      <c r="L230" s="14" t="s">
        <v>602</v>
      </c>
      <c r="M230" s="108"/>
      <c r="O230" s="15"/>
      <c r="P230" s="15" t="s">
        <v>516</v>
      </c>
      <c r="Q230" s="16">
        <f t="shared" si="14"/>
        <v>200.99999999999997</v>
      </c>
      <c r="R230" s="16">
        <f t="shared" si="15"/>
        <v>103.00000000000001</v>
      </c>
      <c r="S230" s="79"/>
      <c r="T230" s="79"/>
      <c r="U230" s="79"/>
    </row>
    <row r="231" spans="1:21" s="11" customFormat="1" ht="34.5" x14ac:dyDescent="0.35">
      <c r="A231" s="9" t="s">
        <v>200</v>
      </c>
      <c r="B231" s="21" t="s">
        <v>255</v>
      </c>
      <c r="C231" s="71" t="s">
        <v>385</v>
      </c>
      <c r="D231" s="18">
        <f>523.47+2.75-0.01</f>
        <v>526.21</v>
      </c>
      <c r="E231" s="9" t="s">
        <v>74</v>
      </c>
      <c r="F231" s="9" t="s">
        <v>83</v>
      </c>
      <c r="G231" s="101">
        <v>0.99478185442699951</v>
      </c>
      <c r="H231" s="101">
        <v>5.2181455730004713E-3</v>
      </c>
      <c r="I231" s="7">
        <v>41091</v>
      </c>
      <c r="J231" s="7">
        <v>42825</v>
      </c>
      <c r="K231" s="19" t="s">
        <v>195</v>
      </c>
      <c r="L231" s="14" t="s">
        <v>397</v>
      </c>
      <c r="M231" s="17"/>
      <c r="O231" s="15"/>
      <c r="P231" s="15" t="s">
        <v>517</v>
      </c>
      <c r="Q231" s="16">
        <f t="shared" si="14"/>
        <v>523.46415961803143</v>
      </c>
      <c r="R231" s="16">
        <f t="shared" si="15"/>
        <v>2.7458403819685784</v>
      </c>
      <c r="S231" s="79"/>
      <c r="T231" s="79"/>
      <c r="U231" s="79"/>
    </row>
    <row r="232" spans="1:21" s="11" customFormat="1" ht="28" x14ac:dyDescent="0.35">
      <c r="A232" s="9" t="s">
        <v>223</v>
      </c>
      <c r="B232" s="21" t="s">
        <v>197</v>
      </c>
      <c r="C232" s="44" t="s">
        <v>381</v>
      </c>
      <c r="D232" s="18">
        <v>43.78</v>
      </c>
      <c r="E232" s="9" t="s">
        <v>74</v>
      </c>
      <c r="F232" s="9" t="s">
        <v>82</v>
      </c>
      <c r="G232" s="23">
        <v>0.64</v>
      </c>
      <c r="H232" s="23">
        <v>0.36</v>
      </c>
      <c r="I232" s="7">
        <v>40969</v>
      </c>
      <c r="J232" s="7">
        <v>41426</v>
      </c>
      <c r="K232" s="9" t="s">
        <v>195</v>
      </c>
      <c r="L232" s="14" t="s">
        <v>280</v>
      </c>
      <c r="M232" s="17"/>
      <c r="O232" s="15"/>
      <c r="P232" s="15" t="s">
        <v>516</v>
      </c>
      <c r="Q232" s="16">
        <f t="shared" si="14"/>
        <v>28.019200000000001</v>
      </c>
      <c r="R232" s="16">
        <f t="shared" si="15"/>
        <v>15.7608</v>
      </c>
      <c r="S232" s="79"/>
      <c r="T232" s="79"/>
      <c r="U232" s="79"/>
    </row>
    <row r="233" spans="1:21" s="11" customFormat="1" ht="14" x14ac:dyDescent="0.35">
      <c r="A233" s="9" t="s">
        <v>224</v>
      </c>
      <c r="B233" s="21" t="s">
        <v>61</v>
      </c>
      <c r="C233" s="44" t="s">
        <v>383</v>
      </c>
      <c r="D233" s="18">
        <f>414.08+0.7</f>
        <v>414.78</v>
      </c>
      <c r="E233" s="9" t="s">
        <v>74</v>
      </c>
      <c r="F233" s="9" t="s">
        <v>83</v>
      </c>
      <c r="G233" s="101">
        <v>0.99831657041571364</v>
      </c>
      <c r="H233" s="101">
        <v>1.6834295842862866E-3</v>
      </c>
      <c r="I233" s="7">
        <v>41091</v>
      </c>
      <c r="J233" s="7">
        <v>42401</v>
      </c>
      <c r="K233" s="9" t="s">
        <v>195</v>
      </c>
      <c r="L233" s="14" t="s">
        <v>543</v>
      </c>
      <c r="M233" s="17"/>
      <c r="O233" s="15"/>
      <c r="P233" s="15" t="s">
        <v>517</v>
      </c>
      <c r="Q233" s="16">
        <f t="shared" si="14"/>
        <v>414.08174707702966</v>
      </c>
      <c r="R233" s="16">
        <f t="shared" si="15"/>
        <v>0.69825292297026598</v>
      </c>
      <c r="S233" s="6"/>
      <c r="T233" s="6"/>
      <c r="U233" s="6"/>
    </row>
    <row r="234" spans="1:21" s="11" customFormat="1" ht="34.5" x14ac:dyDescent="0.35">
      <c r="A234" s="9" t="s">
        <v>281</v>
      </c>
      <c r="B234" s="21" t="s">
        <v>282</v>
      </c>
      <c r="C234" s="71" t="s">
        <v>385</v>
      </c>
      <c r="D234" s="18">
        <v>30</v>
      </c>
      <c r="E234" s="9" t="s">
        <v>76</v>
      </c>
      <c r="F234" s="9" t="s">
        <v>82</v>
      </c>
      <c r="G234" s="23">
        <v>0</v>
      </c>
      <c r="H234" s="23">
        <v>1</v>
      </c>
      <c r="I234" s="7">
        <v>41214</v>
      </c>
      <c r="J234" s="7">
        <v>41334</v>
      </c>
      <c r="K234" s="9" t="s">
        <v>195</v>
      </c>
      <c r="L234" s="14" t="s">
        <v>540</v>
      </c>
      <c r="M234" s="17"/>
      <c r="O234" s="15"/>
      <c r="P234" s="15" t="s">
        <v>517</v>
      </c>
      <c r="Q234" s="16">
        <f t="shared" si="14"/>
        <v>0</v>
      </c>
      <c r="R234" s="16">
        <f t="shared" si="15"/>
        <v>30</v>
      </c>
      <c r="S234" s="79"/>
      <c r="T234" s="79"/>
      <c r="U234" s="79"/>
    </row>
    <row r="235" spans="1:21" s="11" customFormat="1" ht="23" x14ac:dyDescent="0.35">
      <c r="A235" s="9" t="s">
        <v>55</v>
      </c>
      <c r="B235" s="8" t="s">
        <v>363</v>
      </c>
      <c r="C235" s="44" t="s">
        <v>382</v>
      </c>
      <c r="D235" s="18">
        <v>300.8</v>
      </c>
      <c r="E235" s="9" t="s">
        <v>75</v>
      </c>
      <c r="F235" s="9" t="s">
        <v>82</v>
      </c>
      <c r="G235" s="23">
        <v>1</v>
      </c>
      <c r="H235" s="23">
        <v>0</v>
      </c>
      <c r="I235" s="7">
        <v>41518</v>
      </c>
      <c r="J235" s="7">
        <v>42491</v>
      </c>
      <c r="K235" s="9" t="s">
        <v>315</v>
      </c>
      <c r="L235" s="14" t="s">
        <v>320</v>
      </c>
      <c r="M235" s="106"/>
      <c r="O235" s="15"/>
      <c r="P235" s="15" t="s">
        <v>516</v>
      </c>
      <c r="Q235" s="16">
        <f t="shared" si="14"/>
        <v>300.8</v>
      </c>
      <c r="R235" s="16">
        <f t="shared" si="15"/>
        <v>0</v>
      </c>
      <c r="S235" s="79"/>
      <c r="T235" s="79"/>
      <c r="U235" s="79"/>
    </row>
    <row r="236" spans="1:21" s="11" customFormat="1" ht="28" x14ac:dyDescent="0.35">
      <c r="A236" s="9" t="s">
        <v>350</v>
      </c>
      <c r="B236" s="21" t="s">
        <v>68</v>
      </c>
      <c r="C236" s="71" t="s">
        <v>384</v>
      </c>
      <c r="D236" s="18">
        <f>484.98-28.34</f>
        <v>456.64000000000004</v>
      </c>
      <c r="E236" s="9" t="s">
        <v>663</v>
      </c>
      <c r="F236" s="9" t="s">
        <v>728</v>
      </c>
      <c r="G236" s="23">
        <v>0</v>
      </c>
      <c r="H236" s="23">
        <v>1</v>
      </c>
      <c r="I236" s="7">
        <v>43405</v>
      </c>
      <c r="J236" s="7">
        <v>43586</v>
      </c>
      <c r="K236" s="9" t="s">
        <v>84</v>
      </c>
      <c r="L236" s="14" t="s">
        <v>317</v>
      </c>
      <c r="M236" s="17"/>
      <c r="O236" s="15"/>
      <c r="P236" s="15" t="s">
        <v>517</v>
      </c>
      <c r="Q236" s="16">
        <f t="shared" si="14"/>
        <v>0</v>
      </c>
      <c r="R236" s="16">
        <f t="shared" si="15"/>
        <v>456.64000000000004</v>
      </c>
      <c r="S236" s="79"/>
      <c r="T236" s="79"/>
      <c r="U236" s="79"/>
    </row>
    <row r="237" spans="1:21" s="11" customFormat="1" ht="42" x14ac:dyDescent="0.35">
      <c r="A237" s="9" t="s">
        <v>351</v>
      </c>
      <c r="B237" s="8" t="s">
        <v>33</v>
      </c>
      <c r="C237" s="44" t="s">
        <v>381</v>
      </c>
      <c r="D237" s="18">
        <v>563.28200000000004</v>
      </c>
      <c r="E237" s="9" t="s">
        <v>34</v>
      </c>
      <c r="F237" s="9" t="s">
        <v>728</v>
      </c>
      <c r="G237" s="23">
        <v>0</v>
      </c>
      <c r="H237" s="23">
        <v>1</v>
      </c>
      <c r="I237" s="7">
        <v>41518</v>
      </c>
      <c r="J237" s="7">
        <v>42095</v>
      </c>
      <c r="K237" s="19" t="s">
        <v>195</v>
      </c>
      <c r="L237" s="14" t="s">
        <v>402</v>
      </c>
      <c r="M237" s="17"/>
      <c r="O237" s="15"/>
      <c r="P237" s="15" t="s">
        <v>516</v>
      </c>
      <c r="Q237" s="16">
        <f t="shared" si="14"/>
        <v>0</v>
      </c>
      <c r="R237" s="16">
        <f t="shared" si="15"/>
        <v>563.28200000000004</v>
      </c>
      <c r="S237" s="79"/>
      <c r="T237" s="79"/>
      <c r="U237" s="79"/>
    </row>
    <row r="238" spans="1:21" s="11" customFormat="1" ht="28" x14ac:dyDescent="0.35">
      <c r="A238" s="9" t="s">
        <v>412</v>
      </c>
      <c r="B238" s="8" t="s">
        <v>408</v>
      </c>
      <c r="C238" s="44" t="s">
        <v>381</v>
      </c>
      <c r="D238" s="107">
        <v>230.02</v>
      </c>
      <c r="E238" s="9" t="s">
        <v>75</v>
      </c>
      <c r="F238" s="23" t="s">
        <v>82</v>
      </c>
      <c r="G238" s="23">
        <v>1</v>
      </c>
      <c r="H238" s="23">
        <v>0</v>
      </c>
      <c r="I238" s="7">
        <v>42614</v>
      </c>
      <c r="J238" s="7">
        <v>42948</v>
      </c>
      <c r="K238" s="19" t="s">
        <v>195</v>
      </c>
      <c r="L238" s="14" t="s">
        <v>592</v>
      </c>
      <c r="M238" s="17"/>
      <c r="O238" s="15"/>
      <c r="P238" s="15" t="s">
        <v>516</v>
      </c>
      <c r="Q238" s="16">
        <f t="shared" si="14"/>
        <v>230.02</v>
      </c>
      <c r="R238" s="16">
        <f t="shared" si="15"/>
        <v>0</v>
      </c>
      <c r="S238" s="79"/>
      <c r="T238" s="79"/>
      <c r="U238" s="79"/>
    </row>
    <row r="239" spans="1:21" s="11" customFormat="1" ht="28" x14ac:dyDescent="0.35">
      <c r="A239" s="9" t="s">
        <v>422</v>
      </c>
      <c r="B239" s="21" t="s">
        <v>423</v>
      </c>
      <c r="C239" s="71" t="s">
        <v>384</v>
      </c>
      <c r="D239" s="18">
        <v>2766.11</v>
      </c>
      <c r="E239" s="9" t="s">
        <v>424</v>
      </c>
      <c r="F239" s="9" t="s">
        <v>728</v>
      </c>
      <c r="G239" s="23">
        <v>0</v>
      </c>
      <c r="H239" s="23">
        <v>1</v>
      </c>
      <c r="I239" s="7">
        <v>42156</v>
      </c>
      <c r="J239" s="7">
        <v>43800</v>
      </c>
      <c r="K239" s="9" t="s">
        <v>144</v>
      </c>
      <c r="L239" s="14" t="s">
        <v>719</v>
      </c>
      <c r="M239" s="17"/>
      <c r="O239" s="15"/>
      <c r="P239" s="15" t="s">
        <v>516</v>
      </c>
      <c r="Q239" s="16">
        <f t="shared" si="14"/>
        <v>0</v>
      </c>
      <c r="R239" s="16">
        <f t="shared" si="15"/>
        <v>2766.11</v>
      </c>
      <c r="S239" s="79"/>
      <c r="T239" s="79"/>
      <c r="U239" s="79"/>
    </row>
    <row r="240" spans="1:21" s="11" customFormat="1" ht="42" x14ac:dyDescent="0.35">
      <c r="A240" s="9" t="s">
        <v>426</v>
      </c>
      <c r="B240" s="21" t="s">
        <v>430</v>
      </c>
      <c r="C240" s="44" t="s">
        <v>381</v>
      </c>
      <c r="D240" s="18">
        <v>72.492000000000004</v>
      </c>
      <c r="E240" s="9" t="s">
        <v>74</v>
      </c>
      <c r="F240" s="9" t="s">
        <v>82</v>
      </c>
      <c r="G240" s="23">
        <v>1</v>
      </c>
      <c r="H240" s="23">
        <v>0</v>
      </c>
      <c r="I240" s="7">
        <v>42278</v>
      </c>
      <c r="J240" s="7">
        <v>42675</v>
      </c>
      <c r="K240" s="19" t="s">
        <v>195</v>
      </c>
      <c r="L240" s="14" t="s">
        <v>593</v>
      </c>
      <c r="M240" s="106"/>
      <c r="O240" s="15"/>
      <c r="P240" s="15" t="s">
        <v>516</v>
      </c>
      <c r="Q240" s="16">
        <f t="shared" si="14"/>
        <v>72.492000000000004</v>
      </c>
      <c r="R240" s="16">
        <f t="shared" si="15"/>
        <v>0</v>
      </c>
      <c r="S240" s="6"/>
      <c r="T240" s="6"/>
      <c r="U240" s="6"/>
    </row>
    <row r="241" spans="1:21" s="11" customFormat="1" ht="42" x14ac:dyDescent="0.35">
      <c r="A241" s="9" t="s">
        <v>445</v>
      </c>
      <c r="B241" s="21" t="s">
        <v>482</v>
      </c>
      <c r="C241" s="44" t="s">
        <v>381</v>
      </c>
      <c r="D241" s="18">
        <v>437.34</v>
      </c>
      <c r="E241" s="9" t="s">
        <v>74</v>
      </c>
      <c r="F241" s="9" t="s">
        <v>82</v>
      </c>
      <c r="G241" s="23">
        <v>1</v>
      </c>
      <c r="H241" s="23">
        <v>0</v>
      </c>
      <c r="I241" s="7">
        <v>42370</v>
      </c>
      <c r="J241" s="7">
        <v>42856</v>
      </c>
      <c r="K241" s="19" t="s">
        <v>315</v>
      </c>
      <c r="L241" s="14" t="s">
        <v>446</v>
      </c>
      <c r="M241" s="17"/>
      <c r="O241" s="15"/>
      <c r="P241" s="15" t="s">
        <v>516</v>
      </c>
      <c r="Q241" s="16">
        <f t="shared" si="14"/>
        <v>437.34</v>
      </c>
      <c r="R241" s="16">
        <f t="shared" si="15"/>
        <v>0</v>
      </c>
      <c r="S241" s="6"/>
      <c r="T241" s="6"/>
      <c r="U241" s="6"/>
    </row>
    <row r="242" spans="1:21" s="11" customFormat="1" ht="34.5" x14ac:dyDescent="0.35">
      <c r="A242" s="9" t="s">
        <v>607</v>
      </c>
      <c r="B242" s="21" t="s">
        <v>13</v>
      </c>
      <c r="C242" s="71" t="s">
        <v>385</v>
      </c>
      <c r="D242" s="18">
        <v>79.95</v>
      </c>
      <c r="E242" s="9" t="s">
        <v>613</v>
      </c>
      <c r="F242" s="9" t="s">
        <v>82</v>
      </c>
      <c r="G242" s="23">
        <v>1</v>
      </c>
      <c r="H242" s="23">
        <v>0</v>
      </c>
      <c r="I242" s="7">
        <v>43160</v>
      </c>
      <c r="J242" s="7">
        <v>44013</v>
      </c>
      <c r="K242" s="9" t="s">
        <v>144</v>
      </c>
      <c r="L242" s="14" t="s">
        <v>654</v>
      </c>
      <c r="M242" s="17"/>
      <c r="O242" s="15"/>
      <c r="P242" s="15" t="s">
        <v>516</v>
      </c>
      <c r="Q242" s="16">
        <f t="shared" si="14"/>
        <v>79.95</v>
      </c>
      <c r="R242" s="16">
        <f t="shared" si="15"/>
        <v>0</v>
      </c>
      <c r="S242" s="6"/>
      <c r="T242" s="6"/>
      <c r="U242" s="6"/>
    </row>
    <row r="243" spans="1:21" s="11" customFormat="1" ht="42" x14ac:dyDescent="0.35">
      <c r="A243" s="9" t="s">
        <v>616</v>
      </c>
      <c r="B243" s="21" t="s">
        <v>618</v>
      </c>
      <c r="C243" s="44" t="s">
        <v>381</v>
      </c>
      <c r="D243" s="18">
        <v>101.77</v>
      </c>
      <c r="E243" s="9" t="s">
        <v>619</v>
      </c>
      <c r="F243" s="9" t="s">
        <v>82</v>
      </c>
      <c r="G243" s="23">
        <v>1</v>
      </c>
      <c r="H243" s="23">
        <v>0</v>
      </c>
      <c r="I243" s="7">
        <v>43101</v>
      </c>
      <c r="J243" s="7">
        <v>43525</v>
      </c>
      <c r="K243" s="9" t="s">
        <v>144</v>
      </c>
      <c r="L243" s="22" t="s">
        <v>721</v>
      </c>
      <c r="M243" s="17"/>
      <c r="O243" s="15"/>
      <c r="P243" s="15" t="s">
        <v>516</v>
      </c>
      <c r="Q243" s="16">
        <f t="shared" si="14"/>
        <v>101.77</v>
      </c>
      <c r="R243" s="16">
        <f t="shared" si="15"/>
        <v>0</v>
      </c>
      <c r="S243" s="149"/>
      <c r="T243" s="149"/>
      <c r="U243" s="6"/>
    </row>
    <row r="244" spans="1:21" s="6" customFormat="1" ht="35.15" customHeight="1" x14ac:dyDescent="0.35">
      <c r="A244" s="9" t="s">
        <v>617</v>
      </c>
      <c r="B244" s="21" t="s">
        <v>631</v>
      </c>
      <c r="C244" s="44" t="s">
        <v>381</v>
      </c>
      <c r="D244" s="18">
        <v>76.47</v>
      </c>
      <c r="E244" s="9" t="s">
        <v>619</v>
      </c>
      <c r="F244" s="9" t="s">
        <v>82</v>
      </c>
      <c r="G244" s="23">
        <v>1</v>
      </c>
      <c r="H244" s="23">
        <v>0</v>
      </c>
      <c r="I244" s="7">
        <v>43101</v>
      </c>
      <c r="J244" s="7">
        <v>43466</v>
      </c>
      <c r="K244" s="9" t="s">
        <v>144</v>
      </c>
      <c r="L244" s="22" t="s">
        <v>652</v>
      </c>
      <c r="M244" s="17"/>
      <c r="O244" s="15"/>
      <c r="P244" s="15" t="s">
        <v>516</v>
      </c>
      <c r="Q244" s="16">
        <f t="shared" si="14"/>
        <v>76.47</v>
      </c>
      <c r="R244" s="16">
        <f t="shared" si="15"/>
        <v>0</v>
      </c>
      <c r="S244" s="79"/>
      <c r="T244" s="79"/>
      <c r="U244" s="79"/>
    </row>
    <row r="245" spans="1:21" s="6" customFormat="1" ht="28" x14ac:dyDescent="0.35">
      <c r="A245" s="9" t="s">
        <v>632</v>
      </c>
      <c r="B245" s="8" t="s">
        <v>634</v>
      </c>
      <c r="C245" s="44" t="s">
        <v>381</v>
      </c>
      <c r="D245" s="10">
        <v>205.88</v>
      </c>
      <c r="E245" s="9" t="s">
        <v>75</v>
      </c>
      <c r="F245" s="9" t="s">
        <v>82</v>
      </c>
      <c r="G245" s="23">
        <v>1</v>
      </c>
      <c r="H245" s="23">
        <v>0</v>
      </c>
      <c r="I245" s="7">
        <v>43282</v>
      </c>
      <c r="J245" s="7">
        <v>43800</v>
      </c>
      <c r="K245" s="9" t="s">
        <v>664</v>
      </c>
      <c r="L245" s="22" t="s">
        <v>655</v>
      </c>
      <c r="M245" s="131"/>
      <c r="O245" s="15"/>
      <c r="P245" s="15" t="s">
        <v>516</v>
      </c>
      <c r="Q245" s="16">
        <f t="shared" si="14"/>
        <v>205.88</v>
      </c>
      <c r="R245" s="16">
        <f t="shared" si="15"/>
        <v>0</v>
      </c>
    </row>
    <row r="246" spans="1:21" s="6" customFormat="1" ht="26.25" customHeight="1" x14ac:dyDescent="0.35">
      <c r="A246" s="51" t="s">
        <v>45</v>
      </c>
      <c r="B246" s="50"/>
      <c r="C246" s="34"/>
      <c r="D246" s="24">
        <f>SUM(D210:D245)</f>
        <v>29903.024145945947</v>
      </c>
      <c r="E246" s="117"/>
      <c r="F246" s="118"/>
      <c r="G246" s="24">
        <f>SUMPRODUCT(G209:G245,$D$209:$D$245)</f>
        <v>18668.19824589842</v>
      </c>
      <c r="H246" s="24">
        <f>SUMPRODUCT(H209:H245,$D$209:$D$245)</f>
        <v>11234.82590004753</v>
      </c>
      <c r="I246" s="119"/>
      <c r="J246" s="119"/>
      <c r="K246" s="120"/>
      <c r="L246" s="121"/>
      <c r="M246" s="153"/>
      <c r="O246" s="79"/>
      <c r="P246" s="80"/>
      <c r="Q246" s="81"/>
    </row>
    <row r="247" spans="1:21" s="6" customFormat="1" ht="26.25" hidden="1" customHeight="1" x14ac:dyDescent="0.35">
      <c r="A247" s="25"/>
      <c r="B247" s="25"/>
      <c r="C247" s="25"/>
      <c r="D247" s="26"/>
      <c r="E247" s="27"/>
      <c r="F247" s="154"/>
      <c r="G247" s="155"/>
      <c r="H247" s="29"/>
      <c r="I247" s="30"/>
      <c r="J247" s="30"/>
      <c r="K247" s="31"/>
      <c r="L247" s="32"/>
    </row>
    <row r="248" spans="1:21" s="6" customFormat="1" ht="26.25" hidden="1" customHeight="1" x14ac:dyDescent="0.35">
      <c r="A248" s="137" t="s">
        <v>40</v>
      </c>
      <c r="B248" s="137"/>
      <c r="C248" s="42"/>
      <c r="D248" s="41">
        <f>D246+D207+D136+D93</f>
        <v>860588.6809633848</v>
      </c>
      <c r="E248" s="43"/>
      <c r="F248" s="43"/>
      <c r="G248" s="41">
        <f>G246+G207+G136+G93</f>
        <v>266179.07673158171</v>
      </c>
      <c r="H248" s="41">
        <f>H246+H207+H136+H93</f>
        <v>594409.6042318031</v>
      </c>
      <c r="I248" s="156"/>
      <c r="J248" s="156"/>
      <c r="K248" s="43"/>
      <c r="L248" s="157"/>
      <c r="M248" s="158"/>
    </row>
    <row r="249" spans="1:21" s="2" customFormat="1" ht="14" hidden="1" x14ac:dyDescent="0.35">
      <c r="A249" s="136" t="s">
        <v>462</v>
      </c>
      <c r="B249" s="136"/>
      <c r="C249" s="60"/>
      <c r="D249" s="61">
        <f>SUMIF($P$12:$P$246,"CDHU",D$12:D$246)</f>
        <v>556924.022</v>
      </c>
      <c r="E249" s="62"/>
      <c r="F249" s="62"/>
      <c r="G249" s="61">
        <f>SUMIF($P$12:$P$245,"CDHU",Q$12:Q$245)</f>
        <v>125955.0727359076</v>
      </c>
      <c r="H249" s="61">
        <f>SUMIF($P$12:$P$245,"CDHU",R$12:R$245)</f>
        <v>430968.94926409237</v>
      </c>
      <c r="I249" s="159"/>
      <c r="J249" s="159"/>
      <c r="K249" s="62"/>
      <c r="L249" s="160"/>
      <c r="M249" s="161"/>
      <c r="O249" s="6"/>
      <c r="P249" s="6"/>
      <c r="Q249" s="6"/>
      <c r="R249" s="6"/>
      <c r="S249" s="6"/>
      <c r="T249" s="6"/>
      <c r="U249" s="6"/>
    </row>
    <row r="250" spans="1:21" s="2" customFormat="1" ht="14" hidden="1" x14ac:dyDescent="0.35">
      <c r="A250" s="136" t="s">
        <v>463</v>
      </c>
      <c r="B250" s="136"/>
      <c r="C250" s="60"/>
      <c r="D250" s="61">
        <f>SUMIF($P$12:$P$246,"FF",D$12:D$246)</f>
        <v>303186.98063985549</v>
      </c>
      <c r="E250" s="62"/>
      <c r="F250" s="62"/>
      <c r="G250" s="61">
        <f>SUMIF($P$12:$P$245,"FF",Q$12:Q$245)</f>
        <v>139973.60281920343</v>
      </c>
      <c r="H250" s="61">
        <f>SUMIF($P$12:$P$245,"FF",R$12:R$245)</f>
        <v>163213.37782065183</v>
      </c>
      <c r="I250" s="159"/>
      <c r="J250" s="159"/>
      <c r="K250" s="62"/>
      <c r="L250" s="160"/>
      <c r="M250" s="161"/>
    </row>
    <row r="251" spans="1:21" s="6" customFormat="1" ht="26.25" hidden="1" customHeight="1" x14ac:dyDescent="0.35">
      <c r="A251" s="12"/>
      <c r="B251" s="13"/>
      <c r="C251" s="13"/>
      <c r="D251" s="96"/>
      <c r="E251" s="2"/>
      <c r="F251" s="2"/>
      <c r="G251" s="55"/>
      <c r="H251" s="20"/>
      <c r="I251" s="3"/>
      <c r="J251" s="3"/>
      <c r="K251" s="2"/>
      <c r="L251" s="2"/>
      <c r="M251" s="1"/>
      <c r="O251" s="2"/>
      <c r="P251" s="2"/>
      <c r="Q251" s="2"/>
      <c r="R251" s="2"/>
      <c r="S251" s="2"/>
      <c r="T251" s="2"/>
      <c r="U251" s="2"/>
    </row>
    <row r="252" spans="1:21" ht="14" hidden="1" x14ac:dyDescent="0.35">
      <c r="A252" s="12"/>
      <c r="B252" s="13"/>
      <c r="C252" s="13"/>
      <c r="G252" s="55"/>
      <c r="L252" s="2"/>
      <c r="O252" s="6"/>
      <c r="P252" s="6"/>
      <c r="Q252" s="6"/>
      <c r="R252" s="6"/>
      <c r="S252" s="6"/>
      <c r="T252" s="6"/>
      <c r="U252" s="6"/>
    </row>
    <row r="253" spans="1:21" ht="50.25" hidden="1" customHeight="1" x14ac:dyDescent="0.35">
      <c r="A253" s="137" t="s">
        <v>379</v>
      </c>
      <c r="B253" s="137"/>
      <c r="C253" s="42"/>
      <c r="D253" s="43"/>
      <c r="E253" s="43"/>
      <c r="F253" s="43"/>
      <c r="G253" s="56">
        <f>+G248/D248</f>
        <v>0.30929883534327679</v>
      </c>
      <c r="H253" s="56">
        <f>+H248/D248</f>
        <v>0.69070116465672327</v>
      </c>
      <c r="I253" s="156"/>
      <c r="J253" s="156"/>
      <c r="K253" s="43"/>
      <c r="L253" s="157"/>
      <c r="M253" s="158"/>
    </row>
    <row r="254" spans="1:21" ht="30" hidden="1" customHeight="1" x14ac:dyDescent="0.35">
      <c r="A254" s="1"/>
      <c r="B254" s="45"/>
      <c r="C254" s="45"/>
      <c r="D254" s="45"/>
      <c r="E254" s="45"/>
      <c r="F254" s="45"/>
      <c r="G254" s="45"/>
      <c r="H254" s="45"/>
      <c r="I254" s="45"/>
      <c r="J254" s="45"/>
      <c r="K254" s="78"/>
      <c r="L254" s="45"/>
    </row>
    <row r="255" spans="1:21" ht="30" customHeight="1" x14ac:dyDescent="0.35">
      <c r="A255" s="46" t="s">
        <v>78</v>
      </c>
      <c r="B255" s="138" t="s">
        <v>310</v>
      </c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P255" s="89" t="s">
        <v>517</v>
      </c>
      <c r="Q255" s="89" t="s">
        <v>522</v>
      </c>
      <c r="R255" s="89" t="s">
        <v>523</v>
      </c>
      <c r="S255" s="89" t="s">
        <v>524</v>
      </c>
    </row>
    <row r="256" spans="1:21" ht="30" customHeight="1" x14ac:dyDescent="0.35">
      <c r="A256" s="12" t="s">
        <v>526</v>
      </c>
      <c r="B256" s="90" t="s">
        <v>527</v>
      </c>
      <c r="C256" s="90"/>
      <c r="D256" s="91"/>
      <c r="E256" s="90"/>
      <c r="F256" s="90"/>
      <c r="G256" s="92"/>
      <c r="H256" s="93"/>
      <c r="I256" s="90"/>
      <c r="J256" s="90"/>
      <c r="K256" s="90"/>
      <c r="P256" s="1" t="s">
        <v>195</v>
      </c>
      <c r="Q256" s="86">
        <f>SUMIFS($Q$12:$Q$245,$P$12:$P$245,$P$255,$K$12:$K$245,$P256)</f>
        <v>52612.884541317588</v>
      </c>
      <c r="R256" s="86">
        <f>SUMIFS($R$12:$R$245,$P$12:$P$245,$P$255,$K$12:$K$245,$P256)</f>
        <v>389228.77745868237</v>
      </c>
      <c r="S256" s="87">
        <f>+Q256+R256</f>
        <v>441841.66199999995</v>
      </c>
    </row>
    <row r="257" spans="1:19" ht="30" customHeight="1" x14ac:dyDescent="0.35">
      <c r="A257" s="12" t="s">
        <v>528</v>
      </c>
      <c r="B257" s="1" t="s">
        <v>529</v>
      </c>
      <c r="D257" s="11"/>
      <c r="E257" s="1"/>
      <c r="F257" s="1"/>
      <c r="G257" s="94"/>
      <c r="H257" s="94"/>
      <c r="I257" s="1"/>
      <c r="J257" s="1"/>
      <c r="K257" s="1"/>
      <c r="P257" s="1" t="s">
        <v>447</v>
      </c>
      <c r="Q257" s="86">
        <f>SUMIFS($Q$12:$Q$245,$P$12:$P$245,$P$255,$K$12:$K$245,$P257)</f>
        <v>73342.18819458998</v>
      </c>
      <c r="R257" s="86">
        <f>SUMIFS($R$12:$R$245,$P$12:$P$245,$P$255,$K$12:$K$245,$P257)</f>
        <v>41283.531805410013</v>
      </c>
      <c r="S257" s="87">
        <f>+Q257+R257</f>
        <v>114625.72</v>
      </c>
    </row>
    <row r="258" spans="1:19" ht="30" customHeight="1" x14ac:dyDescent="0.35">
      <c r="A258" s="12" t="s">
        <v>530</v>
      </c>
      <c r="B258" s="1" t="s">
        <v>729</v>
      </c>
      <c r="D258" s="11"/>
      <c r="E258" s="86"/>
      <c r="F258" s="1"/>
      <c r="G258" s="95"/>
      <c r="H258" s="94"/>
      <c r="I258" s="1"/>
      <c r="J258" s="1"/>
      <c r="K258" s="1"/>
      <c r="P258" s="1" t="s">
        <v>84</v>
      </c>
      <c r="Q258" s="86">
        <f>SUMIFS($Q$12:$Q$245,$P$12:$P$245,$P$255,$K$12:$K$245,$P258)</f>
        <v>0</v>
      </c>
      <c r="R258" s="86">
        <f>SUMIFS($R$12:$R$245,$P$12:$P$245,$P$255,$K$12:$K$245,$P258)</f>
        <v>456.64000000000004</v>
      </c>
      <c r="S258" s="87">
        <f>+Q258+R258</f>
        <v>456.64000000000004</v>
      </c>
    </row>
    <row r="259" spans="1:19" ht="30" customHeight="1" x14ac:dyDescent="0.35">
      <c r="A259" s="12" t="s">
        <v>531</v>
      </c>
      <c r="B259" s="1" t="s">
        <v>730</v>
      </c>
      <c r="D259" s="11"/>
      <c r="E259" s="1"/>
      <c r="F259" s="1"/>
      <c r="G259" s="94"/>
      <c r="H259" s="94"/>
      <c r="I259" s="1"/>
      <c r="J259" s="1"/>
      <c r="K259" s="1"/>
      <c r="P259" s="1" t="s">
        <v>525</v>
      </c>
      <c r="Q259" s="86">
        <f>SUMIFS($Q$12:$Q$245,$P$12:$P$245,$P$255,$O$12:$O$245,$P259)</f>
        <v>0</v>
      </c>
      <c r="R259" s="86">
        <f>SUMIFS($R$12:$R$245,$P$12:$P$245,$P$255,$O$12:$O$245,$P259)</f>
        <v>0</v>
      </c>
      <c r="S259" s="87">
        <f>+Q259+R259</f>
        <v>0</v>
      </c>
    </row>
    <row r="260" spans="1:19" ht="14" x14ac:dyDescent="0.35">
      <c r="A260" s="12" t="s">
        <v>532</v>
      </c>
      <c r="B260" s="1" t="s">
        <v>731</v>
      </c>
      <c r="D260" s="11"/>
      <c r="E260" s="1"/>
      <c r="F260" s="1"/>
      <c r="G260" s="94"/>
      <c r="H260" s="94"/>
      <c r="I260" s="1"/>
      <c r="J260" s="1"/>
      <c r="K260" s="1"/>
      <c r="P260" s="50" t="s">
        <v>524</v>
      </c>
      <c r="Q260" s="88">
        <f>SUM(Q256:Q258)-Q259</f>
        <v>125955.07273590757</v>
      </c>
      <c r="R260" s="88">
        <f>SUM(R256:R258)-R259</f>
        <v>430968.94926409237</v>
      </c>
      <c r="S260" s="88">
        <f>SUM(S256:S258)-S259</f>
        <v>556924.022</v>
      </c>
    </row>
    <row r="261" spans="1:19" ht="30" customHeight="1" x14ac:dyDescent="0.35">
      <c r="A261" s="12" t="s">
        <v>533</v>
      </c>
      <c r="B261" s="1" t="s">
        <v>534</v>
      </c>
      <c r="D261" s="11"/>
      <c r="E261" s="1"/>
      <c r="F261" s="1"/>
      <c r="G261" s="94"/>
      <c r="H261" s="94"/>
      <c r="I261" s="1"/>
      <c r="J261" s="1"/>
      <c r="K261" s="1"/>
      <c r="Q261" s="87"/>
    </row>
    <row r="262" spans="1:19" ht="30" customHeight="1" x14ac:dyDescent="0.35">
      <c r="A262" s="12" t="s">
        <v>535</v>
      </c>
      <c r="B262" s="1" t="s">
        <v>536</v>
      </c>
      <c r="D262" s="11"/>
      <c r="E262" s="1"/>
      <c r="F262" s="1"/>
      <c r="G262" s="94"/>
      <c r="H262" s="94"/>
      <c r="I262" s="1"/>
      <c r="J262" s="1"/>
      <c r="K262" s="1"/>
      <c r="Q262" s="87"/>
    </row>
    <row r="263" spans="1:19" ht="30" customHeight="1" x14ac:dyDescent="0.35">
      <c r="P263" s="89" t="s">
        <v>516</v>
      </c>
      <c r="Q263" s="89" t="s">
        <v>522</v>
      </c>
      <c r="R263" s="89" t="s">
        <v>523</v>
      </c>
      <c r="S263" s="89" t="s">
        <v>524</v>
      </c>
    </row>
    <row r="264" spans="1:19" ht="30" customHeight="1" x14ac:dyDescent="0.35">
      <c r="P264" s="1" t="s">
        <v>195</v>
      </c>
      <c r="Q264" s="86">
        <f>SUMIFS($Q$12:$Q$245,$P$12:$P$245,$P$263,$K$12:$K$245,$P264)</f>
        <v>22028.637740485086</v>
      </c>
      <c r="R264" s="86">
        <f>SUMIFS($R$12:$R$245,$P$12:$P$245,$P$263,$K$12:$K$245,$P264)</f>
        <v>29139.922628134176</v>
      </c>
      <c r="S264" s="87">
        <f>+Q264+R264</f>
        <v>51168.560368619263</v>
      </c>
    </row>
    <row r="265" spans="1:19" ht="30" customHeight="1" x14ac:dyDescent="0.35">
      <c r="P265" s="1" t="s">
        <v>447</v>
      </c>
      <c r="Q265" s="86">
        <f>SUMIFS($Q$12:$Q$245,$P$12:$P$245,$P$263,$K$12:$K$245,$P265)</f>
        <v>110729.45387448237</v>
      </c>
      <c r="R265" s="86">
        <f>SUMIFS($R$12:$R$245,$P$12:$P$245,$P$263,$K$12:$K$245,$P265)</f>
        <v>132427.11440240001</v>
      </c>
      <c r="S265" s="87">
        <f>+Q265+R265</f>
        <v>243156.56827688238</v>
      </c>
    </row>
    <row r="266" spans="1:19" ht="30" customHeight="1" x14ac:dyDescent="0.35">
      <c r="P266" s="1" t="s">
        <v>84</v>
      </c>
      <c r="Q266" s="86">
        <f>SUMIFS($Q$12:$Q$245,$P$12:$P$245,$P$263,$K$12:$K$245,$P266)</f>
        <v>1132.2524823529411</v>
      </c>
      <c r="R266" s="86">
        <f>SUMIFS($R$12:$R$245,$P$12:$P$245,$P$263,$K$12:$K$245,$P266)</f>
        <v>35.264779411764707</v>
      </c>
      <c r="S266" s="87">
        <f>+Q266+R266</f>
        <v>1167.5172617647058</v>
      </c>
    </row>
    <row r="267" spans="1:19" ht="30" customHeight="1" x14ac:dyDescent="0.35">
      <c r="P267" s="1" t="s">
        <v>315</v>
      </c>
      <c r="Q267" s="86">
        <f>SUMIFS($Q$12:$Q$245,$P$12:$P$245,$P$263,$K$12:$K$245,$P267)</f>
        <v>4339.6944034117641</v>
      </c>
      <c r="R267" s="86">
        <f>SUMIFS($R$12:$R$245,$P$12:$P$245,$P$263,$K$12:$K$245,$P267)</f>
        <v>885.76001070588234</v>
      </c>
      <c r="S267" s="87">
        <f>+Q267+R267</f>
        <v>5225.4544141176466</v>
      </c>
    </row>
    <row r="268" spans="1:19" ht="30" customHeight="1" x14ac:dyDescent="0.35">
      <c r="P268" s="1" t="s">
        <v>525</v>
      </c>
      <c r="Q268" s="86">
        <f>SUMIFS($Q$12:$Q$245,$P$12:$P$245,$P$263,$O$12:$O$245,$P268)</f>
        <v>0</v>
      </c>
      <c r="R268" s="86">
        <f>SUMIFS($R$12:$R$245,$P$12:$P$245,$P$263,$O$12:$O$245,$P268)</f>
        <v>0</v>
      </c>
      <c r="S268" s="87">
        <f>+Q268+R268</f>
        <v>0</v>
      </c>
    </row>
    <row r="269" spans="1:19" ht="30" customHeight="1" x14ac:dyDescent="0.35">
      <c r="P269" s="50" t="s">
        <v>524</v>
      </c>
      <c r="Q269" s="88">
        <f>SUM(Q264:Q266)-Q268-Q267</f>
        <v>129550.64969390864</v>
      </c>
      <c r="R269" s="88">
        <f>SUM(R264:R266)-R268-R267</f>
        <v>160716.54179924005</v>
      </c>
      <c r="S269" s="88">
        <f>SUM(S264:S266)-S268-S267</f>
        <v>290267.19149314868</v>
      </c>
    </row>
    <row r="271" spans="1:19" ht="30" customHeight="1" x14ac:dyDescent="0.35">
      <c r="Q271" s="82" t="s">
        <v>518</v>
      </c>
    </row>
    <row r="272" spans="1:19" ht="30" customHeight="1" x14ac:dyDescent="0.35">
      <c r="Q272" s="83" t="s">
        <v>519</v>
      </c>
      <c r="R272" s="83" t="s">
        <v>520</v>
      </c>
      <c r="S272" s="83" t="s">
        <v>521</v>
      </c>
    </row>
    <row r="273" spans="4:19" ht="30" customHeight="1" x14ac:dyDescent="0.35">
      <c r="P273" s="84" t="s">
        <v>517</v>
      </c>
      <c r="Q273" s="85">
        <f>+Q260</f>
        <v>125955.07273590757</v>
      </c>
      <c r="R273" s="85">
        <f>127227671.84/1000</f>
        <v>127227.67184000001</v>
      </c>
      <c r="S273" s="85">
        <f>+Q273-R273</f>
        <v>-1272.5991040924418</v>
      </c>
    </row>
    <row r="274" spans="4:19" ht="30" customHeight="1" x14ac:dyDescent="0.35">
      <c r="P274" s="84" t="s">
        <v>516</v>
      </c>
      <c r="Q274" s="85">
        <f>+Q269</f>
        <v>129550.64969390864</v>
      </c>
      <c r="R274" s="85">
        <f>35226328.16/1000</f>
        <v>35226.328159999997</v>
      </c>
      <c r="S274" s="85">
        <f>+Q274-R274</f>
        <v>94324.321533908631</v>
      </c>
    </row>
    <row r="275" spans="4:19" ht="30" customHeight="1" x14ac:dyDescent="0.35">
      <c r="D275" s="97"/>
    </row>
    <row r="277" spans="4:19" ht="30" customHeight="1" x14ac:dyDescent="0.35">
      <c r="D277" s="96"/>
    </row>
    <row r="278" spans="4:19" ht="30" customHeight="1" x14ac:dyDescent="0.35">
      <c r="D278" s="109"/>
    </row>
    <row r="279" spans="4:19" ht="30" customHeight="1" x14ac:dyDescent="0.35">
      <c r="D279" s="116"/>
    </row>
    <row r="280" spans="4:19" ht="30" customHeight="1" x14ac:dyDescent="0.35">
      <c r="D280" s="116"/>
    </row>
    <row r="281" spans="4:19" ht="30" customHeight="1" x14ac:dyDescent="0.35">
      <c r="D281" s="116"/>
    </row>
    <row r="282" spans="4:19" ht="30" customHeight="1" x14ac:dyDescent="0.3">
      <c r="D282" s="122"/>
      <c r="E282" s="116"/>
      <c r="F282" s="123"/>
    </row>
    <row r="283" spans="4:19" ht="30" customHeight="1" x14ac:dyDescent="0.35">
      <c r="E283" s="96"/>
      <c r="F283" s="125"/>
    </row>
    <row r="284" spans="4:19" ht="30" customHeight="1" x14ac:dyDescent="0.35">
      <c r="E284" s="116"/>
      <c r="G284" s="55"/>
      <c r="H284" s="55"/>
    </row>
    <row r="285" spans="4:19" ht="30" customHeight="1" x14ac:dyDescent="0.35">
      <c r="E285" s="96"/>
      <c r="G285" s="55"/>
      <c r="H285" s="55"/>
    </row>
  </sheetData>
  <mergeCells count="10">
    <mergeCell ref="A249:B249"/>
    <mergeCell ref="A250:B250"/>
    <mergeCell ref="A253:B253"/>
    <mergeCell ref="B255:L255"/>
    <mergeCell ref="A2:M2"/>
    <mergeCell ref="A3:M3"/>
    <mergeCell ref="A4:M4"/>
    <mergeCell ref="A5:M5"/>
    <mergeCell ref="A6:M6"/>
    <mergeCell ref="A248:B248"/>
  </mergeCells>
  <printOptions horizontalCentered="1"/>
  <pageMargins left="0.23622047244094491" right="0.23622047244094491" top="0.15748031496062992" bottom="0.31496062992125984" header="0.31496062992125984" footer="0.11811023622047245"/>
  <pageSetup paperSize="9" scale="39" fitToHeight="11" orientation="landscape" copies="3" r:id="rId1"/>
  <headerFooter>
    <oddHeader>&amp;R&amp;"-,Negrito"&amp;8</oddHeader>
    <oddFooter>&amp;RPágina &amp;P</oddFooter>
  </headerFooter>
  <rowBreaks count="2" manualBreakCount="2">
    <brk id="127" max="12" man="1"/>
    <brk id="1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workbookViewId="0">
      <selection activeCell="J25" sqref="J25"/>
    </sheetView>
  </sheetViews>
  <sheetFormatPr defaultRowHeight="14.5" x14ac:dyDescent="0.35"/>
  <cols>
    <col min="8" max="8" width="13.26953125" bestFit="1" customWidth="1"/>
    <col min="10" max="10" width="10.54296875" bestFit="1" customWidth="1"/>
  </cols>
  <sheetData>
    <row r="1" spans="1:4" x14ac:dyDescent="0.35">
      <c r="A1">
        <v>209.12299999999999</v>
      </c>
      <c r="B1" s="128">
        <v>0</v>
      </c>
      <c r="C1" s="128">
        <v>1</v>
      </c>
      <c r="D1" s="129">
        <f>SUM(B1:C1)</f>
        <v>1</v>
      </c>
    </row>
    <row r="2" spans="1:4" x14ac:dyDescent="0.35">
      <c r="A2">
        <v>324.68</v>
      </c>
      <c r="B2" s="128">
        <v>0.76</v>
      </c>
      <c r="C2" s="128">
        <v>0.24</v>
      </c>
      <c r="D2" s="129">
        <f t="shared" ref="D2:D62" si="0">SUM(B2:C2)</f>
        <v>1</v>
      </c>
    </row>
    <row r="3" spans="1:4" x14ac:dyDescent="0.35">
      <c r="A3">
        <v>807.85</v>
      </c>
      <c r="B3" s="128">
        <v>0.04</v>
      </c>
      <c r="C3" s="128">
        <v>0.96</v>
      </c>
      <c r="D3" s="129">
        <f t="shared" si="0"/>
        <v>1</v>
      </c>
    </row>
    <row r="4" spans="1:4" x14ac:dyDescent="0.35">
      <c r="A4">
        <v>7738.852913996202</v>
      </c>
      <c r="B4" s="128">
        <v>0.12</v>
      </c>
      <c r="C4" s="128">
        <v>0.88</v>
      </c>
      <c r="D4" s="129">
        <f t="shared" si="0"/>
        <v>1</v>
      </c>
    </row>
    <row r="5" spans="1:4" x14ac:dyDescent="0.35">
      <c r="A5">
        <v>2633.49</v>
      </c>
      <c r="B5" s="128">
        <v>0.17</v>
      </c>
      <c r="C5" s="128">
        <v>0.83</v>
      </c>
      <c r="D5" s="129">
        <f t="shared" si="0"/>
        <v>1</v>
      </c>
    </row>
    <row r="6" spans="1:4" x14ac:dyDescent="0.35">
      <c r="A6">
        <v>3954.76</v>
      </c>
      <c r="B6" s="128">
        <v>0.4</v>
      </c>
      <c r="C6" s="128">
        <v>0.6</v>
      </c>
      <c r="D6" s="129">
        <f t="shared" si="0"/>
        <v>1</v>
      </c>
    </row>
    <row r="7" spans="1:4" x14ac:dyDescent="0.35">
      <c r="A7">
        <v>598.27</v>
      </c>
      <c r="B7" s="128">
        <v>1E-3</v>
      </c>
      <c r="C7" s="128">
        <v>0.999</v>
      </c>
      <c r="D7" s="129">
        <f t="shared" si="0"/>
        <v>1</v>
      </c>
    </row>
    <row r="8" spans="1:4" x14ac:dyDescent="0.35">
      <c r="A8">
        <v>1208.8599999999999</v>
      </c>
      <c r="B8" s="128">
        <v>0.4</v>
      </c>
      <c r="C8" s="128">
        <v>0.6</v>
      </c>
      <c r="D8" s="129">
        <f t="shared" si="0"/>
        <v>1</v>
      </c>
    </row>
    <row r="9" spans="1:4" x14ac:dyDescent="0.35">
      <c r="A9">
        <v>153.50800000000001</v>
      </c>
      <c r="B9" s="128">
        <v>0</v>
      </c>
      <c r="C9" s="128">
        <v>1</v>
      </c>
      <c r="D9" s="129">
        <f t="shared" si="0"/>
        <v>1</v>
      </c>
    </row>
    <row r="10" spans="1:4" x14ac:dyDescent="0.35">
      <c r="A10">
        <v>96520.172999999995</v>
      </c>
      <c r="B10" s="128">
        <v>0.46</v>
      </c>
      <c r="C10" s="128">
        <v>0</v>
      </c>
      <c r="D10" s="129">
        <f t="shared" si="0"/>
        <v>0.46</v>
      </c>
    </row>
    <row r="11" spans="1:4" x14ac:dyDescent="0.35">
      <c r="A11">
        <v>21.085000000000001</v>
      </c>
      <c r="B11" s="128">
        <v>1</v>
      </c>
      <c r="C11" s="128">
        <v>0</v>
      </c>
      <c r="D11" s="129">
        <f t="shared" si="0"/>
        <v>1</v>
      </c>
    </row>
    <row r="12" spans="1:4" x14ac:dyDescent="0.35">
      <c r="A12">
        <v>114925.08199999999</v>
      </c>
      <c r="B12" s="128">
        <v>0</v>
      </c>
      <c r="C12" s="128">
        <v>0.54</v>
      </c>
      <c r="D12" s="129">
        <f t="shared" si="0"/>
        <v>0.54</v>
      </c>
    </row>
    <row r="13" spans="1:4" x14ac:dyDescent="0.35">
      <c r="A13">
        <v>27.68</v>
      </c>
      <c r="B13" s="128">
        <v>1</v>
      </c>
      <c r="C13" s="128">
        <v>0</v>
      </c>
      <c r="D13" s="129">
        <f t="shared" si="0"/>
        <v>1</v>
      </c>
    </row>
    <row r="14" spans="1:4" x14ac:dyDescent="0.35">
      <c r="A14">
        <v>2092.4380000000001</v>
      </c>
      <c r="B14" s="128">
        <v>0.05</v>
      </c>
      <c r="C14" s="128">
        <v>0.95</v>
      </c>
      <c r="D14" s="129">
        <f t="shared" si="0"/>
        <v>1</v>
      </c>
    </row>
    <row r="15" spans="1:4" x14ac:dyDescent="0.35">
      <c r="A15">
        <v>5221.5510000000004</v>
      </c>
      <c r="B15" s="128">
        <v>0.38</v>
      </c>
      <c r="C15" s="128">
        <v>0.62</v>
      </c>
      <c r="D15" s="129">
        <f t="shared" si="0"/>
        <v>1</v>
      </c>
    </row>
    <row r="16" spans="1:4" x14ac:dyDescent="0.35">
      <c r="A16">
        <v>590.79</v>
      </c>
      <c r="B16" s="128">
        <v>0</v>
      </c>
      <c r="C16" s="128">
        <v>1</v>
      </c>
      <c r="D16" s="129">
        <f t="shared" si="0"/>
        <v>1</v>
      </c>
    </row>
    <row r="17" spans="1:10" x14ac:dyDescent="0.35">
      <c r="A17">
        <v>124.788</v>
      </c>
      <c r="B17" s="128">
        <v>0</v>
      </c>
      <c r="C17" s="128">
        <v>1</v>
      </c>
      <c r="D17" s="129">
        <f t="shared" si="0"/>
        <v>1</v>
      </c>
      <c r="J17" s="135"/>
    </row>
    <row r="18" spans="1:10" x14ac:dyDescent="0.35">
      <c r="A18">
        <v>87.125</v>
      </c>
      <c r="B18" s="128">
        <v>0</v>
      </c>
      <c r="C18" s="128">
        <v>1</v>
      </c>
      <c r="D18" s="129">
        <f t="shared" si="0"/>
        <v>1</v>
      </c>
      <c r="J18" s="135"/>
    </row>
    <row r="19" spans="1:10" x14ac:dyDescent="0.35">
      <c r="A19">
        <v>1059.8699999999999</v>
      </c>
      <c r="B19" s="128">
        <v>0</v>
      </c>
      <c r="C19" s="128">
        <v>1</v>
      </c>
      <c r="D19" s="129">
        <f t="shared" si="0"/>
        <v>1</v>
      </c>
      <c r="J19" s="135"/>
    </row>
    <row r="20" spans="1:10" x14ac:dyDescent="0.35">
      <c r="A20">
        <v>1353.723</v>
      </c>
      <c r="B20" s="128">
        <v>0</v>
      </c>
      <c r="C20" s="128">
        <v>1</v>
      </c>
      <c r="D20" s="129">
        <f t="shared" si="0"/>
        <v>1</v>
      </c>
      <c r="J20" s="135"/>
    </row>
    <row r="21" spans="1:10" x14ac:dyDescent="0.35">
      <c r="A21">
        <v>912.72499999999991</v>
      </c>
      <c r="B21" s="128">
        <v>0</v>
      </c>
      <c r="C21" s="128">
        <v>1</v>
      </c>
      <c r="D21" s="129">
        <f t="shared" si="0"/>
        <v>1</v>
      </c>
    </row>
    <row r="22" spans="1:10" x14ac:dyDescent="0.35">
      <c r="A22">
        <v>4217.933</v>
      </c>
      <c r="B22" s="128">
        <v>7.0000000000000007E-2</v>
      </c>
      <c r="C22" s="128">
        <v>0.93</v>
      </c>
      <c r="D22" s="129">
        <f t="shared" si="0"/>
        <v>1</v>
      </c>
    </row>
    <row r="23" spans="1:10" x14ac:dyDescent="0.35">
      <c r="A23">
        <v>25.629000000000001</v>
      </c>
      <c r="B23" s="128">
        <v>0</v>
      </c>
      <c r="C23" s="128">
        <v>1</v>
      </c>
      <c r="D23" s="129">
        <f t="shared" si="0"/>
        <v>1</v>
      </c>
    </row>
    <row r="24" spans="1:10" x14ac:dyDescent="0.35">
      <c r="A24">
        <v>4.3860000000000001</v>
      </c>
      <c r="B24" s="128">
        <v>0</v>
      </c>
      <c r="C24" s="128">
        <v>1</v>
      </c>
      <c r="D24" s="129">
        <f t="shared" si="0"/>
        <v>1</v>
      </c>
    </row>
    <row r="25" spans="1:10" x14ac:dyDescent="0.35">
      <c r="A25">
        <v>218.51</v>
      </c>
      <c r="B25" s="128">
        <v>0</v>
      </c>
      <c r="C25" s="128">
        <v>1</v>
      </c>
      <c r="D25" s="129">
        <f t="shared" si="0"/>
        <v>1</v>
      </c>
    </row>
    <row r="26" spans="1:10" x14ac:dyDescent="0.35">
      <c r="A26">
        <v>91.97</v>
      </c>
      <c r="B26" s="128">
        <v>0.12</v>
      </c>
      <c r="C26" s="128">
        <v>0.88</v>
      </c>
      <c r="D26" s="129">
        <f t="shared" si="0"/>
        <v>1</v>
      </c>
    </row>
    <row r="27" spans="1:10" x14ac:dyDescent="0.35">
      <c r="A27">
        <v>48.07</v>
      </c>
      <c r="B27" s="128">
        <v>0</v>
      </c>
      <c r="C27" s="128">
        <v>1</v>
      </c>
      <c r="D27" s="129">
        <f t="shared" si="0"/>
        <v>1</v>
      </c>
    </row>
    <row r="28" spans="1:10" x14ac:dyDescent="0.35">
      <c r="A28">
        <v>368</v>
      </c>
      <c r="B28" s="128">
        <v>0</v>
      </c>
      <c r="C28" s="128">
        <v>1</v>
      </c>
      <c r="D28" s="129">
        <f t="shared" si="0"/>
        <v>1</v>
      </c>
    </row>
    <row r="29" spans="1:10" x14ac:dyDescent="0.35">
      <c r="A29">
        <v>521.34</v>
      </c>
      <c r="B29" s="128">
        <v>0</v>
      </c>
      <c r="C29" s="128">
        <v>1</v>
      </c>
      <c r="D29" s="129">
        <f t="shared" si="0"/>
        <v>1</v>
      </c>
    </row>
    <row r="30" spans="1:10" x14ac:dyDescent="0.35">
      <c r="A30">
        <v>103</v>
      </c>
      <c r="B30" s="128">
        <v>0</v>
      </c>
      <c r="C30" s="128">
        <v>1</v>
      </c>
      <c r="D30" s="129">
        <f t="shared" si="0"/>
        <v>1</v>
      </c>
    </row>
    <row r="31" spans="1:10" x14ac:dyDescent="0.35">
      <c r="A31">
        <v>66</v>
      </c>
      <c r="B31" s="128">
        <v>0</v>
      </c>
      <c r="C31" s="128">
        <v>1</v>
      </c>
      <c r="D31" s="129">
        <f t="shared" si="0"/>
        <v>1</v>
      </c>
    </row>
    <row r="32" spans="1:10" x14ac:dyDescent="0.35">
      <c r="A32">
        <v>105.21</v>
      </c>
      <c r="B32" s="128">
        <v>0</v>
      </c>
      <c r="C32" s="128">
        <v>1</v>
      </c>
      <c r="D32" s="129">
        <f t="shared" si="0"/>
        <v>1</v>
      </c>
    </row>
    <row r="33" spans="1:4" x14ac:dyDescent="0.35">
      <c r="A33">
        <v>426.35</v>
      </c>
      <c r="B33" s="128">
        <v>0.5</v>
      </c>
      <c r="C33" s="128">
        <v>0.5</v>
      </c>
      <c r="D33" s="129">
        <f t="shared" si="0"/>
        <v>1</v>
      </c>
    </row>
    <row r="34" spans="1:4" x14ac:dyDescent="0.35">
      <c r="A34">
        <v>19.95</v>
      </c>
      <c r="B34" s="128">
        <v>0</v>
      </c>
      <c r="C34" s="128">
        <v>1</v>
      </c>
      <c r="D34" s="129">
        <f t="shared" si="0"/>
        <v>1</v>
      </c>
    </row>
    <row r="35" spans="1:4" x14ac:dyDescent="0.35">
      <c r="A35">
        <v>176.89707000000001</v>
      </c>
      <c r="B35" s="128">
        <v>0</v>
      </c>
      <c r="C35" s="128">
        <v>1</v>
      </c>
      <c r="D35" s="129">
        <f t="shared" si="0"/>
        <v>1</v>
      </c>
    </row>
    <row r="36" spans="1:4" x14ac:dyDescent="0.35">
      <c r="A36">
        <v>27.678450000000002</v>
      </c>
      <c r="B36" s="128">
        <v>1</v>
      </c>
      <c r="C36" s="128">
        <v>0</v>
      </c>
      <c r="D36" s="129">
        <f t="shared" si="0"/>
        <v>1</v>
      </c>
    </row>
    <row r="37" spans="1:4" x14ac:dyDescent="0.35">
      <c r="A37">
        <v>21.81</v>
      </c>
      <c r="B37" s="128">
        <v>0.75</v>
      </c>
      <c r="C37" s="128">
        <v>0.25</v>
      </c>
      <c r="D37" s="129">
        <f t="shared" si="0"/>
        <v>1</v>
      </c>
    </row>
    <row r="38" spans="1:4" x14ac:dyDescent="0.35">
      <c r="A38">
        <v>6.4</v>
      </c>
      <c r="B38" s="128">
        <v>0</v>
      </c>
      <c r="C38" s="128">
        <v>1</v>
      </c>
      <c r="D38" s="129">
        <f t="shared" si="0"/>
        <v>1</v>
      </c>
    </row>
    <row r="39" spans="1:4" x14ac:dyDescent="0.35">
      <c r="A39">
        <v>209.24</v>
      </c>
      <c r="B39" s="128">
        <v>1</v>
      </c>
      <c r="C39" s="128">
        <v>0</v>
      </c>
      <c r="D39" s="129">
        <f t="shared" si="0"/>
        <v>1</v>
      </c>
    </row>
    <row r="40" spans="1:4" x14ac:dyDescent="0.35">
      <c r="A40">
        <v>149.07</v>
      </c>
      <c r="B40" s="128">
        <v>0</v>
      </c>
      <c r="C40" s="128">
        <v>1</v>
      </c>
      <c r="D40" s="129">
        <f t="shared" si="0"/>
        <v>1</v>
      </c>
    </row>
    <row r="41" spans="1:4" x14ac:dyDescent="0.35">
      <c r="A41">
        <v>13.18</v>
      </c>
      <c r="B41" s="128">
        <v>1</v>
      </c>
      <c r="C41" s="128">
        <v>0</v>
      </c>
      <c r="D41" s="129">
        <f t="shared" si="0"/>
        <v>1</v>
      </c>
    </row>
    <row r="42" spans="1:4" x14ac:dyDescent="0.35">
      <c r="A42">
        <v>1547.7098141176471</v>
      </c>
      <c r="B42" s="128">
        <v>0.49</v>
      </c>
      <c r="C42" s="128">
        <v>0.51</v>
      </c>
      <c r="D42" s="129">
        <f t="shared" si="0"/>
        <v>1</v>
      </c>
    </row>
    <row r="43" spans="1:4" x14ac:dyDescent="0.35">
      <c r="A43">
        <v>28.34</v>
      </c>
      <c r="B43" s="128">
        <v>1</v>
      </c>
      <c r="C43" s="128">
        <v>0</v>
      </c>
      <c r="D43" s="129">
        <f t="shared" si="0"/>
        <v>1</v>
      </c>
    </row>
    <row r="44" spans="1:4" x14ac:dyDescent="0.35">
      <c r="A44">
        <v>126.47</v>
      </c>
      <c r="B44" s="128">
        <v>1</v>
      </c>
      <c r="C44" s="128">
        <v>0</v>
      </c>
      <c r="D44" s="129">
        <f t="shared" si="0"/>
        <v>1</v>
      </c>
    </row>
    <row r="45" spans="1:4" x14ac:dyDescent="0.35">
      <c r="A45">
        <v>97</v>
      </c>
      <c r="B45" s="128">
        <v>1</v>
      </c>
      <c r="C45" s="128">
        <v>0</v>
      </c>
      <c r="D45" s="129">
        <f t="shared" si="0"/>
        <v>1</v>
      </c>
    </row>
    <row r="46" spans="1:4" x14ac:dyDescent="0.35">
      <c r="A46">
        <v>274.38299999999998</v>
      </c>
      <c r="B46" s="128">
        <v>0.55000000000000004</v>
      </c>
      <c r="C46" s="128">
        <v>0.45</v>
      </c>
      <c r="D46" s="129">
        <f t="shared" si="0"/>
        <v>1</v>
      </c>
    </row>
    <row r="47" spans="1:4" x14ac:dyDescent="0.35">
      <c r="A47">
        <v>175.13</v>
      </c>
      <c r="B47" s="128">
        <v>0.78</v>
      </c>
      <c r="C47" s="128">
        <v>0.22</v>
      </c>
      <c r="D47" s="129">
        <f t="shared" si="0"/>
        <v>1</v>
      </c>
    </row>
    <row r="48" spans="1:4" x14ac:dyDescent="0.35">
      <c r="A48">
        <v>298.18</v>
      </c>
      <c r="B48" s="128">
        <v>0.68</v>
      </c>
      <c r="C48" s="128">
        <v>0.32</v>
      </c>
      <c r="D48" s="129">
        <f t="shared" si="0"/>
        <v>1</v>
      </c>
    </row>
    <row r="49" spans="1:4" x14ac:dyDescent="0.35">
      <c r="A49">
        <v>128.65</v>
      </c>
      <c r="B49" s="128">
        <v>0.75</v>
      </c>
      <c r="C49" s="128">
        <v>0.25</v>
      </c>
      <c r="D49" s="129">
        <f t="shared" si="0"/>
        <v>1</v>
      </c>
    </row>
    <row r="50" spans="1:4" x14ac:dyDescent="0.35">
      <c r="A50">
        <v>92.46</v>
      </c>
      <c r="B50" s="128">
        <v>0</v>
      </c>
      <c r="C50" s="128">
        <v>1</v>
      </c>
      <c r="D50" s="129">
        <f t="shared" si="0"/>
        <v>1</v>
      </c>
    </row>
    <row r="51" spans="1:4" x14ac:dyDescent="0.35">
      <c r="A51">
        <v>41.505047058823536</v>
      </c>
      <c r="B51" s="128">
        <v>1</v>
      </c>
      <c r="C51" s="128">
        <v>0</v>
      </c>
      <c r="D51" s="129">
        <f t="shared" si="0"/>
        <v>1</v>
      </c>
    </row>
    <row r="52" spans="1:4" x14ac:dyDescent="0.35">
      <c r="A52">
        <v>102.94</v>
      </c>
      <c r="B52" s="128">
        <v>1</v>
      </c>
      <c r="C52" s="128">
        <v>0</v>
      </c>
      <c r="D52" s="129">
        <f t="shared" si="0"/>
        <v>1</v>
      </c>
    </row>
    <row r="53" spans="1:4" x14ac:dyDescent="0.35">
      <c r="A53">
        <v>120.59</v>
      </c>
      <c r="B53" s="128">
        <v>1</v>
      </c>
      <c r="C53" s="128">
        <v>0</v>
      </c>
      <c r="D53" s="129">
        <f t="shared" si="0"/>
        <v>1</v>
      </c>
    </row>
    <row r="54" spans="1:4" x14ac:dyDescent="0.35">
      <c r="A54">
        <v>96.47</v>
      </c>
      <c r="B54" s="128">
        <v>1</v>
      </c>
      <c r="C54" s="128">
        <v>0</v>
      </c>
      <c r="D54" s="129">
        <f t="shared" si="0"/>
        <v>1</v>
      </c>
    </row>
    <row r="55" spans="1:4" x14ac:dyDescent="0.35">
      <c r="A55">
        <v>112.15</v>
      </c>
      <c r="B55" s="128">
        <v>1</v>
      </c>
      <c r="C55" s="128">
        <v>0</v>
      </c>
      <c r="D55" s="129">
        <f t="shared" si="0"/>
        <v>1</v>
      </c>
    </row>
    <row r="56" spans="1:4" x14ac:dyDescent="0.35">
      <c r="A56">
        <v>19.12</v>
      </c>
      <c r="B56" s="128">
        <v>1</v>
      </c>
      <c r="C56" s="128">
        <v>0</v>
      </c>
      <c r="D56" s="129">
        <f t="shared" si="0"/>
        <v>1</v>
      </c>
    </row>
    <row r="57" spans="1:4" x14ac:dyDescent="0.35">
      <c r="A57">
        <v>40.659999999999997</v>
      </c>
      <c r="B57" s="128">
        <v>1</v>
      </c>
      <c r="C57" s="128">
        <v>0</v>
      </c>
      <c r="D57" s="129">
        <f t="shared" si="0"/>
        <v>1</v>
      </c>
    </row>
    <row r="58" spans="1:4" x14ac:dyDescent="0.35">
      <c r="A58">
        <v>184.96852941176471</v>
      </c>
      <c r="B58" s="128">
        <v>0</v>
      </c>
      <c r="C58" s="128">
        <v>1</v>
      </c>
      <c r="D58" s="129">
        <f t="shared" si="0"/>
        <v>1</v>
      </c>
    </row>
    <row r="59" spans="1:4" x14ac:dyDescent="0.35">
      <c r="A59">
        <v>43.57</v>
      </c>
      <c r="B59" s="128">
        <v>0</v>
      </c>
      <c r="C59" s="128">
        <v>1</v>
      </c>
      <c r="D59" s="129">
        <f t="shared" si="0"/>
        <v>1</v>
      </c>
    </row>
    <row r="60" spans="1:4" x14ac:dyDescent="0.35">
      <c r="A60">
        <v>205.88235294117646</v>
      </c>
      <c r="B60" s="128">
        <v>1</v>
      </c>
      <c r="C60" s="128">
        <v>0</v>
      </c>
      <c r="D60" s="129">
        <f t="shared" si="0"/>
        <v>1</v>
      </c>
    </row>
    <row r="61" spans="1:4" x14ac:dyDescent="0.35">
      <c r="A61">
        <v>340.72</v>
      </c>
      <c r="B61" s="128">
        <v>1</v>
      </c>
      <c r="C61" s="128">
        <v>0</v>
      </c>
      <c r="D61" s="129">
        <f t="shared" si="0"/>
        <v>1</v>
      </c>
    </row>
    <row r="62" spans="1:4" x14ac:dyDescent="0.35">
      <c r="A62">
        <v>448.66591764705879</v>
      </c>
      <c r="B62" s="128">
        <v>0.4</v>
      </c>
      <c r="C62" s="128">
        <v>0.6</v>
      </c>
      <c r="D62" s="129">
        <f t="shared" si="0"/>
        <v>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9344D9C47F9E54D841BE7B5ED081E83" ma:contentTypeVersion="3407" ma:contentTypeDescription="A content type to manage public (operations) IDB documents" ma:contentTypeScope="" ma:versionID="560850a0c0c6c7e91b9b15ada114423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c1c9d5a498e6bb3cbc66a8a4d70c85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4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2376/OC-BR;</Approval_x0020_Number>
    <Phase xmlns="cdc7663a-08f0-4737-9e8c-148ce897a09c">ACTIVE</Phase>
    <Document_x0020_Author xmlns="cdc7663a-08f0-4737-9e8c-148ce897a09c">Gomes,Higor Seiberlich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MANAGEMENT AND GOVERNANCE</TermName>
          <TermId xmlns="http://schemas.microsoft.com/office/infopath/2007/PartnerControls">122c4743-25d1-443d-9cb4-bfdd32f28b6d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30</Value>
      <Value>3</Value>
      <Value>58</Value>
      <Value>45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BR-L1241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>R0002929995</Record_x0020_Number>
    <_dlc_DocId xmlns="cdc7663a-08f0-4737-9e8c-148ce897a09c">EZSHARE-2044623896-44</_dlc_DocId>
    <_dlc_DocIdUrl xmlns="cdc7663a-08f0-4737-9e8c-148ce897a09c">
      <Url>https://idbg.sharepoint.com/teams/EZ-BR-LON/BR-L1241/_layouts/15/DocIdRedir.aspx?ID=EZSHARE-2044623896-44</Url>
      <Description>EZSHARE-2044623896-44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E321B624-F73E-49B2-A150-93CD479B9C6F}"/>
</file>

<file path=customXml/itemProps2.xml><?xml version="1.0" encoding="utf-8"?>
<ds:datastoreItem xmlns:ds="http://schemas.openxmlformats.org/officeDocument/2006/customXml" ds:itemID="{BB6920C3-E761-4D6D-A539-693C7D14A4F3}"/>
</file>

<file path=customXml/itemProps3.xml><?xml version="1.0" encoding="utf-8"?>
<ds:datastoreItem xmlns:ds="http://schemas.openxmlformats.org/officeDocument/2006/customXml" ds:itemID="{29FA716C-0439-48D3-88F8-53D32D5FEB95}"/>
</file>

<file path=customXml/itemProps4.xml><?xml version="1.0" encoding="utf-8"?>
<ds:datastoreItem xmlns:ds="http://schemas.openxmlformats.org/officeDocument/2006/customXml" ds:itemID="{F14C5E81-86E5-44ED-B8F6-1C28FC346A89}"/>
</file>

<file path=customXml/itemProps5.xml><?xml version="1.0" encoding="utf-8"?>
<ds:datastoreItem xmlns:ds="http://schemas.openxmlformats.org/officeDocument/2006/customXml" ds:itemID="{5C3AB1A4-915E-4A80-9BAA-33AA9A5D3E9C}"/>
</file>

<file path=customXml/itemProps6.xml><?xml version="1.0" encoding="utf-8"?>
<ds:datastoreItem xmlns:ds="http://schemas.openxmlformats.org/officeDocument/2006/customXml" ds:itemID="{3C0067D5-49CD-4807-8A86-2EF81847E777}"/>
</file>

<file path=customXml/itemProps7.xml><?xml version="1.0" encoding="utf-8"?>
<ds:datastoreItem xmlns:ds="http://schemas.openxmlformats.org/officeDocument/2006/customXml" ds:itemID="{1F381D70-6DEC-489F-B0F6-5092AD15F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</vt:lpstr>
      <vt:lpstr>Plan1</vt:lpstr>
      <vt:lpstr>PA!Area_de_impressao</vt:lpstr>
      <vt:lpstr>PA!Titulos_de_impressao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Apendice 1 do Plano de Aquisições</dc:title>
  <dc:creator>BID</dc:creator>
  <cp:keywords/>
  <cp:lastModifiedBy>Gomes, Higor Seiberlich</cp:lastModifiedBy>
  <cp:lastPrinted>2019-02-18T18:29:27Z</cp:lastPrinted>
  <dcterms:created xsi:type="dcterms:W3CDTF">2010-07-15T18:22:38Z</dcterms:created>
  <dcterms:modified xsi:type="dcterms:W3CDTF">2019-04-08T15:15:07Z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58;#ENVIRONMENTAL MANAGEMENT AND GOVERNANCE|122c4743-25d1-443d-9cb4-bfdd32f28b6d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45;#ENVIRONMENT AND NATURAL DISASTERS|261e2b33-090b-4ab0-8e06-3aa3e7f32d57</vt:lpwstr>
  </property>
  <property fmtid="{D5CDD505-2E9C-101B-9397-08002B2CF9AE}" pid="10" name="Function Operations IDB">
    <vt:lpwstr>3;#Project Administration|751f71fd-1433-4702-a2db-ff12a4e45594</vt:lpwstr>
  </property>
  <property fmtid="{D5CDD505-2E9C-101B-9397-08002B2CF9AE}" pid="11" name="_dlc_DocIdItemGuid">
    <vt:lpwstr>df8230c5-6200-41dd-965d-798c3c207d2a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0x0101001A458A224826124E8B45B1D613300CFC00A9344D9C47F9E54D841BE7B5ED081E83</vt:lpwstr>
  </property>
</Properties>
</file>