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https://idbg.sharepoint.com/teams/EZ-EC-LON/EC-L1242/15 LifeCycle Milestones/"/>
    </mc:Choice>
  </mc:AlternateContent>
  <xr:revisionPtr revIDLastSave="25" documentId="13_ncr:1_{252F9AD2-DDB3-4ECE-9567-9425479AFEC5}" xr6:coauthVersionLast="40" xr6:coauthVersionMax="41" xr10:uidLastSave="{9227EFD5-7AC4-4CFC-BFB9-2240F8E7BF7B}"/>
  <bookViews>
    <workbookView xWindow="0" yWindow="0" windowWidth="16185" windowHeight="7155" tabRatio="819" firstSheet="1" activeTab="2" xr2:uid="{00000000-000D-0000-FFFF-FFFF00000000}"/>
  </bookViews>
  <sheets>
    <sheet name="Summary (I, II, III) " sheetId="6" r:id="rId1"/>
    <sheet name="Resumen (I, II, III)" sheetId="9" r:id="rId2"/>
    <sheet name="Summary (I, III)  (PBL)" sheetId="18" r:id="rId3"/>
    <sheet name="Resumen (I, III) (PBL)" sheetId="19" r:id="rId4"/>
    <sheet name="DEM (Strategic Priorities)" sheetId="5" r:id="rId5"/>
    <sheet name="Prioridades Estrategicas" sheetId="14" state="hidden" r:id="rId6"/>
    <sheet name="DEM (Evaluability)" sheetId="7" r:id="rId7"/>
    <sheet name="DEM ( Risk)" sheetId="8" r:id="rId8"/>
    <sheet name="DEM (Additionality)" sheetId="11" r:id="rId9"/>
    <sheet name="Adicionalidad" sheetId="15" state="hidden" r:id="rId10"/>
    <sheet name="Listas desplegables" sheetId="12" state="hidden" r:id="rId11"/>
    <sheet name="Jerarquia" sheetId="13" state="hidden" r:id="rId12"/>
  </sheets>
  <definedNames>
    <definedName name="OLE_LINK5" localSheetId="9">Adicionalidad!#REF!</definedName>
    <definedName name="OLE_LINK5" localSheetId="7">'DEM ( Risk)'!#REF!</definedName>
    <definedName name="OLE_LINK5" localSheetId="8">'DEM (Additionality)'!#REF!</definedName>
    <definedName name="OLE_LINK5" localSheetId="6">'DEM (Evaluability)'!#REF!</definedName>
    <definedName name="OLE_LINK5" localSheetId="4">'DEM (Strategic Priorities)'!#REF!</definedName>
    <definedName name="OLE_LINK5" localSheetId="5">'Prioridades Estrategicas'!#REF!</definedName>
    <definedName name="_xlnm.Print_Area" localSheetId="6">'DEM (Evaluability)'!$A$1:$S$83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6" l="1"/>
  <c r="D15" i="5"/>
  <c r="F15" i="5" s="1"/>
  <c r="G15" i="5" s="1"/>
  <c r="C33" i="19"/>
  <c r="B33" i="19"/>
  <c r="B26" i="19"/>
  <c r="B25" i="19"/>
  <c r="B24" i="19"/>
  <c r="C10" i="19"/>
  <c r="B10" i="19"/>
  <c r="B9" i="19"/>
  <c r="B33" i="18"/>
  <c r="B27" i="18"/>
  <c r="B26" i="18"/>
  <c r="B25" i="18"/>
  <c r="B24" i="18"/>
  <c r="B23" i="18"/>
  <c r="C10" i="18"/>
  <c r="B10" i="18"/>
  <c r="B9" i="18"/>
  <c r="B8" i="18"/>
  <c r="B10" i="6"/>
  <c r="C10" i="9"/>
  <c r="C10" i="6"/>
  <c r="F22" i="7"/>
  <c r="G22" i="7" s="1"/>
  <c r="H19" i="7" s="1"/>
  <c r="H23" i="7" s="1"/>
  <c r="D18" i="5"/>
  <c r="F40" i="7"/>
  <c r="G21" i="7"/>
  <c r="G20" i="7"/>
  <c r="E72" i="14"/>
  <c r="F72" i="14" s="1"/>
  <c r="G72" i="14" s="1"/>
  <c r="D72" i="14"/>
  <c r="E71" i="14"/>
  <c r="I71" i="14" s="1"/>
  <c r="D71" i="14"/>
  <c r="E70" i="14"/>
  <c r="I70" i="14" s="1"/>
  <c r="D70" i="14"/>
  <c r="E69" i="14"/>
  <c r="I69" i="14"/>
  <c r="D69" i="14"/>
  <c r="E68" i="14"/>
  <c r="F68" i="14" s="1"/>
  <c r="G68" i="14" s="1"/>
  <c r="H68" i="14" s="1"/>
  <c r="D68" i="14"/>
  <c r="E63" i="14"/>
  <c r="I63" i="14"/>
  <c r="D63" i="14"/>
  <c r="E60" i="14"/>
  <c r="F60" i="14" s="1"/>
  <c r="G60" i="14" s="1"/>
  <c r="D60" i="14"/>
  <c r="F23" i="7"/>
  <c r="G23" i="7"/>
  <c r="F63" i="14"/>
  <c r="G63" i="14"/>
  <c r="F11" i="5"/>
  <c r="G89" i="7"/>
  <c r="G91" i="7"/>
  <c r="G82" i="7"/>
  <c r="G75" i="7"/>
  <c r="G70" i="7"/>
  <c r="G71" i="7"/>
  <c r="G69" i="7" s="1"/>
  <c r="G72" i="7"/>
  <c r="G73" i="7"/>
  <c r="G74" i="7"/>
  <c r="G32" i="7"/>
  <c r="I77" i="5"/>
  <c r="F77" i="5"/>
  <c r="G77" i="5"/>
  <c r="H77" i="5"/>
  <c r="I76" i="5"/>
  <c r="F76" i="5"/>
  <c r="G76" i="5"/>
  <c r="I75" i="5"/>
  <c r="F75" i="5"/>
  <c r="G75" i="5"/>
  <c r="I74" i="5"/>
  <c r="F74" i="5"/>
  <c r="G74" i="5" s="1"/>
  <c r="I73" i="5"/>
  <c r="F73" i="5"/>
  <c r="G73" i="5"/>
  <c r="H73" i="5" s="1"/>
  <c r="I68" i="5"/>
  <c r="F68" i="5"/>
  <c r="G68" i="5"/>
  <c r="I65" i="5"/>
  <c r="F65" i="5"/>
  <c r="G65" i="5"/>
  <c r="G58" i="7"/>
  <c r="G57" i="7"/>
  <c r="G94" i="7"/>
  <c r="G93" i="7"/>
  <c r="G92" i="7"/>
  <c r="G88" i="7"/>
  <c r="G87" i="7"/>
  <c r="G86" i="7"/>
  <c r="G85" i="7"/>
  <c r="G84" i="7" s="1"/>
  <c r="C38" i="9"/>
  <c r="G13" i="7"/>
  <c r="G14" i="7"/>
  <c r="G15" i="7"/>
  <c r="G16" i="7"/>
  <c r="G17" i="7"/>
  <c r="G18" i="7"/>
  <c r="G26" i="7"/>
  <c r="G25" i="7" s="1"/>
  <c r="G31" i="7"/>
  <c r="G33" i="7"/>
  <c r="G35" i="7"/>
  <c r="G36" i="7"/>
  <c r="G37" i="7"/>
  <c r="G42" i="7"/>
  <c r="G43" i="7"/>
  <c r="G44" i="7"/>
  <c r="G45" i="7"/>
  <c r="G46" i="7"/>
  <c r="G49" i="7"/>
  <c r="G50" i="7"/>
  <c r="G51" i="7"/>
  <c r="G52" i="7"/>
  <c r="G53" i="7"/>
  <c r="G56" i="7"/>
  <c r="G59" i="7"/>
  <c r="G60" i="7"/>
  <c r="G77" i="7"/>
  <c r="G78" i="7"/>
  <c r="G79" i="7"/>
  <c r="G80" i="7"/>
  <c r="D44" i="14"/>
  <c r="E44" i="14"/>
  <c r="F44" i="14"/>
  <c r="G44" i="14"/>
  <c r="H44" i="14" s="1"/>
  <c r="D45" i="14"/>
  <c r="E45" i="14"/>
  <c r="F45" i="14"/>
  <c r="G45" i="14" s="1"/>
  <c r="D46" i="14"/>
  <c r="E46" i="14"/>
  <c r="I46" i="14"/>
  <c r="D47" i="14"/>
  <c r="E47" i="14"/>
  <c r="F47" i="14"/>
  <c r="G47" i="14"/>
  <c r="D48" i="14"/>
  <c r="E48" i="14"/>
  <c r="F48" i="14"/>
  <c r="G48" i="14"/>
  <c r="J48" i="14" s="1"/>
  <c r="D49" i="14"/>
  <c r="E49" i="14"/>
  <c r="D50" i="14"/>
  <c r="E50" i="14"/>
  <c r="I50" i="14" s="1"/>
  <c r="D51" i="14"/>
  <c r="E51" i="14"/>
  <c r="F51" i="14" s="1"/>
  <c r="G51" i="14" s="1"/>
  <c r="D52" i="14"/>
  <c r="E52" i="14"/>
  <c r="I52" i="14" s="1"/>
  <c r="D53" i="14"/>
  <c r="E53" i="14"/>
  <c r="F53" i="14"/>
  <c r="G53" i="14" s="1"/>
  <c r="J53" i="14" s="1"/>
  <c r="D54" i="14"/>
  <c r="E54" i="14"/>
  <c r="D55" i="14"/>
  <c r="E55" i="14"/>
  <c r="F55" i="14" s="1"/>
  <c r="G55" i="14" s="1"/>
  <c r="H55" i="14" s="1"/>
  <c r="D56" i="14"/>
  <c r="E56" i="14"/>
  <c r="D57" i="14"/>
  <c r="E57" i="14"/>
  <c r="D58" i="14"/>
  <c r="E58" i="14"/>
  <c r="F58" i="14" s="1"/>
  <c r="G58" i="14" s="1"/>
  <c r="D59" i="14"/>
  <c r="E59" i="14"/>
  <c r="F59" i="14" s="1"/>
  <c r="G59" i="14" s="1"/>
  <c r="H59" i="14" s="1"/>
  <c r="D61" i="14"/>
  <c r="E61" i="14"/>
  <c r="I61" i="14" s="1"/>
  <c r="D62" i="14"/>
  <c r="E62" i="14"/>
  <c r="D64" i="14"/>
  <c r="E64" i="14"/>
  <c r="I64" i="14"/>
  <c r="D65" i="14"/>
  <c r="E65" i="14"/>
  <c r="I65" i="14" s="1"/>
  <c r="D66" i="14"/>
  <c r="E66" i="14"/>
  <c r="D67" i="14"/>
  <c r="E67" i="14"/>
  <c r="F67" i="14"/>
  <c r="G67" i="14"/>
  <c r="J67" i="14" s="1"/>
  <c r="D73" i="14"/>
  <c r="E73" i="14"/>
  <c r="I73" i="14"/>
  <c r="I49" i="5"/>
  <c r="I50" i="5"/>
  <c r="I51" i="5"/>
  <c r="I52" i="5"/>
  <c r="I53" i="5"/>
  <c r="I54" i="5"/>
  <c r="I55" i="5"/>
  <c r="I56" i="5"/>
  <c r="I57" i="5"/>
  <c r="I58" i="5"/>
  <c r="I59" i="5"/>
  <c r="I60" i="5"/>
  <c r="I61" i="5"/>
  <c r="I62" i="5"/>
  <c r="I63" i="5"/>
  <c r="I64" i="5"/>
  <c r="I66" i="5"/>
  <c r="I67" i="5"/>
  <c r="I69" i="5"/>
  <c r="I70" i="5"/>
  <c r="I71" i="5"/>
  <c r="I72" i="5"/>
  <c r="I78" i="5"/>
  <c r="F49" i="5"/>
  <c r="G49" i="5" s="1"/>
  <c r="F50" i="5"/>
  <c r="G50" i="5"/>
  <c r="H50" i="5"/>
  <c r="F51" i="5"/>
  <c r="G51" i="5" s="1"/>
  <c r="H51" i="5" s="1"/>
  <c r="F52" i="5"/>
  <c r="G52" i="5" s="1"/>
  <c r="H52" i="5" s="1"/>
  <c r="F53" i="5"/>
  <c r="G53" i="5"/>
  <c r="F54" i="5"/>
  <c r="G54" i="5" s="1"/>
  <c r="H54" i="5" s="1"/>
  <c r="F55" i="5"/>
  <c r="G55" i="5"/>
  <c r="J55" i="5" s="1"/>
  <c r="F56" i="5"/>
  <c r="G56" i="5"/>
  <c r="F57" i="5"/>
  <c r="G57" i="5" s="1"/>
  <c r="H57" i="5" s="1"/>
  <c r="F58" i="5"/>
  <c r="G58" i="5"/>
  <c r="J58" i="5"/>
  <c r="F59" i="5"/>
  <c r="G59" i="5" s="1"/>
  <c r="F60" i="5"/>
  <c r="G60" i="5"/>
  <c r="F61" i="5"/>
  <c r="G61" i="5" s="1"/>
  <c r="J61" i="5" s="1"/>
  <c r="F62" i="5"/>
  <c r="G62" i="5"/>
  <c r="H62" i="5" s="1"/>
  <c r="F63" i="5"/>
  <c r="G63" i="5"/>
  <c r="F64" i="5"/>
  <c r="G64" i="5" s="1"/>
  <c r="F66" i="5"/>
  <c r="G66" i="5"/>
  <c r="F67" i="5"/>
  <c r="G67" i="5" s="1"/>
  <c r="H67" i="5" s="1"/>
  <c r="F69" i="5"/>
  <c r="G69" i="5" s="1"/>
  <c r="F70" i="5"/>
  <c r="G70" i="5"/>
  <c r="H70" i="5"/>
  <c r="F71" i="5"/>
  <c r="G71" i="5" s="1"/>
  <c r="H71" i="5" s="1"/>
  <c r="F72" i="5"/>
  <c r="G72" i="5"/>
  <c r="J72" i="5" s="1"/>
  <c r="F78" i="5"/>
  <c r="G78" i="5"/>
  <c r="H78" i="5"/>
  <c r="D11" i="14"/>
  <c r="F11" i="14" s="1"/>
  <c r="G11" i="14" s="1"/>
  <c r="H11" i="14" s="1"/>
  <c r="D12" i="14"/>
  <c r="F12" i="14" s="1"/>
  <c r="G12" i="14" s="1"/>
  <c r="H12" i="14" s="1"/>
  <c r="D13" i="14"/>
  <c r="F13" i="14" s="1"/>
  <c r="G13" i="14" s="1"/>
  <c r="D17" i="14"/>
  <c r="F17" i="14"/>
  <c r="G17" i="14" s="1"/>
  <c r="D19" i="14"/>
  <c r="F19" i="14"/>
  <c r="G19" i="14"/>
  <c r="J19" i="14" s="1"/>
  <c r="E19" i="14"/>
  <c r="I19" i="14"/>
  <c r="D20" i="14"/>
  <c r="F20" i="14" s="1"/>
  <c r="G20" i="14" s="1"/>
  <c r="E20" i="14"/>
  <c r="I20" i="14"/>
  <c r="D21" i="14"/>
  <c r="E21" i="14"/>
  <c r="F21" i="14"/>
  <c r="G21" i="14"/>
  <c r="D22" i="14"/>
  <c r="E22" i="14"/>
  <c r="D23" i="14"/>
  <c r="E23" i="14"/>
  <c r="F23" i="14" s="1"/>
  <c r="G23" i="14" s="1"/>
  <c r="D24" i="14"/>
  <c r="F24" i="14"/>
  <c r="G24" i="14" s="1"/>
  <c r="H24" i="14" s="1"/>
  <c r="E24" i="14"/>
  <c r="I24" i="14"/>
  <c r="D25" i="14"/>
  <c r="F25" i="14" s="1"/>
  <c r="G25" i="14" s="1"/>
  <c r="H25" i="14" s="1"/>
  <c r="E25" i="14"/>
  <c r="I25" i="14" s="1"/>
  <c r="D26" i="14"/>
  <c r="E26" i="14"/>
  <c r="F26" i="14" s="1"/>
  <c r="G26" i="14" s="1"/>
  <c r="H26" i="14" s="1"/>
  <c r="D27" i="14"/>
  <c r="E27" i="14"/>
  <c r="I27" i="14" s="1"/>
  <c r="D28" i="14"/>
  <c r="E28" i="14"/>
  <c r="F28" i="14" s="1"/>
  <c r="G28" i="14" s="1"/>
  <c r="J28" i="14" s="1"/>
  <c r="D29" i="14"/>
  <c r="E29" i="14"/>
  <c r="F29" i="14" s="1"/>
  <c r="G29" i="14" s="1"/>
  <c r="J29" i="14" s="1"/>
  <c r="D30" i="14"/>
  <c r="E30" i="14"/>
  <c r="D31" i="14"/>
  <c r="E31" i="14"/>
  <c r="I31" i="14"/>
  <c r="D32" i="14"/>
  <c r="E32" i="14"/>
  <c r="I32" i="14"/>
  <c r="D33" i="14"/>
  <c r="E33" i="14"/>
  <c r="F33" i="14" s="1"/>
  <c r="G33" i="14" s="1"/>
  <c r="J33" i="14" s="1"/>
  <c r="D34" i="14"/>
  <c r="E34" i="14"/>
  <c r="F34" i="14" s="1"/>
  <c r="G34" i="14" s="1"/>
  <c r="J34" i="14" s="1"/>
  <c r="D35" i="14"/>
  <c r="E35" i="14"/>
  <c r="F35" i="14"/>
  <c r="G35" i="14"/>
  <c r="D36" i="14"/>
  <c r="E36" i="14"/>
  <c r="F36" i="14"/>
  <c r="G36" i="14"/>
  <c r="D37" i="14"/>
  <c r="E37" i="14"/>
  <c r="F37" i="14"/>
  <c r="G37" i="14"/>
  <c r="D38" i="14"/>
  <c r="E38" i="14"/>
  <c r="I38" i="14" s="1"/>
  <c r="D39" i="14"/>
  <c r="E39" i="14"/>
  <c r="I39" i="14"/>
  <c r="D40" i="14"/>
  <c r="E40" i="14"/>
  <c r="F40" i="14"/>
  <c r="G40" i="14"/>
  <c r="H40" i="14" s="1"/>
  <c r="D41" i="14"/>
  <c r="E41" i="14"/>
  <c r="I41" i="14"/>
  <c r="D42" i="14"/>
  <c r="E42" i="14"/>
  <c r="I42" i="14"/>
  <c r="D43" i="14"/>
  <c r="E43" i="14"/>
  <c r="I43" i="14" s="1"/>
  <c r="F47" i="5"/>
  <c r="G47" i="5"/>
  <c r="F46" i="5"/>
  <c r="G46" i="5" s="1"/>
  <c r="J46" i="5" s="1"/>
  <c r="F45" i="5"/>
  <c r="G45" i="5"/>
  <c r="F44" i="5"/>
  <c r="G44" i="5" s="1"/>
  <c r="H44" i="5" s="1"/>
  <c r="F43" i="5"/>
  <c r="G43" i="5" s="1"/>
  <c r="J43" i="5" s="1"/>
  <c r="F42" i="5"/>
  <c r="G42" i="5"/>
  <c r="F41" i="5"/>
  <c r="G41" i="5" s="1"/>
  <c r="H41" i="5" s="1"/>
  <c r="F40" i="5"/>
  <c r="G40" i="5"/>
  <c r="H40" i="5" s="1"/>
  <c r="J40" i="5" s="1"/>
  <c r="F39" i="5"/>
  <c r="G39" i="5"/>
  <c r="H39" i="5"/>
  <c r="F38" i="5"/>
  <c r="G38" i="5" s="1"/>
  <c r="F37" i="5"/>
  <c r="G37" i="5" s="1"/>
  <c r="H37" i="5" s="1"/>
  <c r="F36" i="5"/>
  <c r="G36" i="5"/>
  <c r="F35" i="5"/>
  <c r="G35" i="5" s="1"/>
  <c r="H35" i="5" s="1"/>
  <c r="F34" i="5"/>
  <c r="G34" i="5"/>
  <c r="H34" i="5" s="1"/>
  <c r="F33" i="5"/>
  <c r="G33" i="5"/>
  <c r="H33" i="5"/>
  <c r="F32" i="5"/>
  <c r="G32" i="5" s="1"/>
  <c r="F31" i="5"/>
  <c r="G31" i="5"/>
  <c r="J31" i="5" s="1"/>
  <c r="I31" i="5"/>
  <c r="F30" i="5"/>
  <c r="G30" i="5"/>
  <c r="F27" i="5"/>
  <c r="G27" i="5" s="1"/>
  <c r="H27" i="5" s="1"/>
  <c r="F26" i="5"/>
  <c r="G26" i="5"/>
  <c r="F25" i="5"/>
  <c r="G25" i="5" s="1"/>
  <c r="I25" i="5"/>
  <c r="D16" i="14"/>
  <c r="F16" i="14" s="1"/>
  <c r="G16" i="14" s="1"/>
  <c r="B8" i="6"/>
  <c r="G11" i="5"/>
  <c r="F12" i="5"/>
  <c r="G12" i="5" s="1"/>
  <c r="H12" i="5" s="1"/>
  <c r="F13" i="5"/>
  <c r="G13" i="5"/>
  <c r="I13" i="5" s="1"/>
  <c r="F21" i="5"/>
  <c r="G21" i="5"/>
  <c r="H21" i="5"/>
  <c r="F28" i="5"/>
  <c r="G28" i="5" s="1"/>
  <c r="J28" i="5" s="1"/>
  <c r="F29" i="5"/>
  <c r="G29" i="5" s="1"/>
  <c r="J29" i="5" s="1"/>
  <c r="I38" i="5"/>
  <c r="I44" i="5"/>
  <c r="I47" i="5"/>
  <c r="F23" i="5"/>
  <c r="G23" i="5"/>
  <c r="F24" i="5"/>
  <c r="G24" i="5" s="1"/>
  <c r="J24" i="5" s="1"/>
  <c r="I27" i="5"/>
  <c r="I24" i="5"/>
  <c r="I26" i="5"/>
  <c r="I28" i="5"/>
  <c r="I29" i="5"/>
  <c r="I30" i="5"/>
  <c r="I32" i="5"/>
  <c r="I33" i="5"/>
  <c r="I34" i="5"/>
  <c r="I35" i="5"/>
  <c r="I36" i="5"/>
  <c r="I37" i="5"/>
  <c r="I39" i="5"/>
  <c r="I40" i="5"/>
  <c r="I41" i="5"/>
  <c r="I42" i="5"/>
  <c r="I43" i="5"/>
  <c r="I45" i="5"/>
  <c r="I46" i="5"/>
  <c r="I23" i="5"/>
  <c r="E14" i="11"/>
  <c r="D15" i="15"/>
  <c r="E15" i="15" s="1"/>
  <c r="F15" i="15" s="1"/>
  <c r="D16" i="15"/>
  <c r="E16" i="15"/>
  <c r="D17" i="15"/>
  <c r="D18" i="15"/>
  <c r="D19" i="15"/>
  <c r="E19" i="15"/>
  <c r="D21" i="15"/>
  <c r="E21" i="15" s="1"/>
  <c r="D22" i="15"/>
  <c r="E22" i="15"/>
  <c r="G22" i="15" s="1"/>
  <c r="H22" i="15" s="1"/>
  <c r="F22" i="15"/>
  <c r="D23" i="15"/>
  <c r="D25" i="15"/>
  <c r="D26" i="15"/>
  <c r="D29" i="15"/>
  <c r="D31" i="15"/>
  <c r="D32" i="15"/>
  <c r="D33" i="15"/>
  <c r="E33" i="15" s="1"/>
  <c r="F33" i="15" s="1"/>
  <c r="D34" i="15"/>
  <c r="D35" i="15"/>
  <c r="D36" i="15"/>
  <c r="D37" i="15"/>
  <c r="D38" i="15"/>
  <c r="D39" i="15"/>
  <c r="E30" i="11"/>
  <c r="D30" i="15"/>
  <c r="H30" i="15"/>
  <c r="E28" i="11"/>
  <c r="I28" i="11" s="1"/>
  <c r="E24" i="11"/>
  <c r="F24" i="11"/>
  <c r="G24" i="11" s="1"/>
  <c r="B28" i="6"/>
  <c r="B23" i="19"/>
  <c r="K46" i="15"/>
  <c r="K45" i="15"/>
  <c r="K41" i="15"/>
  <c r="K40" i="15"/>
  <c r="K43" i="15" s="1"/>
  <c r="K39" i="15"/>
  <c r="B10" i="9"/>
  <c r="B9" i="9"/>
  <c r="F32" i="11"/>
  <c r="G32" i="11" s="1"/>
  <c r="I32" i="11"/>
  <c r="F33" i="11"/>
  <c r="F21" i="11"/>
  <c r="G21" i="11" s="1"/>
  <c r="F22" i="11"/>
  <c r="G22" i="11"/>
  <c r="F23" i="11"/>
  <c r="I23" i="11"/>
  <c r="F15" i="11"/>
  <c r="G15" i="11" s="1"/>
  <c r="F16" i="11"/>
  <c r="F17" i="11"/>
  <c r="F18" i="11"/>
  <c r="G18" i="11" s="1"/>
  <c r="I18" i="11"/>
  <c r="F19" i="11"/>
  <c r="G19" i="11" s="1"/>
  <c r="I19" i="11"/>
  <c r="L42" i="11"/>
  <c r="L41" i="11"/>
  <c r="L37" i="11"/>
  <c r="L39" i="11" s="1"/>
  <c r="L36" i="11"/>
  <c r="B32" i="6"/>
  <c r="B29" i="6"/>
  <c r="B38" i="9"/>
  <c r="B31" i="9"/>
  <c r="B30" i="9"/>
  <c r="B29" i="9"/>
  <c r="B31" i="6"/>
  <c r="B30" i="6"/>
  <c r="B38" i="6"/>
  <c r="F18" i="5"/>
  <c r="G18" i="5" s="1"/>
  <c r="H18" i="5" s="1"/>
  <c r="D15" i="14"/>
  <c r="F15" i="14" s="1"/>
  <c r="G15" i="14" s="1"/>
  <c r="H15" i="14" s="1"/>
  <c r="H31" i="5"/>
  <c r="B8" i="9"/>
  <c r="B8" i="19"/>
  <c r="B28" i="9"/>
  <c r="H33" i="15"/>
  <c r="G16" i="11"/>
  <c r="H16" i="11"/>
  <c r="I16" i="11" s="1"/>
  <c r="F19" i="15"/>
  <c r="D14" i="15"/>
  <c r="E14" i="15"/>
  <c r="F14" i="15" s="1"/>
  <c r="G14" i="15" s="1"/>
  <c r="H14" i="15" s="1"/>
  <c r="I33" i="11"/>
  <c r="E17" i="15"/>
  <c r="F17" i="15" s="1"/>
  <c r="G76" i="7"/>
  <c r="G48" i="7"/>
  <c r="G30" i="7"/>
  <c r="F43" i="14"/>
  <c r="G43" i="14"/>
  <c r="H43" i="14" s="1"/>
  <c r="J43" i="14"/>
  <c r="F27" i="14"/>
  <c r="G27" i="14"/>
  <c r="I33" i="14"/>
  <c r="I67" i="14"/>
  <c r="G12" i="7"/>
  <c r="G34" i="7"/>
  <c r="E30" i="15"/>
  <c r="F30" i="15" s="1"/>
  <c r="J62" i="5"/>
  <c r="H45" i="5"/>
  <c r="J45" i="5"/>
  <c r="H58" i="5"/>
  <c r="I36" i="14"/>
  <c r="F30" i="11"/>
  <c r="E23" i="15"/>
  <c r="F23" i="15"/>
  <c r="G23" i="15" s="1"/>
  <c r="H47" i="5"/>
  <c r="J47" i="5"/>
  <c r="J50" i="5"/>
  <c r="F38" i="14"/>
  <c r="G38" i="14"/>
  <c r="H38" i="14" s="1"/>
  <c r="J38" i="14" s="1"/>
  <c r="J35" i="5"/>
  <c r="H61" i="5"/>
  <c r="J52" i="5"/>
  <c r="H29" i="5"/>
  <c r="H13" i="5"/>
  <c r="J33" i="5"/>
  <c r="J39" i="5"/>
  <c r="J44" i="5"/>
  <c r="H72" i="5"/>
  <c r="H60" i="5"/>
  <c r="J60" i="5"/>
  <c r="H49" i="5"/>
  <c r="J49" i="5"/>
  <c r="J37" i="5"/>
  <c r="H42" i="5"/>
  <c r="J42" i="5" s="1"/>
  <c r="J71" i="5"/>
  <c r="H66" i="5"/>
  <c r="J66" i="5"/>
  <c r="J57" i="5"/>
  <c r="J54" i="5"/>
  <c r="H24" i="5"/>
  <c r="H26" i="5"/>
  <c r="J26" i="5"/>
  <c r="H46" i="5"/>
  <c r="J53" i="5"/>
  <c r="H53" i="5"/>
  <c r="J70" i="5"/>
  <c r="I21" i="14"/>
  <c r="J78" i="5"/>
  <c r="J41" i="5"/>
  <c r="F73" i="14"/>
  <c r="G73" i="14" s="1"/>
  <c r="F42" i="14"/>
  <c r="G42" i="14"/>
  <c r="H42" i="14" s="1"/>
  <c r="J42" i="14"/>
  <c r="I44" i="14"/>
  <c r="I58" i="14"/>
  <c r="J25" i="14"/>
  <c r="H33" i="14"/>
  <c r="I35" i="14"/>
  <c r="I23" i="14"/>
  <c r="F32" i="14"/>
  <c r="G32" i="14" s="1"/>
  <c r="H32" i="14" s="1"/>
  <c r="I53" i="14"/>
  <c r="I37" i="14"/>
  <c r="I21" i="5"/>
  <c r="H11" i="5"/>
  <c r="I28" i="14"/>
  <c r="H48" i="14"/>
  <c r="I40" i="14"/>
  <c r="J40" i="14"/>
  <c r="I59" i="14"/>
  <c r="I47" i="14"/>
  <c r="I51" i="14"/>
  <c r="F65" i="14"/>
  <c r="G65" i="14"/>
  <c r="H65" i="14" s="1"/>
  <c r="F64" i="14"/>
  <c r="G64" i="14" s="1"/>
  <c r="H64" i="14" s="1"/>
  <c r="J64" i="14"/>
  <c r="F50" i="14"/>
  <c r="G50" i="14"/>
  <c r="J50" i="14" s="1"/>
  <c r="F46" i="14"/>
  <c r="G46" i="14"/>
  <c r="H46" i="14" s="1"/>
  <c r="I45" i="14"/>
  <c r="F39" i="14"/>
  <c r="G39" i="14"/>
  <c r="H39" i="14" s="1"/>
  <c r="I48" i="14"/>
  <c r="I55" i="14"/>
  <c r="F52" i="14"/>
  <c r="G52" i="14" s="1"/>
  <c r="J52" i="14"/>
  <c r="H21" i="14"/>
  <c r="J21" i="14"/>
  <c r="I56" i="14"/>
  <c r="F56" i="14"/>
  <c r="G56" i="14" s="1"/>
  <c r="I11" i="14"/>
  <c r="F41" i="14"/>
  <c r="G41" i="14" s="1"/>
  <c r="F62" i="14"/>
  <c r="G62" i="14" s="1"/>
  <c r="I62" i="14"/>
  <c r="H58" i="14"/>
  <c r="I54" i="14"/>
  <c r="F54" i="14"/>
  <c r="G54" i="14" s="1"/>
  <c r="H54" i="14" s="1"/>
  <c r="F49" i="14"/>
  <c r="G49" i="14"/>
  <c r="H49" i="14" s="1"/>
  <c r="I49" i="14"/>
  <c r="H47" i="14"/>
  <c r="I12" i="14"/>
  <c r="H19" i="14"/>
  <c r="H36" i="14"/>
  <c r="J36" i="14"/>
  <c r="F30" i="14"/>
  <c r="G30" i="14" s="1"/>
  <c r="I30" i="14"/>
  <c r="H51" i="14"/>
  <c r="J51" i="14"/>
  <c r="F57" i="14"/>
  <c r="G57" i="14"/>
  <c r="H57" i="14"/>
  <c r="I57" i="14"/>
  <c r="J55" i="14"/>
  <c r="I29" i="14"/>
  <c r="H28" i="14"/>
  <c r="I26" i="14"/>
  <c r="I66" i="14"/>
  <c r="F66" i="14"/>
  <c r="G66" i="14" s="1"/>
  <c r="H29" i="14"/>
  <c r="H45" i="14"/>
  <c r="J45" i="14"/>
  <c r="H67" i="14"/>
  <c r="J58" i="14"/>
  <c r="H19" i="15"/>
  <c r="J59" i="14"/>
  <c r="H27" i="14"/>
  <c r="J27" i="14"/>
  <c r="G30" i="11"/>
  <c r="H30" i="11" s="1"/>
  <c r="I30" i="11"/>
  <c r="H23" i="15"/>
  <c r="J39" i="14"/>
  <c r="H30" i="5"/>
  <c r="J30" i="5"/>
  <c r="H23" i="14"/>
  <c r="J23" i="14"/>
  <c r="H63" i="5"/>
  <c r="J63" i="5"/>
  <c r="J63" i="14"/>
  <c r="H63" i="14"/>
  <c r="F21" i="15"/>
  <c r="G21" i="15" s="1"/>
  <c r="H21" i="15" s="1"/>
  <c r="H35" i="14"/>
  <c r="J35" i="14"/>
  <c r="H59" i="5"/>
  <c r="J59" i="5"/>
  <c r="J66" i="14"/>
  <c r="H66" i="14"/>
  <c r="J49" i="14"/>
  <c r="H16" i="14"/>
  <c r="I16" i="14" s="1"/>
  <c r="J20" i="14"/>
  <c r="H20" i="14"/>
  <c r="H13" i="14"/>
  <c r="I13" i="14"/>
  <c r="H69" i="5"/>
  <c r="J69" i="5"/>
  <c r="F31" i="14"/>
  <c r="G31" i="14" s="1"/>
  <c r="H34" i="14"/>
  <c r="J26" i="14"/>
  <c r="J47" i="14"/>
  <c r="I34" i="14"/>
  <c r="F61" i="14"/>
  <c r="G61" i="14" s="1"/>
  <c r="J44" i="14"/>
  <c r="G30" i="15"/>
  <c r="D28" i="15"/>
  <c r="E28" i="15" s="1"/>
  <c r="H15" i="11"/>
  <c r="I15" i="11"/>
  <c r="H28" i="5"/>
  <c r="H18" i="11"/>
  <c r="J57" i="14"/>
  <c r="H52" i="14"/>
  <c r="H19" i="11"/>
  <c r="G90" i="7"/>
  <c r="G83" i="7"/>
  <c r="I68" i="14"/>
  <c r="F69" i="14"/>
  <c r="G69" i="14"/>
  <c r="J69" i="14" s="1"/>
  <c r="G62" i="7"/>
  <c r="G61" i="7" s="1"/>
  <c r="D24" i="15"/>
  <c r="E24" i="15" s="1"/>
  <c r="G55" i="7"/>
  <c r="B20" i="18"/>
  <c r="B25" i="9"/>
  <c r="B25" i="6"/>
  <c r="B20" i="19"/>
  <c r="G41" i="7"/>
  <c r="H41" i="7" s="1"/>
  <c r="J32" i="14"/>
  <c r="E32" i="15"/>
  <c r="G32" i="15" s="1"/>
  <c r="H32" i="15"/>
  <c r="J60" i="14"/>
  <c r="H60" i="14"/>
  <c r="J51" i="5"/>
  <c r="I15" i="14"/>
  <c r="G33" i="11"/>
  <c r="H33" i="11"/>
  <c r="I22" i="14"/>
  <c r="F22" i="14"/>
  <c r="G22" i="14" s="1"/>
  <c r="J74" i="5"/>
  <c r="H74" i="5"/>
  <c r="J76" i="5"/>
  <c r="H76" i="5"/>
  <c r="B15" i="18"/>
  <c r="B15" i="9"/>
  <c r="J68" i="5"/>
  <c r="H68" i="5"/>
  <c r="B15" i="19"/>
  <c r="B15" i="6"/>
  <c r="J24" i="14"/>
  <c r="J67" i="5"/>
  <c r="H24" i="11"/>
  <c r="I24" i="11" s="1"/>
  <c r="E27" i="11"/>
  <c r="J28" i="11"/>
  <c r="K28" i="11" s="1"/>
  <c r="G19" i="15"/>
  <c r="I11" i="5"/>
  <c r="J36" i="5"/>
  <c r="H36" i="5"/>
  <c r="H55" i="5"/>
  <c r="G17" i="11"/>
  <c r="H17" i="11"/>
  <c r="I17" i="11"/>
  <c r="H21" i="11"/>
  <c r="I21" i="11" s="1"/>
  <c r="H32" i="11"/>
  <c r="E18" i="15"/>
  <c r="F18" i="15" s="1"/>
  <c r="G18" i="15" s="1"/>
  <c r="H18" i="15"/>
  <c r="G15" i="15"/>
  <c r="H15" i="15"/>
  <c r="H23" i="5"/>
  <c r="J23" i="5"/>
  <c r="H65" i="5"/>
  <c r="J65" i="5"/>
  <c r="H72" i="14"/>
  <c r="J72" i="14"/>
  <c r="H15" i="5"/>
  <c r="I15" i="5"/>
  <c r="G17" i="15"/>
  <c r="H17" i="15" s="1"/>
  <c r="H22" i="11"/>
  <c r="I22" i="11"/>
  <c r="F16" i="15"/>
  <c r="G16" i="15" s="1"/>
  <c r="H16" i="15" s="1"/>
  <c r="F14" i="11"/>
  <c r="H14" i="11" s="1"/>
  <c r="I14" i="11" s="1"/>
  <c r="B30" i="18"/>
  <c r="B35" i="6"/>
  <c r="H56" i="5"/>
  <c r="J56" i="5"/>
  <c r="H75" i="5"/>
  <c r="J75" i="5"/>
  <c r="E20" i="11"/>
  <c r="D20" i="15" s="1"/>
  <c r="F28" i="11"/>
  <c r="I60" i="14"/>
  <c r="J73" i="5"/>
  <c r="J77" i="5"/>
  <c r="J68" i="14"/>
  <c r="I72" i="14"/>
  <c r="H28" i="15"/>
  <c r="I28" i="15" s="1"/>
  <c r="G14" i="11"/>
  <c r="F32" i="15"/>
  <c r="G28" i="11"/>
  <c r="H28" i="11"/>
  <c r="B36" i="9"/>
  <c r="B31" i="19"/>
  <c r="D27" i="15"/>
  <c r="B36" i="6"/>
  <c r="B31" i="18"/>
  <c r="E13" i="11"/>
  <c r="B30" i="19" s="1"/>
  <c r="H17" i="14" l="1"/>
  <c r="I17" i="14" s="1"/>
  <c r="J11" i="14" s="1"/>
  <c r="E20" i="15"/>
  <c r="F28" i="15"/>
  <c r="G28" i="15" s="1"/>
  <c r="H30" i="14"/>
  <c r="J30" i="14"/>
  <c r="J73" i="14"/>
  <c r="H73" i="14"/>
  <c r="H62" i="14"/>
  <c r="J62" i="14"/>
  <c r="B22" i="6"/>
  <c r="B20" i="6"/>
  <c r="B21" i="9"/>
  <c r="B19" i="9"/>
  <c r="B20" i="9"/>
  <c r="B21" i="6"/>
  <c r="B23" i="6"/>
  <c r="B19" i="6"/>
  <c r="B22" i="9"/>
  <c r="B23" i="9"/>
  <c r="H31" i="14"/>
  <c r="J31" i="14"/>
  <c r="J56" i="14"/>
  <c r="H56" i="14"/>
  <c r="J28" i="15"/>
  <c r="L28" i="15" s="1"/>
  <c r="K28" i="15"/>
  <c r="J22" i="14"/>
  <c r="H22" i="14"/>
  <c r="M28" i="11"/>
  <c r="L28" i="11"/>
  <c r="F24" i="15"/>
  <c r="G24" i="15" s="1"/>
  <c r="H24" i="15" s="1"/>
  <c r="H41" i="14"/>
  <c r="J41" i="14"/>
  <c r="J14" i="11"/>
  <c r="G54" i="7"/>
  <c r="B21" i="19"/>
  <c r="B26" i="9"/>
  <c r="B26" i="6"/>
  <c r="B21" i="18"/>
  <c r="J61" i="14"/>
  <c r="H61" i="14"/>
  <c r="I14" i="15"/>
  <c r="G19" i="7"/>
  <c r="F20" i="11"/>
  <c r="G33" i="15"/>
  <c r="J54" i="14"/>
  <c r="G38" i="7"/>
  <c r="I12" i="5"/>
  <c r="I18" i="5"/>
  <c r="J25" i="5"/>
  <c r="H25" i="5"/>
  <c r="J37" i="14"/>
  <c r="H64" i="5"/>
  <c r="J64" i="5"/>
  <c r="K48" i="5" s="1"/>
  <c r="J38" i="5"/>
  <c r="H38" i="5"/>
  <c r="D13" i="15"/>
  <c r="J32" i="5"/>
  <c r="H32" i="5"/>
  <c r="E12" i="11"/>
  <c r="D12" i="15" s="1"/>
  <c r="B35" i="9"/>
  <c r="H69" i="14"/>
  <c r="H53" i="14"/>
  <c r="H50" i="14"/>
  <c r="J65" i="14"/>
  <c r="J46" i="14"/>
  <c r="J27" i="5"/>
  <c r="H43" i="5"/>
  <c r="B32" i="9"/>
  <c r="B27" i="19"/>
  <c r="G24" i="7"/>
  <c r="G23" i="11"/>
  <c r="H23" i="11" s="1"/>
  <c r="J34" i="5"/>
  <c r="H37" i="14"/>
  <c r="F70" i="14"/>
  <c r="G70" i="14" s="1"/>
  <c r="F71" i="14"/>
  <c r="G71" i="14" s="1"/>
  <c r="B6" i="19" l="1"/>
  <c r="B6" i="9"/>
  <c r="K22" i="5"/>
  <c r="J71" i="14"/>
  <c r="H71" i="14"/>
  <c r="K14" i="11"/>
  <c r="L14" i="11"/>
  <c r="B17" i="18"/>
  <c r="B17" i="6"/>
  <c r="B17" i="9"/>
  <c r="B17" i="19"/>
  <c r="J11" i="5"/>
  <c r="G20" i="11"/>
  <c r="H20" i="11" s="1"/>
  <c r="I20" i="11" s="1"/>
  <c r="J20" i="11" s="1"/>
  <c r="C36" i="9"/>
  <c r="C31" i="19"/>
  <c r="B16" i="18"/>
  <c r="G11" i="7"/>
  <c r="B16" i="6"/>
  <c r="B16" i="9"/>
  <c r="B16" i="19"/>
  <c r="B24" i="6"/>
  <c r="E24" i="6" s="1"/>
  <c r="B19" i="19"/>
  <c r="E19" i="19" s="1"/>
  <c r="B19" i="18"/>
  <c r="E19" i="18" s="1"/>
  <c r="B24" i="9"/>
  <c r="E24" i="9" s="1"/>
  <c r="C31" i="18"/>
  <c r="C36" i="6"/>
  <c r="J14" i="15"/>
  <c r="K14" i="15"/>
  <c r="H70" i="14"/>
  <c r="J70" i="14"/>
  <c r="K18" i="14" s="1"/>
  <c r="B18" i="9"/>
  <c r="E18" i="9" s="1"/>
  <c r="B18" i="6"/>
  <c r="E18" i="6" s="1"/>
  <c r="F20" i="15"/>
  <c r="G20" i="15"/>
  <c r="H20" i="15" s="1"/>
  <c r="I20" i="15" s="1"/>
  <c r="B7" i="19" l="1"/>
  <c r="B7" i="9"/>
  <c r="K20" i="11"/>
  <c r="L14" i="15"/>
  <c r="B6" i="6"/>
  <c r="B6" i="18"/>
  <c r="B5" i="18" s="1"/>
  <c r="B7" i="6"/>
  <c r="B7" i="18"/>
  <c r="J20" i="15"/>
  <c r="K20" i="15"/>
  <c r="B14" i="6"/>
  <c r="B14" i="19"/>
  <c r="B14" i="18"/>
  <c r="B14" i="9"/>
  <c r="M14" i="11"/>
  <c r="E14" i="18" l="1"/>
  <c r="E11" i="18" s="1"/>
  <c r="E12" i="18" s="1"/>
  <c r="C13" i="18"/>
  <c r="L20" i="15"/>
  <c r="M14" i="15" s="1"/>
  <c r="N14" i="11"/>
  <c r="E14" i="6"/>
  <c r="E11" i="6" s="1"/>
  <c r="E12" i="6" s="1"/>
  <c r="B13" i="6"/>
  <c r="M20" i="11"/>
  <c r="E14" i="9"/>
  <c r="E11" i="9" s="1"/>
  <c r="E12" i="9" s="1"/>
  <c r="C12" i="9" s="1"/>
  <c r="B13" i="9"/>
  <c r="L20" i="11"/>
  <c r="B5" i="6"/>
  <c r="E14" i="19"/>
  <c r="E11" i="19" s="1"/>
  <c r="E12" i="19" s="1"/>
  <c r="C12" i="19" s="1"/>
  <c r="C13" i="19"/>
  <c r="C35" i="9" l="1"/>
  <c r="C30" i="19"/>
  <c r="C35" i="6"/>
  <c r="C30" i="18"/>
  <c r="B5" i="9"/>
  <c r="B5" i="19"/>
  <c r="C12" i="6"/>
  <c r="C12" i="18"/>
</calcChain>
</file>

<file path=xl/sharedStrings.xml><?xml version="1.0" encoding="utf-8"?>
<sst xmlns="http://schemas.openxmlformats.org/spreadsheetml/2006/main" count="617" uniqueCount="430">
  <si>
    <t>Development Effectiveness Matrix</t>
  </si>
  <si>
    <t>Summary</t>
  </si>
  <si>
    <t>I. Corporate and Country Priorities</t>
  </si>
  <si>
    <t>1. IDB Development Objectives</t>
  </si>
  <si>
    <t xml:space="preserve">     Development Challenges &amp; Cross-cutting Themes</t>
  </si>
  <si>
    <t xml:space="preserve">     Country Development Results Indicators</t>
  </si>
  <si>
    <t>2. Country Development Objectives</t>
  </si>
  <si>
    <t xml:space="preserve">     Country Strategy Results Matrix</t>
  </si>
  <si>
    <t>Strengthen and promote investment projects in water and sanitation.</t>
  </si>
  <si>
    <t xml:space="preserve">     Country Program Results Matrix</t>
  </si>
  <si>
    <t>Relevance of this project to country development challenges (If not aligned to country strategy or country program)</t>
  </si>
  <si>
    <t>II. Development Outcomes - Evaluability</t>
  </si>
  <si>
    <t>3. Evidence-based Assessment &amp; Solution</t>
  </si>
  <si>
    <t xml:space="preserve">     3.1 Program Diagnosis</t>
  </si>
  <si>
    <t xml:space="preserve">     3.2 Proposed Interventions or Solutions</t>
  </si>
  <si>
    <t xml:space="preserve">     3.3 Results Matrix Quality</t>
  </si>
  <si>
    <t>4. Ex ante Economic Analysis</t>
  </si>
  <si>
    <t xml:space="preserve">     4.1 Program has an ERR/NPV, or key outcomes identified for CEA</t>
  </si>
  <si>
    <t xml:space="preserve">     4.2 Identified and Quantified Benefits and Costs</t>
  </si>
  <si>
    <t xml:space="preserve">     4.3 Reasonable Assumptions</t>
  </si>
  <si>
    <t xml:space="preserve">     4.4 Sensitivity Analysis</t>
  </si>
  <si>
    <t xml:space="preserve">     4.5 Consistency with results matrix</t>
  </si>
  <si>
    <t xml:space="preserve">5. Monitoring and Evaluation </t>
  </si>
  <si>
    <t xml:space="preserve">     5.1 Monitoring Mechanisms</t>
  </si>
  <si>
    <t xml:space="preserve">     5.2 Evaluation Plan</t>
  </si>
  <si>
    <t>III. Risks &amp; Mitigation Monitoring Matrix</t>
  </si>
  <si>
    <t>Overall risks rate = magnitude of risks*likelihood</t>
  </si>
  <si>
    <t>Identified risks have been rated for magnitude and likelihood</t>
  </si>
  <si>
    <t>Mitigation measures have been identified for major risks</t>
  </si>
  <si>
    <t>Mitigation measures have indicators for tracking their implementation</t>
  </si>
  <si>
    <t>Environmental &amp; social risk classification</t>
  </si>
  <si>
    <t>IV. IDB´s Role - Additionality</t>
  </si>
  <si>
    <t>The project relies on the use of country systems</t>
  </si>
  <si>
    <t>Fiduciary (VPC/FMP Criteria)</t>
  </si>
  <si>
    <t>Non-Fiduciary</t>
  </si>
  <si>
    <t>The IDB’s involvement promotes additional improvements of the intended beneficiaries and/or public sector entity in the following dimensions:</t>
  </si>
  <si>
    <t>Additional (to project preparation) technical assistance was provided to the public sector entity prior to approval to increase the likelihood of success of the project</t>
  </si>
  <si>
    <t>Note: (*) Indicates contribution to the corresponding CRF’s Country Development Results Indicator.</t>
  </si>
  <si>
    <r>
      <t xml:space="preserve">Evaluability Assessment Note: The purpose of this note is to provide an overall assessment of the project's evaluability based on the standards described in the Evaluability Guidelines, as well as to ensure that the Board understands why scores were or were not given to the project. The following information should be developed in order to achieve this purpose. </t>
    </r>
    <r>
      <rPr>
        <i/>
        <sz val="10"/>
        <rFont val="Arial"/>
        <family val="2"/>
      </rPr>
      <t xml:space="preserve">Assess and summarize the diagnosis and the level of empirical evidence to support it. Assess and summarize the level of empirical evidence (or cost-effectiveness) of the solution proposed. Assess and comment on the Results Matrix Quality. Asses and describe the evaluation methodology ex ante and ex post to be used by the project to demonstrate its results.  Describe the main type of risk the operation is subject to and its intensity. Describe whether mitigation measures are in place and whether they can be monitored during the life of the project.
</t>
    </r>
  </si>
  <si>
    <t>Matriz de Efectividad en el Desarrollo</t>
  </si>
  <si>
    <t>Resumen</t>
  </si>
  <si>
    <t>I. Prioridades corporativas y del país</t>
  </si>
  <si>
    <t xml:space="preserve">1. Objetivos de desarrollo del BID </t>
  </si>
  <si>
    <t xml:space="preserve">     Retos Regionales y Temas Transversales</t>
  </si>
  <si>
    <t xml:space="preserve">     Indicadores de desarrollo de países</t>
  </si>
  <si>
    <t>2. Objetivos de desarrollo del país</t>
  </si>
  <si>
    <t xml:space="preserve">     Matriz de resultados de la estrategia de país</t>
  </si>
  <si>
    <t>Fortalecer e impulsar proyectos de inversión en agua y saneamiento.</t>
  </si>
  <si>
    <t xml:space="preserve">     Matriz de resultados del programa de país</t>
  </si>
  <si>
    <t xml:space="preserve">      Relevancia del proyecto a los retos de desarrollo del país (si no se encuadra dentro de la estrategia de país o el programa de país)</t>
  </si>
  <si>
    <t>3. Evaluación basada en pruebas y solución</t>
  </si>
  <si>
    <t xml:space="preserve">     3.1 Diagnóstico del Programa</t>
  </si>
  <si>
    <t xml:space="preserve">     3.2 Intervenciones o Soluciones Propuestas</t>
  </si>
  <si>
    <t xml:space="preserve">     3.3 Calidad de la Matriz de Resultados</t>
  </si>
  <si>
    <t>4. Análisis económico ex ante</t>
  </si>
  <si>
    <t xml:space="preserve">     4.1 El programa tiene una TIR/VPN, o resultados clave identificados para ACE</t>
  </si>
  <si>
    <t xml:space="preserve">     4.2 Beneficios Identificados y Cuantificados</t>
  </si>
  <si>
    <t xml:space="preserve">     4.3 Supuestos Razonables</t>
  </si>
  <si>
    <t xml:space="preserve">     4.4 Análisis de Sensibilidad</t>
  </si>
  <si>
    <t xml:space="preserve">     4.5 Consistencia con la matriz de resultados</t>
  </si>
  <si>
    <t>5. Evaluación y seguimiento</t>
  </si>
  <si>
    <t xml:space="preserve">     5.1 Mecanismos de Monitoreo</t>
  </si>
  <si>
    <t xml:space="preserve">     5.2 Plan de Evaluación</t>
  </si>
  <si>
    <t>III. Matriz de seguimiento de riesgos y mitigación</t>
  </si>
  <si>
    <t>Calificación de riesgo global = magnitud de los riesgos*probabilidad</t>
  </si>
  <si>
    <t>Se han calificado todos los riesgos por magnitud y probabilidad</t>
  </si>
  <si>
    <t>Se han identificado medidas adecuadas de mitigación para los riesgos principales</t>
  </si>
  <si>
    <t>Las medidas de mitigación tienen indicadores para el seguimiento de su implementación</t>
  </si>
  <si>
    <t>Clasificación de los riesgos ambientales y sociales</t>
  </si>
  <si>
    <t>IV. Función del BID - Adicionalidad</t>
  </si>
  <si>
    <t xml:space="preserve">El proyecto se basa en el uso de los sistemas nacionales </t>
  </si>
  <si>
    <t>Fiduciarios (criterios de VPC/FMP)</t>
  </si>
  <si>
    <t>No-Fiduciarios</t>
  </si>
  <si>
    <t>La participación del BID promueve mejoras adicionales en los presuntos beneficiarios o la entidad del sector público en las siguientes dimensiones:</t>
  </si>
  <si>
    <t xml:space="preserve">     Antes de la aprobación se brindó a la entidad del sector público asistencia técnica adicional (por encima de la preparación de proyecto) para aumentar las probabilidades de éxito del proyecto</t>
  </si>
  <si>
    <t>Nota: (*) Indica contribución al Indicador de Desarrollo de Países correspondiente.</t>
  </si>
  <si>
    <r>
      <t xml:space="preserve">Nota de valoración de la evaluabilidad: Esta nota tiene por objeto presentar una valoración global de la evaluabilidad del proyecto sobre la base de las normas descritas en las directrices sobre evaluabilidad, y permitir al Directorio entender por qué se asignaron o no puntuaciones al proyecto. Para ello deberá elaborarse la información indicada a continuación. </t>
    </r>
    <r>
      <rPr>
        <i/>
        <sz val="10"/>
        <rFont val="Arial"/>
        <family val="2"/>
      </rPr>
      <t xml:space="preserve">Evaluar y resumir el diagnóstico y el nivel de pruebas empíricas que le sirve de sustento. Evaluar y resumir el nivel de pruebas empíricas (o eficacia en función del costo) de la solución propuesta. Evaluar y comentar la calidad de la Matriz de Resultados. Evaluar y describir la metodología de evaluación ex ante y ex post que se ha de utilizar en el proyecto para demostrar sus resultados.  Describir el principal tipo de riesgo al que está expuesta la operación y su intensidad. Describir si se han tomado medidas de mitigación y si se las puede hacer objeto de seguimiento durante la vida del proyecto. </t>
    </r>
  </si>
  <si>
    <t>N/A</t>
  </si>
  <si>
    <r>
      <t xml:space="preserve">Evaluability Assessment Note: The purpose of this note is to provide an overall assessment of the project's evaluability based on the standards described in the Evaluability Guidelines, as well as to ensure that the Board understands why scores were or were not given to the project. The following information should be developed in order to achieve this purpose. </t>
    </r>
    <r>
      <rPr>
        <i/>
        <sz val="10"/>
        <rFont val="Arial"/>
        <family val="2"/>
      </rPr>
      <t xml:space="preserve">Assess and summarize the diagnosis and the level of empirical evidence to support it. Assess and summarize the level of empirical evidence of the solution proposed. Assess and comment on the Results Matrix Quality. Asses and describe the evaluation methodology ex ante and ex post to be used by the project to demonstrate its results.  Describe the main type of risk the operation is subject to and its intensity. Describe whether mitigation measures are in place and whether they can be monitored during the life of the project.
</t>
    </r>
  </si>
  <si>
    <r>
      <t xml:space="preserve">Nota de valoración de la evaluabilidad: Esta nota tiene por objeto presentar una valoración global de la evaluabilidad del proyecto sobre la base de las normas descritas en las directrices sobre evaluabilidad, y permitir al Directorio entender por qué se asignaron o no puntuaciones al proyecto. Para ello deberá elaborarse la información indicada a continuación. </t>
    </r>
    <r>
      <rPr>
        <i/>
        <sz val="10"/>
        <rFont val="Arial"/>
        <family val="2"/>
      </rPr>
      <t xml:space="preserve">Evaluar y resumir el diagnóstico y el nivel de pruebas empíricas que le sirve de sustento. Evaluar y resumir el nivel de pruebas empíricas de la solución propuesta. Evaluar y comentar la calidad de la Matriz de Resultados. Evaluar y describir la metodología de evaluación ex ante y ex post que se ha de utilizar en el proyecto para demostrar sus resultados.  Describir el principal tipo de riesgo al que está expuesta la operación y su intensidad. Describir si se han tomado medidas de mitigación y si se las puede hacer objeto de seguimiento durante la vida del proyecto. </t>
    </r>
  </si>
  <si>
    <t xml:space="preserve"> Development Effectiveness Matrix for Sovereign Guaranteed Operations - 2018</t>
  </si>
  <si>
    <t>Part I  - Strategic Priorities</t>
  </si>
  <si>
    <t xml:space="preserve">       Instructions:</t>
  </si>
  <si>
    <t>Fill the cells under Strategic Alignment, Alignment &amp; Contribution with "Yes" if applicable. For Strategic Alignment criteria please refer to the document "Corporate Results Framework 2016-2019. Technical Guidance Note". You may also refer to the DEM Toolkit for further details on how to fill-out this section.</t>
  </si>
  <si>
    <r>
      <rPr>
        <b/>
        <sz val="11"/>
        <rFont val="Arial"/>
        <family val="2"/>
      </rPr>
      <t xml:space="preserve">Strategic Alignment:
</t>
    </r>
    <r>
      <rPr>
        <sz val="11"/>
        <rFont val="Arial"/>
        <family val="2"/>
      </rPr>
      <t xml:space="preserve">To be strategically aligned with a Development Challenge or Cross-cutting Theme an operation needs to: i) provide justification on the linkage between the program’s expected results with the corresponding Development Challenge or Cross-Cutting Theme; AND ii) identify a related indicator in the program’s Results Matrix. Alignment with the Climate Change Development Challenge should be justified based on the Climate Finance estimation carried out by CSD-CCS.
</t>
    </r>
    <r>
      <rPr>
        <b/>
        <sz val="11"/>
        <rFont val="Arial"/>
        <family val="2"/>
      </rPr>
      <t>CDR Alignment:</t>
    </r>
    <r>
      <rPr>
        <sz val="11"/>
        <rFont val="Arial"/>
        <family val="2"/>
      </rPr>
      <t xml:space="preserve">
To be aligned with a CRF Country Development Results Indicator the operation needs to identify in the program's Results Matrix an indicator that is equivalent to that of the corresponding CRF Indicator. 
</t>
    </r>
    <r>
      <rPr>
        <b/>
        <sz val="11"/>
        <rFont val="Arial"/>
        <family val="2"/>
      </rPr>
      <t xml:space="preserve">
CDR Contribution:</t>
    </r>
    <r>
      <rPr>
        <sz val="11"/>
        <rFont val="Arial"/>
        <family val="2"/>
      </rPr>
      <t xml:space="preserve"> 
To contribute to a CRF Country Development Results Indicator an operation needs to include the corresponding CRF indicator in the program's Results Matrix; contribution implies a tangible, measurable sum to the corresponding CRF Indicator. This contribution will be monitored through the PMR system in Convergence.</t>
    </r>
  </si>
  <si>
    <t>Criterion</t>
  </si>
  <si>
    <t>Information &amp; References</t>
  </si>
  <si>
    <t>Yes/No</t>
  </si>
  <si>
    <t>Comments (optional)</t>
  </si>
  <si>
    <t>Section 1. IDB Development Objectives</t>
  </si>
  <si>
    <t>SPD-QRR</t>
  </si>
  <si>
    <t>Team Response</t>
  </si>
  <si>
    <t>SPD-OPC</t>
  </si>
  <si>
    <t>Development Challenges</t>
  </si>
  <si>
    <t>Strategic Alignment</t>
  </si>
  <si>
    <t>Social Inclusion and Equality</t>
  </si>
  <si>
    <t>Yes</t>
  </si>
  <si>
    <t>Productivity and Innovation</t>
  </si>
  <si>
    <t>Economic Integration</t>
  </si>
  <si>
    <t>Cross-cutting Themes</t>
  </si>
  <si>
    <t>Gender Equality and Diversity</t>
  </si>
  <si>
    <t>Gender Equality</t>
  </si>
  <si>
    <t>Diversity</t>
  </si>
  <si>
    <t>Climate Change and Environmental Sustainability</t>
  </si>
  <si>
    <t>Climate Change</t>
  </si>
  <si>
    <t>Environmental Sustainability</t>
  </si>
  <si>
    <t>Institutional Capacity and the Rule of Law</t>
  </si>
  <si>
    <t>Country Development Results Indicators (main list)</t>
  </si>
  <si>
    <t>Alignment</t>
  </si>
  <si>
    <t>Contribution</t>
  </si>
  <si>
    <t>Countries in the region with improved learning outcomes according to PISA (%)</t>
  </si>
  <si>
    <t>Maternal mortality ratio (number of maternal deaths per 100,000 live births)</t>
  </si>
  <si>
    <t>Property value within project area of influence (% change)</t>
  </si>
  <si>
    <t>Reduction of emissions with support of IDBG financing (annual million tons CO2 e)</t>
  </si>
  <si>
    <t xml:space="preserve">Public agencies' processing times of international trade of goods and services </t>
  </si>
  <si>
    <t>Formal employment of women (%)</t>
  </si>
  <si>
    <t>Percent of GDP collected in taxes (%)</t>
  </si>
  <si>
    <t>Students benefited by education projects (#)</t>
  </si>
  <si>
    <t>Beneficiaries receiving health services (#)</t>
  </si>
  <si>
    <t>Beneficiaries of targeted anti-poverty programs (#)</t>
  </si>
  <si>
    <t>Beneficiaries of improved management and sustainable use of natural capital (#)</t>
  </si>
  <si>
    <t>Households benefitting from housing solutions (#)</t>
  </si>
  <si>
    <t>Beneficiaries of on-the-job training programs (#)</t>
  </si>
  <si>
    <t>Jobs created by supported firms (#)</t>
  </si>
  <si>
    <t>Women beneficiaries of economic empowerment initiatives (#)</t>
  </si>
  <si>
    <t>Micro / small / medium enterprises financed (#)</t>
  </si>
  <si>
    <t>Micro / small / medium enterprises provided with non-financial support (#)</t>
  </si>
  <si>
    <t>Households with new or upgraded access to drinking water (#)</t>
  </si>
  <si>
    <t>Households with new or upgraded access to sanitation (#)</t>
  </si>
  <si>
    <t>Installed power generation from renewable energy sources (%)</t>
  </si>
  <si>
    <t>Roads built or upgraded  (km)</t>
  </si>
  <si>
    <t>Professionals from public and private sectors trained or assisted in economic integration (#)</t>
  </si>
  <si>
    <t>Regional, sub-regional and extra-regional integration agreements and cooperation initiatives supported (#)</t>
  </si>
  <si>
    <t>Subnational governments benefited by citizen security projects (#)</t>
  </si>
  <si>
    <t>Government agencies benefited by projects that strengthen technological and managerial tools to improve public service delivery (#)</t>
  </si>
  <si>
    <t>Country Development Results Indicators (auxiliary list)</t>
  </si>
  <si>
    <t>Teachers trained (#)</t>
  </si>
  <si>
    <t>Children receiving early childhood development services targeted to the poor  (#)</t>
  </si>
  <si>
    <t>Beneficiaries of improved access to formal financial services  (#)</t>
  </si>
  <si>
    <t>Households with wastewater treatment (#)</t>
  </si>
  <si>
    <t>Households with solid waste disposed in a sanitary landfill (#)</t>
  </si>
  <si>
    <t>Households protected from flood risk  (#)</t>
  </si>
  <si>
    <t>Households with new or improved access to electricity supply  (#)</t>
  </si>
  <si>
    <t>Urban rail and bus mass transit systems built or upgraded  (km)</t>
  </si>
  <si>
    <t>Ports built or upgraded  (#)</t>
  </si>
  <si>
    <t>Airports built or upgraded  (#)</t>
  </si>
  <si>
    <t>Interurban rail lines built or upgraded  (km)</t>
  </si>
  <si>
    <t>Electricity transmission and distribution lines installed or upgraded  (km)</t>
  </si>
  <si>
    <t>Farmers with improved access to agricultural services and investments  (#)</t>
  </si>
  <si>
    <t>Beneficiaries of IDBG projects that contribute to at least one key dimension of food security  (#)</t>
  </si>
  <si>
    <t>Terrestrial and marine areas with improved management (ha)</t>
  </si>
  <si>
    <t>Tourism destinations benefited by projects aimed at increasing tourism expenditure, local and social inclusion and/or improving environmental management  (#)</t>
  </si>
  <si>
    <t>Countries that have improved disaster risk management (#)</t>
  </si>
  <si>
    <t>Countries benefited by IDB’s projects aimed at improving domestic resource mobilization  (#)</t>
  </si>
  <si>
    <t>Subnational governments benefited by decentralization, fiscal management and institutional capacity projects  (#)</t>
  </si>
  <si>
    <t>Countries that use fiduciary country systems (#)</t>
  </si>
  <si>
    <t>Public registries strengthened  (#)</t>
  </si>
  <si>
    <t>Accountability institutions strengthened  (#)</t>
  </si>
  <si>
    <t>Crime information systems strengthened  (#)</t>
  </si>
  <si>
    <t>Business environment reforms enacted  (#)</t>
  </si>
  <si>
    <t>Projects supporting innovation ecosystems (#)</t>
  </si>
  <si>
    <t>Cross-border and transnational projects (#)</t>
  </si>
  <si>
    <t>Amount of international trade promoted (US$)</t>
  </si>
  <si>
    <t>Companies supported in innovation activities (#)</t>
  </si>
  <si>
    <t>Amount of FDI promoted (US$)</t>
  </si>
  <si>
    <t>Beneficiaries of improved management and sustainable use of cultural capital  (#)</t>
  </si>
  <si>
    <t>Section 2. Country Development Objectives</t>
  </si>
  <si>
    <t>Country Strategy Results Matrix</t>
  </si>
  <si>
    <t>The intervention is aligned with an objective of the Country Strategy Results Matrix</t>
  </si>
  <si>
    <t>GN-2924</t>
  </si>
  <si>
    <t>The Country Strategy (CS or CSU) objective to which the project is aligned has been identified</t>
  </si>
  <si>
    <t>Country Program Results Matrix</t>
  </si>
  <si>
    <t>The project is included in the CPD of the corresponding year</t>
  </si>
  <si>
    <t>GN-2915-2</t>
  </si>
  <si>
    <t>No</t>
  </si>
  <si>
    <t>If the intervention is not aligned with the Country Strategy Results Matrix or Country Program</t>
  </si>
  <si>
    <t xml:space="preserve"> Provide justification of the relevance of this project to current country development challenges</t>
  </si>
  <si>
    <r>
      <rPr>
        <b/>
        <sz val="14"/>
        <rFont val="Calibri"/>
        <family val="2"/>
      </rPr>
      <t>¶</t>
    </r>
    <r>
      <rPr>
        <b/>
        <sz val="12"/>
        <rFont val="Calibri"/>
        <family val="2"/>
      </rPr>
      <t>2.12 del PP</t>
    </r>
  </si>
  <si>
    <t xml:space="preserve"> Development Effectiveness Matrix for Sovereign Guaranteed Operations - 2015</t>
  </si>
  <si>
    <t>Part I  - Strategic Alignment</t>
  </si>
  <si>
    <r>
      <t xml:space="preserve">Fill the white cells of the "Yes/No column" with </t>
    </r>
    <r>
      <rPr>
        <b/>
        <sz val="11"/>
        <rFont val="Arial"/>
        <family val="2"/>
      </rPr>
      <t xml:space="preserve">"Yes" </t>
    </r>
    <r>
      <rPr>
        <sz val="11"/>
        <rFont val="Arial"/>
        <family val="2"/>
      </rPr>
      <t>if the Proposal of the project includes the information requested or fullfills the criterion. If the project doesn't fulfill the criterion, leave the cell blank.</t>
    </r>
  </si>
  <si>
    <r>
      <t xml:space="preserve">Please specify in the information &amp; references column, and in the corresponding row, if the project has a Lending Program Classification identified in OPUS. Use one of the two following sentences: i) Lending Program </t>
    </r>
    <r>
      <rPr>
        <b/>
        <sz val="11"/>
        <rFont val="Arial"/>
        <family val="2"/>
      </rPr>
      <t>Automatic</t>
    </r>
    <r>
      <rPr>
        <sz val="11"/>
        <rFont val="Arial"/>
        <family val="2"/>
      </rPr>
      <t xml:space="preserve"> Classification in OPUS, or ii) Lending Program </t>
    </r>
    <r>
      <rPr>
        <b/>
        <sz val="11"/>
        <rFont val="Arial"/>
        <family val="2"/>
      </rPr>
      <t>Conditional</t>
    </r>
    <r>
      <rPr>
        <sz val="11"/>
        <rFont val="Arial"/>
        <family val="2"/>
      </rPr>
      <t xml:space="preserve"> Classification in OPUS.
The DEM’s Alignment Section should be completely consistent with the Lending Program Classification in OPUS and a justification of this contribution should be clearly specified in the loan proposal.</t>
    </r>
  </si>
  <si>
    <t>Criterio</t>
  </si>
  <si>
    <t>Alineación</t>
  </si>
  <si>
    <t>Contribución</t>
  </si>
  <si>
    <t xml:space="preserve">Sección 1. Alineación Estragégica con el Noveno Aumento </t>
  </si>
  <si>
    <t>Programa de préstamos</t>
  </si>
  <si>
    <t>Inclusión Social e Igualdad</t>
  </si>
  <si>
    <t>Productividad e Innovación</t>
  </si>
  <si>
    <t>Integración Económica</t>
  </si>
  <si>
    <t>Temas transversales</t>
  </si>
  <si>
    <t>Equidad de Género y Diversidad</t>
  </si>
  <si>
    <t>Cambio Climático y Sostenibilidad Ambiental</t>
  </si>
  <si>
    <t>Capacidad Institucional y Estado de Derecho</t>
  </si>
  <si>
    <t>Indicadores de resultados de desarrollo de países</t>
  </si>
  <si>
    <t>Países de la región que mejoraron sus resultados de aprendizaje en PISA (%)</t>
  </si>
  <si>
    <t xml:space="preserve">Tasa de mortalidad maternal (número de muertes maternas por cada 100.000 nacidos vivos) </t>
  </si>
  <si>
    <t>Valor de la propiedad dentro del área de influencia del proyecto (% cambio)</t>
  </si>
  <si>
    <r>
      <t>Reducción de emisiones con apoyo de financiamiento del Grupo BID (millones de toneladas anuales de CO</t>
    </r>
    <r>
      <rPr>
        <vertAlign val="subscript"/>
        <sz val="10"/>
        <color rgb="FF000000"/>
        <rFont val="Arial"/>
        <family val="2"/>
      </rPr>
      <t>2</t>
    </r>
    <r>
      <rPr>
        <sz val="10"/>
        <color rgb="FF000000"/>
        <rFont val="Arial"/>
        <family val="2"/>
      </rPr>
      <t xml:space="preserve"> equivalente)</t>
    </r>
  </si>
  <si>
    <t xml:space="preserve">Tiempos de procesamiento del comercio internacional de bienes y servicios por parte de las agencias públicas responsables </t>
  </si>
  <si>
    <t>Empleo formal para mujeres (%)</t>
  </si>
  <si>
    <t>Impuestos recaudados como porcentaje del PIB (%)</t>
  </si>
  <si>
    <t>Estudiantes beneficiados por proyectos de educación (#)</t>
  </si>
  <si>
    <t>Beneficiarios que reciben servicios de salud (#)</t>
  </si>
  <si>
    <t>Beneficiarios de programas destinados a combatir la pobreza (#)</t>
  </si>
  <si>
    <t>Beneficiarios de una mejor gestión y uso sostenible del capital natural (#)</t>
  </si>
  <si>
    <t>Hogares que se benefician de soluciones de vivienda (#)</t>
  </si>
  <si>
    <t>Beneficiarios de programas de capacitación en el trabajo  (#)</t>
  </si>
  <si>
    <t>Empleos creados por empresas apoyadas (#)</t>
  </si>
  <si>
    <t>Mujeres beneficiarias de iniciativas de empoderamiento económico (#)</t>
  </si>
  <si>
    <t>Micro / pequeñas / medianas empresas financiadas (#)</t>
  </si>
  <si>
    <t>Micro / pequeñas / medianas empresas a las que se les proporciona apoyo no financiero  (#)</t>
  </si>
  <si>
    <t>Hogares con acceso nuevo o mejorado a agua potable (#)</t>
  </si>
  <si>
    <t>Hogares con acceso nuevo o mejorado a saneamiento  (#)</t>
  </si>
  <si>
    <t>Capacidad de generación de energía instalada de fuentes de energía renovable (%)</t>
  </si>
  <si>
    <t>Caminos construidos o mejorados  (km)</t>
  </si>
  <si>
    <t>Profesionales de los sectores públicos y privado capacitados o asesorados en integración económica (#)</t>
  </si>
  <si>
    <t>Acuerdos de integración regional, subregional y extra regional e iniciativas de cooperación apoyadas (#)</t>
  </si>
  <si>
    <t>Gobiernos subnacionales beneficiados por proyectos de seguridad ciudadana (#)</t>
  </si>
  <si>
    <t>Agencias gubernamentales beneficiadas por proyectos que fortalecen los instrumentos tecnológicos y de gestión para mejorar la provisión de servicios públicos (#)</t>
  </si>
  <si>
    <t>Maestros capacitados (#)</t>
  </si>
  <si>
    <t>Niños que reciben servicios de desarrollo de la primera infancia dirigidos a los pobres (#)</t>
  </si>
  <si>
    <t>Beneficiarios de acceso mejorado a servicios financieros formales (#)</t>
  </si>
  <si>
    <t>Hogares con tratamiento de agua residuales (#)</t>
  </si>
  <si>
    <t>Hogares con residuos sólidos desechados en un relleno sanitario (#)</t>
  </si>
  <si>
    <t>Hogares protegidos del riesgo de inundación (#)</t>
  </si>
  <si>
    <t>Hogares con acceso Nuevo o mejorado al suministro de electricidad (#)</t>
  </si>
  <si>
    <t>Sistemas de transporte masivo ferroviarios y de autobuses construidos o mejorados (km)</t>
  </si>
  <si>
    <t>Puertos construidos o mejorados (#)</t>
  </si>
  <si>
    <t>Aeropuertos construidos o mejorados (#)</t>
  </si>
  <si>
    <t>Líneas ferroviarias interurbanas construidas o mejoradas (km)</t>
  </si>
  <si>
    <t>Líneas de transmisión y distribución de electricidad instaladas o mejoradas (km)</t>
  </si>
  <si>
    <t>Agricultores con acceso mejorado a servicios e inversiones agrícolas (#)</t>
  </si>
  <si>
    <t>Beneficiarios de proyectos del Grupo BID que contribuyen por lo menos a una dimensión clave de la seguridad alimentaria (#)</t>
  </si>
  <si>
    <t>Áreas terrestres y marinas con una gestión mejorada (hectáreas)</t>
  </si>
  <si>
    <t>Destinos turísticos beneficiados por proyectos con el objetivo de aumentar el gasto turístico, la inclusión local y social y/o mejorar la gestión ambiental (#)</t>
  </si>
  <si>
    <t>Países que han mejorado la gestión del riesgo de desastres (#)</t>
  </si>
  <si>
    <t>Países beneficiados por los proyectos del BID destinados a mejorar la movilización de recursos domésticos (#)</t>
  </si>
  <si>
    <t>Gobiernos subnacionales beneficiados por la descentralización, la gestión fiscal y proyectos de capacidad institucional (#)</t>
  </si>
  <si>
    <t>Países que usan sistemas nacionales fiduciarios (#)</t>
  </si>
  <si>
    <t>Registros públicos fortalecidos (#)</t>
  </si>
  <si>
    <t>Instituciones de rendición de cuenta fortalecidas (#)</t>
  </si>
  <si>
    <t>Sistemas de información del delito fortalecidos (#)</t>
  </si>
  <si>
    <t>Reformas al ambiente de negocio promulgadas (#)</t>
  </si>
  <si>
    <t>Proyectos que apoyan los ecosistemas de innovación (#)</t>
  </si>
  <si>
    <t>Proyectos transfronterizos y transnacionales (#)</t>
  </si>
  <si>
    <t>Monto del comercio internacional promovido (US$)</t>
  </si>
  <si>
    <t>Empresas apoyadas en actividades de innovación (#)</t>
  </si>
  <si>
    <t>Monto de la IED promovida (US$)</t>
  </si>
  <si>
    <t>Beneficiarios de una mejor gestión y uso sostenible del capital cultural (#)</t>
  </si>
  <si>
    <t xml:space="preserve">Section 2. Country Strategy/Country Program Alignment  </t>
  </si>
  <si>
    <t>The intervention is aligned with an objective or result of the Country Strategy Results Matrix</t>
  </si>
  <si>
    <t>Fill in GN # of current Country Strategy</t>
  </si>
  <si>
    <t>The Country Strategy (CS or CSU) objective or result to which project outcome is expected to contribute has been identified</t>
  </si>
  <si>
    <t>Fill in CS Results Matrix objective</t>
  </si>
  <si>
    <t>Fill in GN # of Country Program Document</t>
  </si>
  <si>
    <t>If the intervention is not aligned with the country strategy matrix or country program</t>
  </si>
  <si>
    <t>Fill in referenced paragraph in the POD</t>
  </si>
  <si>
    <t>Part II  - Evaluability</t>
  </si>
  <si>
    <t>Instructions:</t>
  </si>
  <si>
    <t>See "Guidelines for  the Development Effectiveness Matrix for Sovereign Operations, Part II" for more detailed instructions</t>
  </si>
  <si>
    <r>
      <t xml:space="preserve">Fill the white cells of the "Yes/No" column" with </t>
    </r>
    <r>
      <rPr>
        <b/>
        <sz val="11"/>
        <rFont val="Arial"/>
        <family val="2"/>
      </rPr>
      <t xml:space="preserve">"Yes" </t>
    </r>
    <r>
      <rPr>
        <sz val="11"/>
        <rFont val="Arial"/>
        <family val="2"/>
      </rPr>
      <t>if the Proposal of the project includes the information requested or fulfills the criterion. If the project doesn't fulfill the criterion, leave the cell blank.</t>
    </r>
  </si>
  <si>
    <r>
      <t xml:space="preserve">In those cells where you are requested to provide referenced information, </t>
    </r>
    <r>
      <rPr>
        <b/>
        <sz val="11"/>
        <rFont val="Arial"/>
        <family val="2"/>
      </rPr>
      <t xml:space="preserve">please provide the references </t>
    </r>
    <r>
      <rPr>
        <sz val="11"/>
        <rFont val="Arial"/>
        <family val="2"/>
      </rPr>
      <t xml:space="preserve">by writing ithem in the same cell.  Fill the "Yes/No" column" with </t>
    </r>
    <r>
      <rPr>
        <b/>
        <sz val="11"/>
        <rFont val="Arial"/>
        <family val="2"/>
      </rPr>
      <t>"Yes"</t>
    </r>
    <r>
      <rPr>
        <sz val="11"/>
        <rFont val="Arial"/>
        <family val="2"/>
      </rPr>
      <t xml:space="preserve"> if you provided the information.</t>
    </r>
  </si>
  <si>
    <t xml:space="preserve"> Yes/No</t>
  </si>
  <si>
    <t>Score</t>
  </si>
  <si>
    <t xml:space="preserve">Section 3. Program Logic </t>
  </si>
  <si>
    <t>Changes Made by Team &amp; Reference(s)</t>
  </si>
  <si>
    <t>Program Diagnosis</t>
  </si>
  <si>
    <t>The main problems being addressed by the project are clearly identified</t>
  </si>
  <si>
    <t>ver párrafos 2.1 a 2.8 del PP y notas de pié de página</t>
  </si>
  <si>
    <t>The intended beneficiary population is clearly identified (households, localities, firms, users, or overall population)</t>
  </si>
  <si>
    <t>ver parrafos 2.18 del PP</t>
  </si>
  <si>
    <t>The main factors (or causes) contributing to the problems are clearly identified</t>
  </si>
  <si>
    <t>Empirical evidence of the main determinants of the problems  is provided</t>
  </si>
  <si>
    <t>Magnitudes of deficiencies are provided for main factors (in order to assess the relative importance of identified factors)</t>
  </si>
  <si>
    <t>Diagnosis takes into account specific country characteristics in the area of project intervention</t>
  </si>
  <si>
    <t>Proposed Interventions or Solutions</t>
  </si>
  <si>
    <t>Proposed Intervention(s) are clearly linked to problems or needs identified in the Diagnosis</t>
  </si>
  <si>
    <t>ver parrafos 2.13  a 2.16 del POD</t>
  </si>
  <si>
    <t>Evidence of the effectiveness of the intervention(s) is based on existing evaluations of interventions in other or similar contexts (internal validity)</t>
  </si>
  <si>
    <t>ver parrafos 2.3 a 2.8 del PP y notas de pié de página</t>
  </si>
  <si>
    <t>Information about the applicability of the intervention in the country where it is implemented is provided (external validity)</t>
  </si>
  <si>
    <t>If there is no external or interal validity, then an impact evaluation or other empirical analysis with attribution to measure effectiveness is proposed for these interventions.</t>
  </si>
  <si>
    <t xml:space="preserve">Results Matrix Quality </t>
  </si>
  <si>
    <t>Vertical Logic</t>
  </si>
  <si>
    <t>The results matrix has a clear vertical logic. Each level logically contributes to the next higher level</t>
  </si>
  <si>
    <t xml:space="preserve">Impact Indicators
</t>
  </si>
  <si>
    <t>The POD and results matrix cleary state medium or long term impacts</t>
  </si>
  <si>
    <t>The results matrix or the monitoring and evaluation plan of the project includes a defined source of data or a clear data collection plan for each  indicator</t>
  </si>
  <si>
    <t>Outcome Indicators</t>
  </si>
  <si>
    <t>Every outcome indicator is Specific, Measurable, Achievable, Relevant, and Time-bound (SMART)</t>
  </si>
  <si>
    <t>Every outcome indicator has a baseline value, target and means of verification</t>
  </si>
  <si>
    <t>The results matrix or the monitoring and evaluation plan of the project includes a defined source of data or a clear data collection plan for each outcome indicator</t>
  </si>
  <si>
    <t>Outputs</t>
  </si>
  <si>
    <t>Every output indicator is Specific, Measurable, Achievable, Relevant, and Time-bound (SMART)</t>
  </si>
  <si>
    <t>Every output indicator has a baseline value, target and means of verification</t>
  </si>
  <si>
    <t>The results matrix or the monitoring and evaluation plan of the project includes a defined source of data or a clear data collection plan for each output indicator</t>
  </si>
  <si>
    <t>Section 4. Economic Analysis</t>
  </si>
  <si>
    <t>Exempted Lending Instruments</t>
  </si>
  <si>
    <t>The operation is a PBL, PBP or Immediate Response Facility</t>
  </si>
  <si>
    <t>Cost-Benefit Analysis (CBA)</t>
  </si>
  <si>
    <r>
      <t xml:space="preserve">An ERR for the project is estimated - Fill in estimated ERR value expressed as 14.75 for 14.75% (can be negative) in </t>
    </r>
    <r>
      <rPr>
        <b/>
        <sz val="11"/>
        <rFont val="Arial"/>
        <family val="2"/>
      </rPr>
      <t>cell C42</t>
    </r>
  </si>
  <si>
    <t>The main economic benefits and costs are identified and quantified</t>
  </si>
  <si>
    <r>
      <t xml:space="preserve">Assumptions are identified and supported by empirical evidence </t>
    </r>
    <r>
      <rPr>
        <i/>
        <u/>
        <sz val="11"/>
        <color theme="1"/>
        <rFont val="Arial"/>
        <family val="2"/>
      </rPr>
      <t>or</t>
    </r>
    <r>
      <rPr>
        <sz val="11"/>
        <color theme="1"/>
        <rFont val="Arial"/>
        <family val="2"/>
      </rPr>
      <t xml:space="preserve"> the literature</t>
    </r>
  </si>
  <si>
    <t>A sensitivity analysis is performed and includes key variables that could affect benefits, costs, and assumptions</t>
  </si>
  <si>
    <t>The CBA is consistent with the baseline and target values for key outcome and/or impact indicators in the results matrix</t>
  </si>
  <si>
    <t>Cost-Effectiveness (CEA)</t>
  </si>
  <si>
    <t>Key outcomes are identified</t>
  </si>
  <si>
    <t>The costs of alternatives are identified and quantified</t>
  </si>
  <si>
    <r>
      <t xml:space="preserve">Assumptions are identified and supported by empirical evidence </t>
    </r>
    <r>
      <rPr>
        <i/>
        <u/>
        <sz val="11"/>
        <rFont val="Arial"/>
        <family val="2"/>
      </rPr>
      <t>or</t>
    </r>
    <r>
      <rPr>
        <sz val="11"/>
        <rFont val="Arial"/>
        <family val="2"/>
      </rPr>
      <t xml:space="preserve"> the literature</t>
    </r>
  </si>
  <si>
    <t>A sensitivity analysis is performed and includes key variables that could affect costs and assumptions</t>
  </si>
  <si>
    <t>The CEA is consistent with the baseline and target values for key outcome indicators in the results matrix</t>
  </si>
  <si>
    <t>Section 5. Monitoring &amp; Evaluation</t>
  </si>
  <si>
    <t>I. Monitoring</t>
  </si>
  <si>
    <t xml:space="preserve">Output indicators have annual targets </t>
  </si>
  <si>
    <t>Total project costs are grouped by each expected output</t>
  </si>
  <si>
    <t>All annual output targets are supported by corresponding annual costs
For LBRs: All disbursement-linked indicators have time-bound targets supported by corresponding disbursement amounts</t>
  </si>
  <si>
    <t>The sum of the total costs for all outputs, plus other costs if applicable, is equivalent to the total project amount (including counterpart funding)
For LBRs: The sum of disbursement amounts for all disbursement-linked indicators is equivalent to the amount of the loan (excluding other sources of financing)</t>
  </si>
  <si>
    <t>Monitoring mechanisms have been budgeted</t>
  </si>
  <si>
    <t xml:space="preserve">II. Evaluation </t>
  </si>
  <si>
    <t>Evaluation with Attribution</t>
  </si>
  <si>
    <t>Relevance</t>
  </si>
  <si>
    <t>There is a lack of empirical evidence with attribution on the effectiveness of the interventions (internal validity)</t>
  </si>
  <si>
    <t>There is a lack of empirical evidence on the effectiveness of the interventions in a comparable context (external validity)</t>
  </si>
  <si>
    <t xml:space="preserve">An evaluation of this intervention can contribute to close knowledge gaps identified in strategic corporate documents. </t>
  </si>
  <si>
    <t>The interventions have innovative components</t>
  </si>
  <si>
    <t>Project counterparts consider that an evaluation with attribution is important to inform the project design, contribute to sustainability or promote accountability.</t>
  </si>
  <si>
    <t>Methodology</t>
  </si>
  <si>
    <t>Experimental (random assignment)</t>
  </si>
  <si>
    <t>Regression Discontinuity</t>
  </si>
  <si>
    <t>Instrumental Variables</t>
  </si>
  <si>
    <t>Difference in differences</t>
  </si>
  <si>
    <t>Matching</t>
  </si>
  <si>
    <t>Synthetic Control</t>
  </si>
  <si>
    <t>Quality of Evaluation Plan</t>
  </si>
  <si>
    <t>The questions that the evaluation will try to answer are clearly stated</t>
  </si>
  <si>
    <t>The methodology proposed to determine attribution is appropriate and its assumptions are likely to hold</t>
  </si>
  <si>
    <t>Power analysis was performed to ensure that expected impacts may be detected</t>
  </si>
  <si>
    <t>Data sources and their availability or timelines to gather/access data necessary for the IE are specified</t>
  </si>
  <si>
    <t xml:space="preserve">The evaluation plan follows practices for transparency and credibility </t>
  </si>
  <si>
    <t>The evaluation has an appropriate budget allocated</t>
  </si>
  <si>
    <t>Other Evaluations</t>
  </si>
  <si>
    <t>General Equilibrium Model or Simulation</t>
  </si>
  <si>
    <t>Ex post Economic Analysis</t>
  </si>
  <si>
    <t>Before and After</t>
  </si>
  <si>
    <t>Qualitative</t>
  </si>
  <si>
    <t>Operational / Process</t>
  </si>
  <si>
    <t xml:space="preserve">The questions that the evaluation will try to answer are clearly stated  </t>
  </si>
  <si>
    <t xml:space="preserve">The evaluation methodology proposed is appropriate to attempt answering the evaluation questions </t>
  </si>
  <si>
    <t>Data sources and their availability or timelines to gather/access data necessary are specified</t>
  </si>
  <si>
    <t>Risk Management and Additionality</t>
  </si>
  <si>
    <t>See "Guidelines for  the Development Effectiveness Matrix for Sovereign Operations, Part III" for more detailed instructions</t>
  </si>
  <si>
    <r>
      <t xml:space="preserve">In those cells where you are requested to provide referenced information, </t>
    </r>
    <r>
      <rPr>
        <b/>
        <sz val="11"/>
        <rFont val="Arial"/>
        <family val="2"/>
      </rPr>
      <t xml:space="preserve">please provide the references </t>
    </r>
    <r>
      <rPr>
        <sz val="11"/>
        <rFont val="Arial"/>
        <family val="2"/>
      </rPr>
      <t xml:space="preserve">by writing them in the same cell.  Fill the "Yes/No" column" with </t>
    </r>
    <r>
      <rPr>
        <b/>
        <sz val="11"/>
        <rFont val="Arial"/>
        <family val="2"/>
      </rPr>
      <t>"Yes"</t>
    </r>
    <r>
      <rPr>
        <sz val="11"/>
        <rFont val="Arial"/>
        <family val="2"/>
      </rPr>
      <t xml:space="preserve"> if you provided the information.</t>
    </r>
  </si>
  <si>
    <t>Part III  - Risk Management</t>
  </si>
  <si>
    <t>Section 6. Risk Management</t>
  </si>
  <si>
    <t>Overall risk rate = magnitude of risks*likelihood</t>
  </si>
  <si>
    <t>Specify Overall risk rate: High, Medium or Low</t>
  </si>
  <si>
    <t>Low</t>
  </si>
  <si>
    <t>Environmental and Social Category</t>
  </si>
  <si>
    <t>Specify Environmental and Social Category: A, B, C, B.13</t>
  </si>
  <si>
    <t>B</t>
  </si>
  <si>
    <t xml:space="preserve">Risk Matrix </t>
  </si>
  <si>
    <t>Identified risks have been rated for magnitude</t>
  </si>
  <si>
    <t>Identified risks have been rated for likelihood</t>
  </si>
  <si>
    <t>Mitigation Measures</t>
  </si>
  <si>
    <t>Major risks have identified proper mitigation measures</t>
  </si>
  <si>
    <t>Mitigation measures have SMART indicators for tracking their implementation</t>
  </si>
  <si>
    <t>Part IV  - Additionality</t>
  </si>
  <si>
    <t>Información y referencias</t>
  </si>
  <si>
    <t>Section 7. Additionality</t>
  </si>
  <si>
    <t xml:space="preserve">The project relies on the use of country systems </t>
  </si>
  <si>
    <t>Fiduciary Systems(VPC/FMP criteria)</t>
  </si>
  <si>
    <r>
      <t xml:space="preserve">    </t>
    </r>
    <r>
      <rPr>
        <b/>
        <i/>
        <sz val="11"/>
        <rFont val="Arial"/>
        <family val="2"/>
      </rPr>
      <t xml:space="preserve"> Financial Management</t>
    </r>
  </si>
  <si>
    <t xml:space="preserve">         Budget</t>
  </si>
  <si>
    <t xml:space="preserve">         Treasury</t>
  </si>
  <si>
    <t xml:space="preserve">         Accounting and Reporting</t>
  </si>
  <si>
    <t xml:space="preserve">         External Control</t>
  </si>
  <si>
    <t xml:space="preserve">         Internal Audit</t>
  </si>
  <si>
    <r>
      <t xml:space="preserve">    </t>
    </r>
    <r>
      <rPr>
        <b/>
        <i/>
        <sz val="11"/>
        <rFont val="Arial"/>
        <family val="2"/>
      </rPr>
      <t xml:space="preserve"> Procurement</t>
    </r>
  </si>
  <si>
    <t xml:space="preserve">        Information System</t>
  </si>
  <si>
    <t>Price Comparison</t>
  </si>
  <si>
    <t xml:space="preserve">        Contracting Individual Consultant</t>
  </si>
  <si>
    <t xml:space="preserve">        National Public Bidding</t>
  </si>
  <si>
    <t xml:space="preserve">               Partial National Competitive Bidding</t>
  </si>
  <si>
    <t xml:space="preserve">               Advanced National Competitive Bidding</t>
  </si>
  <si>
    <t>Non-Fiduciary Systems</t>
  </si>
  <si>
    <t xml:space="preserve">     Strategic Planning National System</t>
  </si>
  <si>
    <t xml:space="preserve">          Use of some Sectorial or Sub-national system</t>
  </si>
  <si>
    <t xml:space="preserve">     Monitoring and Evaluation National System</t>
  </si>
  <si>
    <t xml:space="preserve">     Statistics National System</t>
  </si>
  <si>
    <t xml:space="preserve">     Environmental Assessment National System</t>
  </si>
  <si>
    <t>Escriba la justificación para esta adicionalidad en español</t>
  </si>
  <si>
    <r>
      <t xml:space="preserve">In those cells where you are requested to provide referenced information, </t>
    </r>
    <r>
      <rPr>
        <b/>
        <sz val="11"/>
        <rFont val="Arial"/>
        <family val="2"/>
      </rPr>
      <t xml:space="preserve">please provide the references </t>
    </r>
    <r>
      <rPr>
        <sz val="11"/>
        <rFont val="Arial"/>
        <family val="2"/>
      </rPr>
      <t xml:space="preserve">by writing it in the same cell.  Fill the "Yes/No column" with </t>
    </r>
    <r>
      <rPr>
        <b/>
        <sz val="11"/>
        <rFont val="Arial"/>
        <family val="2"/>
      </rPr>
      <t>"Yes"</t>
    </r>
    <r>
      <rPr>
        <sz val="11"/>
        <rFont val="Arial"/>
        <family val="2"/>
      </rPr>
      <t xml:space="preserve"> if you provided the information.</t>
    </r>
  </si>
  <si>
    <t>Fiduciary Systems(VPC/PDP criteria)</t>
  </si>
  <si>
    <r>
      <t xml:space="preserve">    </t>
    </r>
    <r>
      <rPr>
        <b/>
        <i/>
        <sz val="10"/>
        <rFont val="Arial"/>
        <family val="2"/>
      </rPr>
      <t xml:space="preserve"> Administración financiera</t>
    </r>
  </si>
  <si>
    <t xml:space="preserve">         Presupuesto</t>
  </si>
  <si>
    <t xml:space="preserve">         Tesorería</t>
  </si>
  <si>
    <t xml:space="preserve">         Contabilidad y emisión de informes</t>
  </si>
  <si>
    <t xml:space="preserve">         Controles externos</t>
  </si>
  <si>
    <t xml:space="preserve">         Auditoría interna</t>
  </si>
  <si>
    <r>
      <t xml:space="preserve">    </t>
    </r>
    <r>
      <rPr>
        <b/>
        <i/>
        <sz val="10"/>
        <rFont val="Arial"/>
        <family val="2"/>
      </rPr>
      <t xml:space="preserve"> Adquisiciones y contrataciones</t>
    </r>
  </si>
  <si>
    <t xml:space="preserve">         Sistema de información</t>
  </si>
  <si>
    <t xml:space="preserve">         Método de comparación de precios</t>
  </si>
  <si>
    <t xml:space="preserve">         Contratación de consultor individual</t>
  </si>
  <si>
    <t xml:space="preserve">         Licitación pública nacional</t>
  </si>
  <si>
    <t xml:space="preserve">               Licitación pública nacional parcial</t>
  </si>
  <si>
    <t xml:space="preserve">               Licitación pública nacional avanzada</t>
  </si>
  <si>
    <t xml:space="preserve">     Sistema Nacional de Planeación Estratégica</t>
  </si>
  <si>
    <t xml:space="preserve">     Sistema Nacional de Monitoreo y Evaluación</t>
  </si>
  <si>
    <t xml:space="preserve">     Sistema Nacional de Estadística</t>
  </si>
  <si>
    <t xml:space="preserve">     Sistema Nacional de Evaluación Ambiental</t>
  </si>
  <si>
    <t>The IDB’s involvement promotes improvements of the intended beneficiaries and/or public sector entity in the following dimensions:</t>
  </si>
  <si>
    <t>(Please provide justification for this additionality)</t>
  </si>
  <si>
    <t>Labor</t>
  </si>
  <si>
    <t>Environment</t>
  </si>
  <si>
    <t>Provide reference to how this is achieved</t>
  </si>
  <si>
    <t>The ex-post impact evaluation of the project will produce evidence to close knowledge gaps in the sector that were identified in the project document and/or in the evaluation plan.</t>
  </si>
  <si>
    <t>Fill in with the impact evaluation method: Random assigment or Non-experimental (Difference-in-Differences,  Propensity  Score  Matching, Regression Discontinuity, Instrumental Variables, Simulation Model, or other approaches  that  allow  attribution), and include a description of knowledge gaps and the evidence the evaluation is expected to generate with respect to them.</t>
  </si>
  <si>
    <t>A</t>
  </si>
  <si>
    <t>Medium</t>
  </si>
  <si>
    <t>High</t>
  </si>
  <si>
    <t>C</t>
  </si>
  <si>
    <t>B.13</t>
  </si>
  <si>
    <t>Estructura</t>
  </si>
  <si>
    <t>Titulo principal</t>
  </si>
  <si>
    <t>Titulo secundario</t>
  </si>
  <si>
    <t>Total</t>
  </si>
  <si>
    <t>Subtotal 1</t>
  </si>
  <si>
    <t>Subtotal 2</t>
  </si>
  <si>
    <t>Agregados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</si>
</sst>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
    <numFmt numFmtId="166" formatCode="0.00000"/>
    <numFmt numFmtId="167" formatCode="0.0%"/>
    <numFmt numFmtId="168" formatCode="0.000"/>
  </numFmts>
  <fonts count="41" x14ac:knownFonts="1">
    <font>
      <sz val="10"/>
      <name val="Arial"/>
    </font>
    <font>
      <b/>
      <sz val="12"/>
      <color indexed="9"/>
      <name val="Calibri"/>
      <family val="2"/>
    </font>
    <font>
      <sz val="11"/>
      <color indexed="8"/>
      <name val="Calibri"/>
      <family val="2"/>
    </font>
    <font>
      <sz val="10"/>
      <name val="Arial"/>
      <family val="2"/>
    </font>
    <font>
      <sz val="11"/>
      <color indexed="9"/>
      <name val="Calibri"/>
      <family val="2"/>
    </font>
    <font>
      <b/>
      <sz val="11"/>
      <color indexed="63"/>
      <name val="Calibri"/>
      <family val="2"/>
    </font>
    <font>
      <b/>
      <sz val="11"/>
      <color indexed="9"/>
      <name val="Calibri"/>
      <family val="2"/>
    </font>
    <font>
      <b/>
      <sz val="10"/>
      <name val="Arial"/>
      <family val="2"/>
    </font>
    <font>
      <b/>
      <sz val="10"/>
      <color indexed="9"/>
      <name val="Arial"/>
      <family val="2"/>
    </font>
    <font>
      <i/>
      <sz val="10"/>
      <name val="Arial"/>
      <family val="2"/>
    </font>
    <font>
      <sz val="10"/>
      <color indexed="9"/>
      <name val="Arial"/>
      <family val="2"/>
    </font>
    <font>
      <b/>
      <sz val="11"/>
      <name val="Arial"/>
      <family val="2"/>
    </font>
    <font>
      <sz val="11"/>
      <name val="Arial"/>
      <family val="2"/>
    </font>
    <font>
      <b/>
      <sz val="14"/>
      <name val="Arial"/>
      <family val="2"/>
    </font>
    <font>
      <sz val="14"/>
      <name val="Arial"/>
      <family val="2"/>
    </font>
    <font>
      <b/>
      <sz val="11"/>
      <color indexed="9"/>
      <name val="Arial"/>
      <family val="2"/>
    </font>
    <font>
      <sz val="10"/>
      <color theme="1"/>
      <name val="Arial"/>
      <family val="2"/>
    </font>
    <font>
      <b/>
      <sz val="10"/>
      <color theme="0"/>
      <name val="Arial"/>
      <family val="2"/>
    </font>
    <font>
      <b/>
      <i/>
      <sz val="10"/>
      <name val="Arial"/>
      <family val="2"/>
    </font>
    <font>
      <b/>
      <i/>
      <sz val="10"/>
      <color indexed="9"/>
      <name val="Arial"/>
      <family val="2"/>
    </font>
    <font>
      <b/>
      <sz val="10"/>
      <color indexed="8"/>
      <name val="Arial"/>
      <family val="2"/>
    </font>
    <font>
      <b/>
      <sz val="10"/>
      <color theme="1"/>
      <name val="Arial"/>
      <family val="2"/>
    </font>
    <font>
      <b/>
      <sz val="11"/>
      <color theme="0"/>
      <name val="Arial"/>
      <family val="2"/>
    </font>
    <font>
      <b/>
      <sz val="11"/>
      <color theme="1"/>
      <name val="Arial"/>
      <family val="2"/>
    </font>
    <font>
      <b/>
      <i/>
      <sz val="11"/>
      <name val="Arial"/>
      <family val="2"/>
    </font>
    <font>
      <b/>
      <i/>
      <sz val="10"/>
      <color theme="0"/>
      <name val="Arial"/>
      <family val="2"/>
    </font>
    <font>
      <sz val="11"/>
      <color indexed="9"/>
      <name val="Arial"/>
      <family val="2"/>
    </font>
    <font>
      <sz val="11"/>
      <color theme="0"/>
      <name val="Arial"/>
      <family val="2"/>
    </font>
    <font>
      <b/>
      <sz val="11"/>
      <color rgb="FFFFFFFF"/>
      <name val="Arial"/>
      <family val="2"/>
    </font>
    <font>
      <sz val="10"/>
      <color rgb="FF000000"/>
      <name val="Arial"/>
      <family val="2"/>
    </font>
    <font>
      <vertAlign val="subscript"/>
      <sz val="10"/>
      <color rgb="FF000000"/>
      <name val="Arial"/>
      <family val="2"/>
    </font>
    <font>
      <b/>
      <sz val="10"/>
      <color rgb="FFFF0000"/>
      <name val="Arial"/>
      <family val="2"/>
    </font>
    <font>
      <b/>
      <i/>
      <sz val="12"/>
      <color indexed="9"/>
      <name val="Arial"/>
      <family val="2"/>
    </font>
    <font>
      <b/>
      <sz val="12"/>
      <color indexed="9"/>
      <name val="Arial"/>
      <family val="2"/>
    </font>
    <font>
      <i/>
      <u/>
      <sz val="11"/>
      <color theme="1"/>
      <name val="Arial"/>
      <family val="2"/>
    </font>
    <font>
      <sz val="11"/>
      <color theme="1"/>
      <name val="Arial"/>
      <family val="2"/>
    </font>
    <font>
      <i/>
      <u/>
      <sz val="11"/>
      <name val="Arial"/>
      <family val="2"/>
    </font>
    <font>
      <b/>
      <sz val="12"/>
      <color theme="0"/>
      <name val="Arial"/>
      <family val="2"/>
    </font>
    <font>
      <b/>
      <sz val="10"/>
      <name val="Calibri"/>
      <family val="2"/>
    </font>
    <font>
      <b/>
      <sz val="12"/>
      <name val="Calibri"/>
      <family val="2"/>
    </font>
    <font>
      <b/>
      <sz val="14"/>
      <name val="Calibri"/>
      <family val="2"/>
    </font>
  </fonts>
  <fills count="28">
    <fill>
      <patternFill patternType="none"/>
    </fill>
    <fill>
      <patternFill patternType="gray125"/>
    </fill>
    <fill>
      <patternFill patternType="solid">
        <fgColor indexed="31"/>
      </patternFill>
    </fill>
    <fill>
      <patternFill patternType="solid">
        <fgColor indexed="44"/>
      </patternFill>
    </fill>
    <fill>
      <patternFill patternType="solid">
        <fgColor indexed="30"/>
      </patternFill>
    </fill>
    <fill>
      <patternFill patternType="solid">
        <fgColor indexed="36"/>
      </patternFill>
    </fill>
    <fill>
      <patternFill patternType="solid">
        <fgColor indexed="62"/>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1"/>
        <bgColor indexed="64"/>
      </patternFill>
    </fill>
    <fill>
      <patternFill patternType="lightGray"/>
    </fill>
    <fill>
      <patternFill patternType="solid">
        <fgColor indexed="55"/>
        <bgColor indexed="64"/>
      </patternFill>
    </fill>
    <fill>
      <patternFill patternType="solid">
        <fgColor rgb="FF008080"/>
        <bgColor indexed="64"/>
      </patternFill>
    </fill>
    <fill>
      <patternFill patternType="solid">
        <fgColor rgb="FF33CCCC"/>
        <bgColor indexed="64"/>
      </patternFill>
    </fill>
    <fill>
      <patternFill patternType="solid">
        <fgColor theme="8" tint="-0.499984740745262"/>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59999389629810485"/>
        <bgColor indexed="64"/>
      </patternFill>
    </fill>
    <fill>
      <patternFill patternType="mediumGray">
        <bgColor theme="3" tint="0.59999389629810485"/>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rgb="FF00B050"/>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s>
  <cellStyleXfs count="11">
    <xf numFmtId="0" fontId="0" fillId="0" borderId="0"/>
    <xf numFmtId="0" fontId="9"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Protection="0">
      <alignment horizontal="center"/>
    </xf>
    <xf numFmtId="0" fontId="1" fillId="6" borderId="0" applyNumberFormat="0" applyBorder="0" applyProtection="0">
      <alignment horizontal="center" vertical="center"/>
    </xf>
    <xf numFmtId="0" fontId="4" fillId="5" borderId="0" applyNumberFormat="0" applyBorder="0" applyAlignment="0" applyProtection="0"/>
    <xf numFmtId="0" fontId="6" fillId="8" borderId="1" applyNumberFormat="0" applyAlignment="0" applyProtection="0"/>
    <xf numFmtId="0" fontId="3" fillId="0" borderId="0"/>
    <xf numFmtId="0" fontId="5" fillId="7" borderId="2" applyNumberFormat="0" applyAlignment="0" applyProtection="0"/>
    <xf numFmtId="9" fontId="3" fillId="0" borderId="0" applyFont="0" applyFill="0" applyBorder="0" applyAlignment="0" applyProtection="0"/>
  </cellStyleXfs>
  <cellXfs count="424">
    <xf numFmtId="0" fontId="0" fillId="0" borderId="0" xfId="0"/>
    <xf numFmtId="165" fontId="7" fillId="0" borderId="30" xfId="0" applyNumberFormat="1" applyFont="1" applyBorder="1" applyAlignment="1" applyProtection="1">
      <alignment horizontal="center" vertical="center" wrapText="1"/>
      <protection hidden="1"/>
    </xf>
    <xf numFmtId="0" fontId="3" fillId="0" borderId="0" xfId="0" applyFont="1" applyAlignment="1">
      <alignment vertical="center"/>
    </xf>
    <xf numFmtId="0" fontId="3" fillId="0" borderId="0" xfId="0" applyFont="1" applyAlignment="1">
      <alignment vertical="center" wrapText="1"/>
    </xf>
    <xf numFmtId="0" fontId="7" fillId="0" borderId="3" xfId="0" applyFont="1" applyBorder="1" applyAlignment="1">
      <alignment vertical="center"/>
    </xf>
    <xf numFmtId="0" fontId="3" fillId="12" borderId="0" xfId="0" applyFont="1" applyFill="1" applyAlignment="1">
      <alignment vertical="center"/>
    </xf>
    <xf numFmtId="165" fontId="3" fillId="0" borderId="0" xfId="0" applyNumberFormat="1" applyFont="1" applyAlignment="1">
      <alignment horizontal="center" vertical="center"/>
    </xf>
    <xf numFmtId="0" fontId="7" fillId="10" borderId="4" xfId="0" applyFont="1" applyFill="1" applyBorder="1" applyAlignment="1">
      <alignment vertical="center" wrapText="1"/>
    </xf>
    <xf numFmtId="0" fontId="7" fillId="10" borderId="10" xfId="0" applyFont="1" applyFill="1" applyBorder="1" applyAlignment="1">
      <alignment vertical="center" wrapText="1"/>
    </xf>
    <xf numFmtId="0" fontId="3" fillId="0" borderId="10" xfId="0" applyFont="1" applyBorder="1" applyAlignment="1">
      <alignment vertical="center" wrapText="1"/>
    </xf>
    <xf numFmtId="0" fontId="7" fillId="0" borderId="10" xfId="0" applyFont="1" applyBorder="1" applyAlignment="1">
      <alignment vertical="center" wrapText="1"/>
    </xf>
    <xf numFmtId="0" fontId="10" fillId="11" borderId="4" xfId="0" applyFont="1" applyFill="1" applyBorder="1" applyAlignment="1">
      <alignment vertical="center" wrapText="1"/>
    </xf>
    <xf numFmtId="0" fontId="8" fillId="14" borderId="7" xfId="0" applyFont="1" applyFill="1" applyBorder="1" applyAlignment="1">
      <alignment vertical="center" wrapText="1"/>
    </xf>
    <xf numFmtId="0" fontId="8" fillId="11" borderId="10" xfId="0" applyFont="1" applyFill="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3" fillId="0" borderId="3" xfId="0" applyFont="1" applyBorder="1" applyAlignment="1">
      <alignment vertical="center"/>
    </xf>
    <xf numFmtId="0" fontId="7" fillId="0" borderId="0" xfId="0" applyFont="1" applyAlignment="1">
      <alignment vertical="center" wrapText="1"/>
    </xf>
    <xf numFmtId="165" fontId="3" fillId="0" borderId="0" xfId="0" applyNumberFormat="1" applyFont="1" applyAlignment="1">
      <alignment vertical="center" wrapText="1"/>
    </xf>
    <xf numFmtId="0" fontId="7" fillId="0" borderId="0" xfId="0" applyFont="1" applyAlignment="1">
      <alignment vertical="center"/>
    </xf>
    <xf numFmtId="0" fontId="13" fillId="0" borderId="22" xfId="0" applyFont="1" applyBorder="1" applyAlignment="1">
      <alignment vertical="center"/>
    </xf>
    <xf numFmtId="0" fontId="7" fillId="0" borderId="20" xfId="0" applyFont="1" applyBorder="1" applyAlignment="1">
      <alignment vertical="center"/>
    </xf>
    <xf numFmtId="0" fontId="12" fillId="0" borderId="10"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11" fillId="0" borderId="10" xfId="0" applyFont="1" applyBorder="1" applyAlignment="1">
      <alignment vertical="center" wrapText="1"/>
    </xf>
    <xf numFmtId="0" fontId="11" fillId="15" borderId="4" xfId="0" applyFont="1" applyFill="1" applyBorder="1" applyAlignment="1">
      <alignment horizontal="center" vertical="center" wrapText="1"/>
    </xf>
    <xf numFmtId="0" fontId="11" fillId="0" borderId="0" xfId="0" applyFont="1" applyAlignment="1">
      <alignment horizontal="center" vertical="center"/>
    </xf>
    <xf numFmtId="0" fontId="15" fillId="13" borderId="7" xfId="0" applyFont="1" applyFill="1" applyBorder="1" applyAlignment="1">
      <alignment vertical="center" wrapText="1"/>
    </xf>
    <xf numFmtId="0" fontId="15" fillId="13" borderId="8" xfId="0" applyFont="1" applyFill="1" applyBorder="1" applyAlignment="1">
      <alignment horizontal="center" vertical="center"/>
    </xf>
    <xf numFmtId="0" fontId="15" fillId="13" borderId="9" xfId="0" applyFont="1" applyFill="1" applyBorder="1" applyAlignment="1">
      <alignment horizontal="center" vertical="center"/>
    </xf>
    <xf numFmtId="0" fontId="3" fillId="0" borderId="12" xfId="0" applyFont="1" applyBorder="1" applyAlignment="1">
      <alignment vertical="center" wrapText="1"/>
    </xf>
    <xf numFmtId="0" fontId="11" fillId="0" borderId="4"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4"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12" borderId="0" xfId="0" applyFont="1" applyFill="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12" fillId="0" borderId="0" xfId="0" applyFont="1" applyAlignment="1" applyProtection="1">
      <alignment vertical="center"/>
      <protection locked="0"/>
    </xf>
    <xf numFmtId="0" fontId="11" fillId="0" borderId="10" xfId="0" applyFont="1" applyBorder="1" applyAlignment="1">
      <alignment horizontal="right" vertical="center" wrapText="1"/>
    </xf>
    <xf numFmtId="0" fontId="11" fillId="0" borderId="12" xfId="0" applyFont="1" applyBorder="1" applyAlignment="1">
      <alignment vertical="center" wrapText="1"/>
    </xf>
    <xf numFmtId="0" fontId="11" fillId="0" borderId="5" xfId="0" applyFont="1" applyBorder="1" applyAlignment="1" applyProtection="1">
      <alignment vertical="center" wrapText="1"/>
      <protection locked="0"/>
    </xf>
    <xf numFmtId="0" fontId="16" fillId="11" borderId="4" xfId="0" applyFont="1" applyFill="1" applyBorder="1" applyAlignment="1">
      <alignment vertical="center" wrapText="1"/>
    </xf>
    <xf numFmtId="0" fontId="3" fillId="0" borderId="0" xfId="0" applyFont="1"/>
    <xf numFmtId="0" fontId="15" fillId="25" borderId="10" xfId="0" applyFont="1" applyFill="1" applyBorder="1" applyAlignment="1">
      <alignment vertical="center" wrapText="1"/>
    </xf>
    <xf numFmtId="0" fontId="15" fillId="25" borderId="32" xfId="0" applyFont="1" applyFill="1" applyBorder="1" applyAlignment="1">
      <alignment vertical="center" wrapText="1"/>
    </xf>
    <xf numFmtId="0" fontId="15" fillId="25" borderId="33" xfId="0" applyFont="1" applyFill="1" applyBorder="1" applyAlignment="1">
      <alignment vertical="center" wrapText="1"/>
    </xf>
    <xf numFmtId="0" fontId="15" fillId="25" borderId="34" xfId="0" applyFont="1" applyFill="1" applyBorder="1" applyAlignment="1">
      <alignment horizontal="center" vertical="center" wrapText="1"/>
    </xf>
    <xf numFmtId="0" fontId="16" fillId="11" borderId="10" xfId="0" applyFont="1" applyFill="1" applyBorder="1" applyAlignment="1">
      <alignment vertical="center" wrapText="1"/>
    </xf>
    <xf numFmtId="0" fontId="8" fillId="14" borderId="9"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wrapText="1"/>
      <protection locked="0"/>
    </xf>
    <xf numFmtId="0" fontId="17" fillId="13" borderId="6" xfId="0" applyFont="1" applyFill="1" applyBorder="1" applyAlignment="1">
      <alignment vertical="center" wrapText="1"/>
    </xf>
    <xf numFmtId="0" fontId="8" fillId="13" borderId="8" xfId="0" applyFont="1" applyFill="1" applyBorder="1" applyAlignment="1">
      <alignment horizontal="center" vertical="center"/>
    </xf>
    <xf numFmtId="0" fontId="17" fillId="14" borderId="7" xfId="0" applyFont="1" applyFill="1" applyBorder="1" applyAlignment="1">
      <alignment vertical="center" wrapText="1"/>
    </xf>
    <xf numFmtId="0" fontId="8" fillId="14" borderId="4" xfId="0" applyFont="1" applyFill="1" applyBorder="1" applyAlignment="1">
      <alignment vertical="center" wrapText="1"/>
    </xf>
    <xf numFmtId="0" fontId="8" fillId="11" borderId="4" xfId="0" applyFont="1" applyFill="1" applyBorder="1" applyAlignment="1">
      <alignment vertical="center" wrapText="1"/>
    </xf>
    <xf numFmtId="0" fontId="8" fillId="11" borderId="4" xfId="0" applyFont="1" applyFill="1" applyBorder="1" applyAlignment="1">
      <alignment horizontal="center" vertical="center" wrapText="1"/>
    </xf>
    <xf numFmtId="0" fontId="8" fillId="14" borderId="8" xfId="0" applyFont="1" applyFill="1" applyBorder="1" applyAlignment="1">
      <alignment vertical="center" wrapText="1"/>
    </xf>
    <xf numFmtId="0" fontId="8" fillId="14" borderId="8" xfId="0" applyFont="1" applyFill="1" applyBorder="1" applyAlignment="1">
      <alignment horizontal="center" vertical="center" wrapText="1"/>
    </xf>
    <xf numFmtId="0" fontId="8" fillId="11" borderId="10" xfId="1" applyFont="1" applyFill="1" applyBorder="1" applyAlignment="1">
      <alignment vertical="center" wrapText="1"/>
    </xf>
    <xf numFmtId="0" fontId="3" fillId="0" borderId="10" xfId="8" applyBorder="1" applyAlignment="1">
      <alignment vertical="center" wrapText="1"/>
    </xf>
    <xf numFmtId="0" fontId="16" fillId="11" borderId="4" xfId="0" applyFont="1" applyFill="1" applyBorder="1" applyAlignment="1">
      <alignment horizontal="center" vertical="center" wrapText="1"/>
    </xf>
    <xf numFmtId="0" fontId="12"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3" fillId="0" borderId="0" xfId="0" applyFont="1" applyAlignment="1">
      <alignment wrapText="1"/>
    </xf>
    <xf numFmtId="0" fontId="7" fillId="21" borderId="10" xfId="0" applyFont="1" applyFill="1" applyBorder="1" applyAlignment="1">
      <alignment vertical="center" wrapText="1"/>
    </xf>
    <xf numFmtId="0" fontId="20" fillId="0" borderId="10" xfId="0" applyFont="1" applyBorder="1" applyAlignment="1">
      <alignment vertical="center" wrapText="1"/>
    </xf>
    <xf numFmtId="165" fontId="7" fillId="0" borderId="4" xfId="0" applyNumberFormat="1" applyFont="1" applyBorder="1" applyAlignment="1" applyProtection="1">
      <alignment horizontal="right" vertical="center" wrapText="1"/>
      <protection locked="0"/>
    </xf>
    <xf numFmtId="0" fontId="7" fillId="21" borderId="10" xfId="0" applyFont="1" applyFill="1" applyBorder="1" applyAlignment="1">
      <alignment horizontal="left" vertical="center" wrapText="1"/>
    </xf>
    <xf numFmtId="0" fontId="7" fillId="0" borderId="10" xfId="0" applyFont="1" applyBorder="1" applyAlignment="1">
      <alignment horizontal="right" vertical="center" wrapText="1"/>
    </xf>
    <xf numFmtId="165" fontId="20" fillId="0" borderId="4" xfId="0" applyNumberFormat="1" applyFont="1" applyBorder="1" applyAlignment="1">
      <alignment horizontal="center" vertical="center" wrapText="1"/>
    </xf>
    <xf numFmtId="0" fontId="3" fillId="0" borderId="10" xfId="0" applyFont="1" applyBorder="1" applyAlignment="1">
      <alignment horizontal="right" vertical="center" wrapText="1"/>
    </xf>
    <xf numFmtId="0" fontId="7" fillId="0" borderId="12" xfId="0" applyFont="1" applyBorder="1" applyAlignment="1">
      <alignment vertical="center" wrapText="1"/>
    </xf>
    <xf numFmtId="0" fontId="20" fillId="0" borderId="4" xfId="0" applyFont="1" applyBorder="1" applyAlignment="1" applyProtection="1">
      <alignment horizontal="center" vertical="center" wrapText="1"/>
      <protection hidden="1"/>
    </xf>
    <xf numFmtId="167" fontId="3" fillId="0" borderId="0" xfId="0" applyNumberFormat="1" applyFont="1" applyAlignment="1">
      <alignment wrapText="1"/>
    </xf>
    <xf numFmtId="0" fontId="3" fillId="0" borderId="0" xfId="0" applyFont="1" applyAlignment="1" applyProtection="1">
      <alignment vertical="center"/>
      <protection hidden="1"/>
    </xf>
    <xf numFmtId="0" fontId="8" fillId="14" borderId="10" xfId="0" applyFont="1" applyFill="1" applyBorder="1" applyAlignment="1">
      <alignment vertical="center" wrapText="1"/>
    </xf>
    <xf numFmtId="0" fontId="3" fillId="24" borderId="0" xfId="0" applyFont="1" applyFill="1" applyAlignment="1" applyProtection="1">
      <alignment vertical="center"/>
      <protection hidden="1"/>
    </xf>
    <xf numFmtId="0" fontId="11" fillId="15" borderId="11" xfId="0" applyFont="1" applyFill="1" applyBorder="1" applyAlignment="1">
      <alignment horizontal="center" vertical="center" wrapText="1"/>
    </xf>
    <xf numFmtId="0" fontId="15" fillId="14" borderId="4" xfId="0" applyFont="1" applyFill="1" applyBorder="1" applyAlignment="1">
      <alignment vertical="center" wrapText="1"/>
    </xf>
    <xf numFmtId="0" fontId="15" fillId="11" borderId="4" xfId="0" applyFont="1" applyFill="1" applyBorder="1" applyAlignment="1">
      <alignment vertical="center" wrapText="1"/>
    </xf>
    <xf numFmtId="0" fontId="3" fillId="0" borderId="4" xfId="0" applyFont="1" applyBorder="1" applyAlignment="1" applyProtection="1">
      <alignment vertical="center"/>
      <protection locked="0"/>
    </xf>
    <xf numFmtId="0" fontId="7" fillId="0" borderId="0" xfId="0" applyFont="1" applyAlignment="1" applyProtection="1">
      <alignment horizontal="center" vertical="center"/>
      <protection locked="0"/>
    </xf>
    <xf numFmtId="0" fontId="3" fillId="0" borderId="26" xfId="0" applyFont="1" applyBorder="1" applyAlignment="1" applyProtection="1">
      <alignment vertical="center"/>
      <protection hidden="1"/>
    </xf>
    <xf numFmtId="0" fontId="3" fillId="0" borderId="27" xfId="0" applyFont="1" applyBorder="1" applyAlignment="1" applyProtection="1">
      <alignment vertical="center"/>
      <protection hidden="1"/>
    </xf>
    <xf numFmtId="0" fontId="3" fillId="0" borderId="21" xfId="0" applyFont="1" applyBorder="1" applyAlignment="1" applyProtection="1">
      <alignment vertical="center"/>
      <protection hidden="1"/>
    </xf>
    <xf numFmtId="0" fontId="12" fillId="0" borderId="0" xfId="0" applyFont="1" applyAlignment="1" applyProtection="1">
      <alignment vertical="center"/>
      <protection hidden="1"/>
    </xf>
    <xf numFmtId="0" fontId="16" fillId="11" borderId="11" xfId="0" applyFont="1" applyFill="1" applyBorder="1" applyAlignment="1" applyProtection="1">
      <alignment horizontal="center" vertical="center" wrapText="1"/>
      <protection hidden="1"/>
    </xf>
    <xf numFmtId="2" fontId="7" fillId="10" borderId="11" xfId="0" applyNumberFormat="1" applyFont="1" applyFill="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locked="0"/>
    </xf>
    <xf numFmtId="0" fontId="7" fillId="10" borderId="11" xfId="0" applyFont="1" applyFill="1" applyBorder="1" applyAlignment="1">
      <alignment horizontal="center" vertical="center" wrapText="1"/>
    </xf>
    <xf numFmtId="0" fontId="16" fillId="11" borderId="11" xfId="0" applyFont="1" applyFill="1" applyBorder="1" applyAlignment="1">
      <alignment horizontal="center" vertical="center" wrapText="1"/>
    </xf>
    <xf numFmtId="0" fontId="15" fillId="14" borderId="7" xfId="0" applyFont="1" applyFill="1" applyBorder="1" applyAlignment="1">
      <alignment vertical="center" wrapText="1"/>
    </xf>
    <xf numFmtId="0" fontId="15" fillId="14" borderId="8" xfId="0" applyFont="1" applyFill="1" applyBorder="1" applyAlignment="1">
      <alignment vertical="center" wrapText="1"/>
    </xf>
    <xf numFmtId="0" fontId="15" fillId="14" borderId="8" xfId="0" applyFont="1" applyFill="1" applyBorder="1" applyAlignment="1">
      <alignment horizontal="center" vertical="center" wrapText="1"/>
    </xf>
    <xf numFmtId="165" fontId="15" fillId="14" borderId="9" xfId="0" applyNumberFormat="1" applyFont="1" applyFill="1" applyBorder="1" applyAlignment="1">
      <alignment horizontal="right" vertical="center" wrapText="1"/>
    </xf>
    <xf numFmtId="0" fontId="15" fillId="11" borderId="10" xfId="0" applyFont="1" applyFill="1" applyBorder="1" applyAlignment="1">
      <alignment vertical="center" wrapText="1"/>
    </xf>
    <xf numFmtId="0" fontId="15" fillId="11" borderId="4" xfId="0" applyFont="1" applyFill="1" applyBorder="1" applyAlignment="1">
      <alignment horizontal="center" vertical="center" wrapText="1"/>
    </xf>
    <xf numFmtId="165" fontId="26" fillId="11" borderId="11" xfId="0" applyNumberFormat="1" applyFont="1" applyFill="1" applyBorder="1" applyAlignment="1">
      <alignment horizontal="right" vertical="center" wrapText="1"/>
    </xf>
    <xf numFmtId="165" fontId="11" fillId="0" borderId="11" xfId="9" applyNumberFormat="1" applyFont="1" applyFill="1" applyBorder="1" applyAlignment="1">
      <alignment horizontal="right" vertical="center" wrapText="1"/>
    </xf>
    <xf numFmtId="0" fontId="11" fillId="10" borderId="10" xfId="0" applyFont="1" applyFill="1" applyBorder="1" applyAlignment="1">
      <alignment vertical="center" wrapText="1"/>
    </xf>
    <xf numFmtId="0" fontId="11" fillId="10" borderId="4" xfId="0" applyFont="1" applyFill="1" applyBorder="1" applyAlignment="1">
      <alignment vertical="center" wrapText="1"/>
    </xf>
    <xf numFmtId="0" fontId="11" fillId="10" borderId="4" xfId="0" applyFont="1" applyFill="1" applyBorder="1" applyAlignment="1">
      <alignment horizontal="center" vertical="center" wrapText="1"/>
    </xf>
    <xf numFmtId="165" fontId="11" fillId="10" borderId="11" xfId="0" applyNumberFormat="1" applyFont="1" applyFill="1" applyBorder="1" applyAlignment="1">
      <alignment horizontal="right" vertical="center" wrapText="1"/>
    </xf>
    <xf numFmtId="0" fontId="10" fillId="22" borderId="4" xfId="0" applyFont="1" applyFill="1" applyBorder="1" applyAlignment="1">
      <alignment horizontal="center" vertical="center" wrapText="1"/>
    </xf>
    <xf numFmtId="0" fontId="21" fillId="23" borderId="11" xfId="0" applyFont="1" applyFill="1" applyBorder="1" applyAlignment="1">
      <alignment horizontal="center" vertical="center" wrapText="1"/>
    </xf>
    <xf numFmtId="0" fontId="7" fillId="15" borderId="4" xfId="0" applyFont="1" applyFill="1" applyBorder="1" applyAlignment="1">
      <alignment horizontal="center" vertical="center" wrapText="1"/>
    </xf>
    <xf numFmtId="0" fontId="7" fillId="15" borderId="11" xfId="0" applyFont="1" applyFill="1" applyBorder="1" applyAlignment="1">
      <alignment horizontal="center" vertical="center" wrapText="1"/>
    </xf>
    <xf numFmtId="0" fontId="28" fillId="18" borderId="10" xfId="0" applyFont="1" applyFill="1" applyBorder="1" applyAlignment="1">
      <alignment vertical="center" wrapText="1"/>
    </xf>
    <xf numFmtId="0" fontId="28" fillId="18" borderId="4" xfId="0" applyFont="1" applyFill="1" applyBorder="1" applyAlignment="1">
      <alignment vertical="center" wrapText="1"/>
    </xf>
    <xf numFmtId="165" fontId="15" fillId="11" borderId="11" xfId="0" applyNumberFormat="1" applyFont="1" applyFill="1" applyBorder="1" applyAlignment="1">
      <alignment horizontal="right" vertical="center" wrapText="1"/>
    </xf>
    <xf numFmtId="165" fontId="11" fillId="0" borderId="11" xfId="9" applyNumberFormat="1" applyFont="1" applyFill="1" applyBorder="1" applyAlignment="1">
      <alignment horizontal="right" vertical="center"/>
    </xf>
    <xf numFmtId="165" fontId="11" fillId="10" borderId="4" xfId="0" applyNumberFormat="1" applyFont="1" applyFill="1" applyBorder="1" applyAlignment="1">
      <alignment vertical="center" wrapText="1"/>
    </xf>
    <xf numFmtId="0" fontId="11" fillId="16" borderId="10" xfId="8" applyFont="1" applyFill="1" applyBorder="1" applyAlignment="1">
      <alignment vertical="center" wrapText="1"/>
    </xf>
    <xf numFmtId="0" fontId="11" fillId="16" borderId="4" xfId="8" applyFont="1" applyFill="1" applyBorder="1" applyAlignment="1">
      <alignment horizontal="center" vertical="center" wrapText="1"/>
    </xf>
    <xf numFmtId="165" fontId="11" fillId="16" borderId="11" xfId="8" applyNumberFormat="1" applyFont="1" applyFill="1" applyBorder="1" applyAlignment="1">
      <alignment horizontal="right" vertical="center" wrapText="1"/>
    </xf>
    <xf numFmtId="0" fontId="12" fillId="0" borderId="10" xfId="8" applyFont="1" applyBorder="1" applyAlignment="1">
      <alignment horizontal="left" vertical="center" wrapText="1"/>
    </xf>
    <xf numFmtId="0" fontId="12" fillId="0" borderId="4" xfId="8" applyFont="1" applyBorder="1" applyAlignment="1" applyProtection="1">
      <alignment horizontal="center" vertical="center" wrapText="1"/>
      <protection locked="0"/>
    </xf>
    <xf numFmtId="0" fontId="12" fillId="0" borderId="10" xfId="8" applyFont="1" applyBorder="1" applyAlignment="1">
      <alignment vertical="center" wrapText="1"/>
    </xf>
    <xf numFmtId="0" fontId="7" fillId="10" borderId="11" xfId="0" applyFont="1" applyFill="1" applyBorder="1" applyAlignment="1" applyProtection="1">
      <alignment vertical="center" wrapText="1"/>
      <protection locked="0"/>
    </xf>
    <xf numFmtId="0" fontId="8" fillId="14" borderId="4" xfId="0" applyFont="1" applyFill="1" applyBorder="1" applyAlignment="1">
      <alignment horizontal="center" vertical="center" wrapText="1"/>
    </xf>
    <xf numFmtId="0" fontId="8" fillId="13" borderId="4" xfId="0" applyFont="1" applyFill="1" applyBorder="1" applyAlignment="1">
      <alignment horizontal="center" vertical="center"/>
    </xf>
    <xf numFmtId="0" fontId="3" fillId="24" borderId="0" xfId="0" applyFont="1" applyFill="1" applyAlignment="1">
      <alignment vertical="center"/>
    </xf>
    <xf numFmtId="0" fontId="14" fillId="0" borderId="0" xfId="0" applyFont="1" applyAlignment="1">
      <alignment vertical="center"/>
    </xf>
    <xf numFmtId="0" fontId="12" fillId="24" borderId="0" xfId="0" applyFont="1" applyFill="1" applyAlignment="1">
      <alignment horizontal="left" vertical="center" wrapText="1"/>
    </xf>
    <xf numFmtId="0" fontId="7"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lignment horizontal="center" vertical="center" wrapText="1"/>
    </xf>
    <xf numFmtId="0" fontId="8" fillId="13" borderId="35" xfId="0" applyFont="1" applyFill="1" applyBorder="1" applyAlignment="1">
      <alignment horizontal="center" vertical="center"/>
    </xf>
    <xf numFmtId="0" fontId="8" fillId="14" borderId="30" xfId="0" applyFont="1" applyFill="1" applyBorder="1" applyAlignment="1">
      <alignment horizontal="center" vertical="center" wrapText="1"/>
    </xf>
    <xf numFmtId="0" fontId="16" fillId="11" borderId="30" xfId="0" applyFont="1" applyFill="1" applyBorder="1" applyAlignment="1">
      <alignment vertical="center" wrapText="1"/>
    </xf>
    <xf numFmtId="0" fontId="7" fillId="10" borderId="30" xfId="0" applyFont="1" applyFill="1" applyBorder="1" applyAlignment="1">
      <alignment horizontal="center" vertical="center" wrapText="1"/>
    </xf>
    <xf numFmtId="0" fontId="7" fillId="0" borderId="30" xfId="0" applyFont="1" applyBorder="1" applyAlignment="1" applyProtection="1">
      <alignment horizontal="center" vertical="center"/>
      <protection locked="0"/>
    </xf>
    <xf numFmtId="0" fontId="8" fillId="11" borderId="30" xfId="0" applyFont="1" applyFill="1" applyBorder="1" applyAlignment="1">
      <alignment horizontal="center" vertical="center" wrapText="1"/>
    </xf>
    <xf numFmtId="0" fontId="7" fillId="0" borderId="30" xfId="0" applyFont="1" applyBorder="1" applyAlignment="1" applyProtection="1">
      <alignment horizontal="center" vertical="center"/>
      <protection hidden="1"/>
    </xf>
    <xf numFmtId="0" fontId="7" fillId="10" borderId="4" xfId="0" applyFont="1" applyFill="1" applyBorder="1" applyAlignment="1" applyProtection="1">
      <alignment horizontal="center" vertical="center" wrapText="1"/>
      <protection locked="0"/>
    </xf>
    <xf numFmtId="0" fontId="7" fillId="10" borderId="4" xfId="0" applyFont="1" applyFill="1" applyBorder="1" applyAlignment="1" applyProtection="1">
      <alignment vertical="center" wrapText="1"/>
      <protection locked="0"/>
    </xf>
    <xf numFmtId="0" fontId="7" fillId="15" borderId="4" xfId="0" applyFont="1" applyFill="1" applyBorder="1" applyAlignment="1" applyProtection="1">
      <alignment horizontal="center" vertical="center" wrapText="1"/>
      <protection hidden="1"/>
    </xf>
    <xf numFmtId="0" fontId="7" fillId="0" borderId="10" xfId="0" applyFont="1" applyBorder="1" applyAlignment="1">
      <alignment horizontal="left" vertical="center" wrapText="1" indent="1"/>
    </xf>
    <xf numFmtId="0" fontId="12" fillId="0" borderId="10" xfId="0" applyFont="1" applyBorder="1" applyAlignment="1" applyProtection="1">
      <alignment vertical="center"/>
      <protection locked="0"/>
    </xf>
    <xf numFmtId="0" fontId="12" fillId="0" borderId="11" xfId="0" applyFont="1" applyBorder="1" applyAlignment="1" applyProtection="1">
      <alignment vertical="center"/>
      <protection locked="0"/>
    </xf>
    <xf numFmtId="0" fontId="16" fillId="11" borderId="10" xfId="0" applyFont="1" applyFill="1" applyBorder="1" applyAlignment="1" applyProtection="1">
      <alignment horizontal="center" vertical="center" wrapText="1"/>
      <protection hidden="1"/>
    </xf>
    <xf numFmtId="0" fontId="7" fillId="10" borderId="11" xfId="0" applyFont="1" applyFill="1" applyBorder="1" applyAlignment="1">
      <alignment vertical="center" wrapText="1"/>
    </xf>
    <xf numFmtId="0" fontId="8" fillId="14" borderId="11" xfId="0" applyFont="1" applyFill="1" applyBorder="1" applyAlignment="1">
      <alignment vertical="center" wrapText="1"/>
    </xf>
    <xf numFmtId="0" fontId="15" fillId="25" borderId="4" xfId="0" applyFont="1" applyFill="1" applyBorder="1" applyAlignment="1">
      <alignment vertical="center" wrapText="1"/>
    </xf>
    <xf numFmtId="2" fontId="15" fillId="25" borderId="11" xfId="0" applyNumberFormat="1" applyFont="1" applyFill="1" applyBorder="1" applyAlignment="1">
      <alignment horizontal="center" vertical="center" wrapText="1"/>
    </xf>
    <xf numFmtId="0" fontId="8" fillId="14" borderId="11" xfId="0" applyFont="1" applyFill="1" applyBorder="1" applyAlignment="1" applyProtection="1">
      <alignment horizontal="center" vertical="center" wrapText="1"/>
      <protection hidden="1"/>
    </xf>
    <xf numFmtId="0" fontId="3" fillId="0" borderId="11" xfId="0" applyFont="1" applyBorder="1" applyAlignment="1" applyProtection="1">
      <alignment vertical="center"/>
      <protection locked="0"/>
    </xf>
    <xf numFmtId="0" fontId="15" fillId="11" borderId="11" xfId="0" applyFont="1" applyFill="1" applyBorder="1" applyAlignment="1">
      <alignment vertical="center" wrapText="1"/>
    </xf>
    <xf numFmtId="0" fontId="3" fillId="0" borderId="13" xfId="0" applyFont="1" applyBorder="1" applyAlignment="1" applyProtection="1">
      <alignment vertical="center"/>
      <protection locked="0"/>
    </xf>
    <xf numFmtId="0" fontId="15" fillId="14" borderId="10" xfId="0" applyFont="1" applyFill="1" applyBorder="1" applyAlignment="1">
      <alignment vertical="center" wrapText="1"/>
    </xf>
    <xf numFmtId="0" fontId="23" fillId="0" borderId="10" xfId="0" applyFont="1" applyBorder="1" applyAlignment="1">
      <alignment vertical="center" wrapText="1"/>
    </xf>
    <xf numFmtId="0" fontId="12" fillId="0" borderId="12" xfId="0" applyFont="1" applyBorder="1" applyAlignment="1">
      <alignment vertical="center" wrapText="1"/>
    </xf>
    <xf numFmtId="0" fontId="3" fillId="0" borderId="5" xfId="0" applyFont="1" applyBorder="1" applyAlignment="1" applyProtection="1">
      <alignment vertical="center"/>
      <protection locked="0"/>
    </xf>
    <xf numFmtId="0" fontId="8" fillId="13" borderId="7" xfId="0" applyFont="1" applyFill="1" applyBorder="1" applyAlignment="1">
      <alignment vertical="center" wrapText="1"/>
    </xf>
    <xf numFmtId="0" fontId="3" fillId="0" borderId="37"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8" fillId="13" borderId="9" xfId="0" applyFont="1" applyFill="1" applyBorder="1" applyAlignment="1">
      <alignment horizontal="center" vertical="center" wrapText="1"/>
    </xf>
    <xf numFmtId="0" fontId="15" fillId="14" borderId="11" xfId="0" applyFont="1" applyFill="1" applyBorder="1" applyAlignment="1">
      <alignment vertical="center" wrapText="1"/>
    </xf>
    <xf numFmtId="0" fontId="23" fillId="0" borderId="1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15" fillId="14" borderId="4" xfId="0" applyFont="1" applyFill="1" applyBorder="1" applyAlignment="1">
      <alignment horizontal="center" vertical="center" wrapText="1"/>
    </xf>
    <xf numFmtId="165" fontId="15" fillId="14" borderId="11" xfId="0" applyNumberFormat="1" applyFont="1" applyFill="1" applyBorder="1" applyAlignment="1">
      <alignment horizontal="right" vertical="center" wrapText="1"/>
    </xf>
    <xf numFmtId="0" fontId="7" fillId="0" borderId="5" xfId="0" applyFont="1" applyBorder="1" applyAlignment="1" applyProtection="1">
      <alignment horizontal="center" vertical="center"/>
      <protection locked="0"/>
    </xf>
    <xf numFmtId="0" fontId="7" fillId="15" borderId="5" xfId="0" applyFont="1" applyFill="1" applyBorder="1" applyAlignment="1">
      <alignment horizontal="center" vertical="center" wrapText="1"/>
    </xf>
    <xf numFmtId="0" fontId="3" fillId="0" borderId="16" xfId="0" applyFont="1" applyBorder="1" applyAlignment="1" applyProtection="1">
      <alignment vertical="center"/>
      <protection hidden="1"/>
    </xf>
    <xf numFmtId="0" fontId="3" fillId="0" borderId="14" xfId="0" applyFont="1" applyBorder="1" applyAlignment="1" applyProtection="1">
      <alignment vertical="center"/>
      <protection hidden="1"/>
    </xf>
    <xf numFmtId="0" fontId="15" fillId="14" borderId="39" xfId="0" applyFont="1" applyFill="1" applyBorder="1" applyAlignment="1">
      <alignment horizontal="center" vertical="center" wrapText="1"/>
    </xf>
    <xf numFmtId="165" fontId="15" fillId="14" borderId="41" xfId="0" applyNumberFormat="1" applyFont="1" applyFill="1" applyBorder="1" applyAlignment="1">
      <alignment horizontal="right" vertical="center" wrapText="1"/>
    </xf>
    <xf numFmtId="0" fontId="28" fillId="17" borderId="40" xfId="0" applyFont="1" applyFill="1" applyBorder="1" applyAlignment="1">
      <alignment vertical="center" wrapText="1"/>
    </xf>
    <xf numFmtId="0" fontId="28" fillId="17" borderId="39" xfId="0" applyFont="1" applyFill="1" applyBorder="1" applyAlignment="1">
      <alignment vertical="center" wrapText="1"/>
    </xf>
    <xf numFmtId="0" fontId="3" fillId="0" borderId="4" xfId="0" applyFont="1" applyBorder="1" applyAlignment="1" applyProtection="1">
      <alignment vertical="center"/>
      <protection hidden="1"/>
    </xf>
    <xf numFmtId="0" fontId="3" fillId="24" borderId="4" xfId="0" applyFont="1" applyFill="1" applyBorder="1" applyAlignment="1" applyProtection="1">
      <alignment vertical="center"/>
      <protection hidden="1"/>
    </xf>
    <xf numFmtId="0" fontId="12" fillId="0" borderId="8" xfId="0" applyFont="1" applyBorder="1" applyAlignment="1" applyProtection="1">
      <alignment vertical="center"/>
      <protection hidden="1"/>
    </xf>
    <xf numFmtId="0" fontId="31" fillId="0" borderId="10" xfId="0" applyFont="1" applyBorder="1" applyAlignment="1">
      <alignment vertical="center" wrapText="1"/>
    </xf>
    <xf numFmtId="0" fontId="3" fillId="24" borderId="5" xfId="0" applyFont="1" applyFill="1" applyBorder="1" applyAlignment="1" applyProtection="1">
      <alignment vertical="center"/>
      <protection hidden="1"/>
    </xf>
    <xf numFmtId="0" fontId="12" fillId="0" borderId="35" xfId="0" applyFont="1" applyBorder="1" applyAlignment="1" applyProtection="1">
      <alignment vertical="center"/>
      <protection hidden="1"/>
    </xf>
    <xf numFmtId="0" fontId="3" fillId="0" borderId="30" xfId="0" applyFont="1" applyBorder="1" applyAlignment="1" applyProtection="1">
      <alignment vertical="center"/>
      <protection hidden="1"/>
    </xf>
    <xf numFmtId="0" fontId="3" fillId="24" borderId="30" xfId="0" applyFont="1" applyFill="1" applyBorder="1" applyAlignment="1" applyProtection="1">
      <alignment vertical="center"/>
      <protection hidden="1"/>
    </xf>
    <xf numFmtId="0" fontId="3" fillId="24" borderId="38" xfId="0" applyFont="1" applyFill="1" applyBorder="1" applyAlignment="1" applyProtection="1">
      <alignment vertical="center"/>
      <protection hidden="1"/>
    </xf>
    <xf numFmtId="0" fontId="12" fillId="0" borderId="10" xfId="0" applyFont="1" applyBorder="1" applyAlignment="1">
      <alignment horizontal="left" vertical="center" wrapText="1" indent="2"/>
    </xf>
    <xf numFmtId="0" fontId="32" fillId="9" borderId="10" xfId="0" applyFont="1" applyFill="1" applyBorder="1" applyAlignment="1">
      <alignment vertical="center" wrapText="1"/>
    </xf>
    <xf numFmtId="0" fontId="19" fillId="9" borderId="10" xfId="0" applyFont="1" applyFill="1" applyBorder="1" applyAlignment="1" applyProtection="1">
      <alignment vertical="center" wrapText="1"/>
      <protection hidden="1"/>
    </xf>
    <xf numFmtId="0" fontId="8" fillId="9" borderId="11" xfId="0" applyFont="1" applyFill="1" applyBorder="1" applyAlignment="1" applyProtection="1">
      <alignment horizontal="center" vertical="center" wrapText="1"/>
      <protection hidden="1"/>
    </xf>
    <xf numFmtId="165" fontId="20" fillId="0" borderId="4" xfId="0" applyNumberFormat="1" applyFont="1" applyBorder="1" applyAlignment="1" applyProtection="1">
      <alignment horizontal="center" vertical="center" wrapText="1"/>
      <protection hidden="1"/>
    </xf>
    <xf numFmtId="0" fontId="7" fillId="0" borderId="4" xfId="0" applyFont="1" applyBorder="1" applyAlignment="1">
      <alignment vertical="center" wrapText="1"/>
    </xf>
    <xf numFmtId="0" fontId="7" fillId="10" borderId="4" xfId="0" applyFont="1" applyFill="1" applyBorder="1" applyAlignment="1" applyProtection="1">
      <alignment horizontal="center" vertical="center" wrapText="1"/>
      <protection hidden="1"/>
    </xf>
    <xf numFmtId="0" fontId="11" fillId="16" borderId="10" xfId="8" applyFont="1" applyFill="1" applyBorder="1" applyAlignment="1">
      <alignment horizontal="left" vertical="top" wrapText="1"/>
    </xf>
    <xf numFmtId="0" fontId="7" fillId="24" borderId="10" xfId="0" applyFont="1" applyFill="1" applyBorder="1" applyAlignment="1">
      <alignment vertical="center" wrapText="1"/>
    </xf>
    <xf numFmtId="2" fontId="11" fillId="16" borderId="11" xfId="8" applyNumberFormat="1" applyFont="1" applyFill="1" applyBorder="1" applyAlignment="1">
      <alignment horizontal="right" vertical="center" wrapText="1"/>
    </xf>
    <xf numFmtId="0" fontId="7" fillId="24" borderId="4" xfId="0" applyFont="1" applyFill="1" applyBorder="1" applyAlignment="1" applyProtection="1">
      <alignment horizontal="center" vertical="center"/>
      <protection locked="0"/>
    </xf>
    <xf numFmtId="0" fontId="7" fillId="24" borderId="30" xfId="0" applyFont="1" applyFill="1" applyBorder="1" applyAlignment="1" applyProtection="1">
      <alignment horizontal="center" vertical="center"/>
      <protection hidden="1"/>
    </xf>
    <xf numFmtId="0" fontId="7" fillId="24" borderId="4" xfId="0" applyFont="1" applyFill="1" applyBorder="1" applyAlignment="1" applyProtection="1">
      <alignment horizontal="center" vertical="center"/>
      <protection hidden="1"/>
    </xf>
    <xf numFmtId="165" fontId="23" fillId="0" borderId="11" xfId="9" applyNumberFormat="1" applyFont="1" applyFill="1" applyBorder="1" applyAlignment="1">
      <alignment horizontal="right" vertical="center" wrapText="1"/>
    </xf>
    <xf numFmtId="0" fontId="28" fillId="18" borderId="10" xfId="0" applyFont="1" applyFill="1" applyBorder="1" applyAlignment="1">
      <alignment horizontal="center" vertical="center" wrapText="1"/>
    </xf>
    <xf numFmtId="0" fontId="33" fillId="9" borderId="28" xfId="0" applyFont="1" applyFill="1" applyBorder="1" applyAlignment="1" applyProtection="1">
      <alignment vertical="center" wrapText="1"/>
      <protection hidden="1"/>
    </xf>
    <xf numFmtId="165" fontId="7" fillId="26" borderId="4" xfId="0" applyNumberFormat="1" applyFont="1" applyFill="1" applyBorder="1" applyAlignment="1" applyProtection="1">
      <alignment horizontal="center" vertical="center" wrapText="1"/>
      <protection hidden="1"/>
    </xf>
    <xf numFmtId="165" fontId="7" fillId="24" borderId="4" xfId="0" applyNumberFormat="1" applyFont="1" applyFill="1" applyBorder="1" applyAlignment="1" applyProtection="1">
      <alignment horizontal="center" vertical="center" wrapText="1"/>
      <protection hidden="1"/>
    </xf>
    <xf numFmtId="0" fontId="3" fillId="27" borderId="0" xfId="0" applyFont="1" applyFill="1" applyAlignment="1">
      <alignment wrapText="1"/>
    </xf>
    <xf numFmtId="0" fontId="3" fillId="0" borderId="19" xfId="0" applyFont="1" applyBorder="1" applyAlignment="1" applyProtection="1">
      <alignment vertical="center"/>
      <protection hidden="1"/>
    </xf>
    <xf numFmtId="9" fontId="3" fillId="0" borderId="19" xfId="0" applyNumberFormat="1" applyFont="1" applyBorder="1" applyAlignment="1" applyProtection="1">
      <alignment vertical="center"/>
      <protection hidden="1"/>
    </xf>
    <xf numFmtId="0" fontId="3" fillId="26" borderId="19" xfId="0" applyFont="1" applyFill="1" applyBorder="1" applyAlignment="1" applyProtection="1">
      <alignment vertical="center"/>
      <protection hidden="1"/>
    </xf>
    <xf numFmtId="164" fontId="3" fillId="0" borderId="19" xfId="0" applyNumberFormat="1" applyFont="1" applyBorder="1" applyAlignment="1" applyProtection="1">
      <alignment vertical="center"/>
      <protection hidden="1"/>
    </xf>
    <xf numFmtId="0" fontId="3" fillId="0" borderId="24" xfId="0" applyFont="1" applyBorder="1" applyAlignment="1" applyProtection="1">
      <alignment vertical="center"/>
      <protection hidden="1"/>
    </xf>
    <xf numFmtId="0" fontId="3" fillId="24" borderId="19" xfId="0" applyFont="1" applyFill="1" applyBorder="1" applyAlignment="1" applyProtection="1">
      <alignment vertical="center"/>
      <protection hidden="1"/>
    </xf>
    <xf numFmtId="0" fontId="3" fillId="0" borderId="25" xfId="0" applyFont="1" applyBorder="1" applyAlignment="1" applyProtection="1">
      <alignment vertical="center"/>
      <protection hidden="1"/>
    </xf>
    <xf numFmtId="0" fontId="3" fillId="0" borderId="18" xfId="0" applyFont="1" applyBorder="1" applyAlignment="1" applyProtection="1">
      <alignment vertical="center"/>
      <protection hidden="1"/>
    </xf>
    <xf numFmtId="0" fontId="13" fillId="0" borderId="0" xfId="0" applyFont="1" applyAlignment="1">
      <alignment vertical="center"/>
    </xf>
    <xf numFmtId="0" fontId="13" fillId="0" borderId="0" xfId="0" applyFont="1" applyAlignment="1" applyProtection="1">
      <alignment vertical="center"/>
      <protection hidden="1"/>
    </xf>
    <xf numFmtId="0" fontId="12" fillId="0" borderId="0" xfId="0" applyFont="1" applyAlignment="1" applyProtection="1">
      <alignment vertical="center" wrapText="1"/>
      <protection hidden="1"/>
    </xf>
    <xf numFmtId="0" fontId="3" fillId="0" borderId="0" xfId="0" applyFont="1" applyAlignment="1" applyProtection="1">
      <alignment horizontal="center" vertical="center"/>
      <protection hidden="1"/>
    </xf>
    <xf numFmtId="0" fontId="26" fillId="13" borderId="8" xfId="0" applyFont="1" applyFill="1" applyBorder="1" applyAlignment="1" applyProtection="1">
      <alignment vertical="center" wrapText="1"/>
      <protection hidden="1"/>
    </xf>
    <xf numFmtId="0" fontId="12" fillId="0" borderId="4" xfId="0" applyFont="1" applyBorder="1" applyAlignment="1" applyProtection="1">
      <alignment vertical="center" wrapText="1"/>
      <protection hidden="1"/>
    </xf>
    <xf numFmtId="9" fontId="15" fillId="14" borderId="4" xfId="0" applyNumberFormat="1" applyFont="1" applyFill="1" applyBorder="1" applyAlignment="1" applyProtection="1">
      <alignment vertical="center" wrapText="1"/>
      <protection hidden="1"/>
    </xf>
    <xf numFmtId="165" fontId="22" fillId="14" borderId="4" xfId="0" applyNumberFormat="1" applyFont="1" applyFill="1" applyBorder="1" applyAlignment="1" applyProtection="1">
      <alignment vertical="center" wrapText="1"/>
      <protection hidden="1"/>
    </xf>
    <xf numFmtId="9" fontId="26" fillId="11" borderId="4" xfId="0" applyNumberFormat="1" applyFont="1" applyFill="1" applyBorder="1" applyAlignment="1" applyProtection="1">
      <alignment vertical="center" wrapText="1"/>
      <protection hidden="1"/>
    </xf>
    <xf numFmtId="165" fontId="27" fillId="11" borderId="4" xfId="0" applyNumberFormat="1" applyFont="1" applyFill="1" applyBorder="1" applyAlignment="1" applyProtection="1">
      <alignment vertical="center" wrapText="1"/>
      <protection hidden="1"/>
    </xf>
    <xf numFmtId="9" fontId="11" fillId="0" borderId="4" xfId="0" applyNumberFormat="1" applyFont="1" applyBorder="1" applyAlignment="1" applyProtection="1">
      <alignment vertical="center" wrapText="1"/>
      <protection hidden="1"/>
    </xf>
    <xf numFmtId="2" fontId="3" fillId="0" borderId="4" xfId="8" applyNumberFormat="1" applyBorder="1" applyAlignment="1" applyProtection="1">
      <alignment vertical="center" wrapText="1"/>
      <protection hidden="1"/>
    </xf>
    <xf numFmtId="2" fontId="12" fillId="0" borderId="4" xfId="0" applyNumberFormat="1" applyFont="1" applyBorder="1" applyAlignment="1" applyProtection="1">
      <alignment vertical="center" wrapText="1"/>
      <protection hidden="1"/>
    </xf>
    <xf numFmtId="9" fontId="11" fillId="22" borderId="4" xfId="0" applyNumberFormat="1" applyFont="1" applyFill="1" applyBorder="1" applyAlignment="1" applyProtection="1">
      <alignment vertical="center" wrapText="1"/>
      <protection hidden="1"/>
    </xf>
    <xf numFmtId="2" fontId="11" fillId="10" borderId="4" xfId="0" applyNumberFormat="1" applyFont="1" applyFill="1" applyBorder="1" applyAlignment="1" applyProtection="1">
      <alignment vertical="center" wrapText="1"/>
      <protection hidden="1"/>
    </xf>
    <xf numFmtId="0" fontId="10" fillId="23" borderId="4" xfId="0" applyFont="1" applyFill="1" applyBorder="1" applyAlignment="1" applyProtection="1">
      <alignment horizontal="center" vertical="center" wrapText="1"/>
      <protection hidden="1"/>
    </xf>
    <xf numFmtId="2" fontId="23" fillId="10" borderId="4" xfId="0" applyNumberFormat="1" applyFont="1" applyFill="1" applyBorder="1" applyAlignment="1" applyProtection="1">
      <alignment vertical="center" wrapText="1"/>
      <protection hidden="1"/>
    </xf>
    <xf numFmtId="164" fontId="12" fillId="0" borderId="4" xfId="0" applyNumberFormat="1" applyFont="1" applyBorder="1" applyAlignment="1" applyProtection="1">
      <alignment vertical="center" wrapText="1"/>
      <protection hidden="1"/>
    </xf>
    <xf numFmtId="9" fontId="11" fillId="10" borderId="4" xfId="0" applyNumberFormat="1" applyFont="1" applyFill="1" applyBorder="1" applyAlignment="1" applyProtection="1">
      <alignment vertical="center" wrapText="1"/>
      <protection hidden="1"/>
    </xf>
    <xf numFmtId="9" fontId="15" fillId="14" borderId="39" xfId="0" applyNumberFormat="1" applyFont="1" applyFill="1" applyBorder="1" applyAlignment="1" applyProtection="1">
      <alignment horizontal="center" vertical="center" wrapText="1"/>
      <protection hidden="1"/>
    </xf>
    <xf numFmtId="165" fontId="15" fillId="14" borderId="39" xfId="0" applyNumberFormat="1" applyFont="1" applyFill="1" applyBorder="1" applyAlignment="1" applyProtection="1">
      <alignment horizontal="center" vertical="center" wrapText="1"/>
      <protection hidden="1"/>
    </xf>
    <xf numFmtId="1" fontId="15" fillId="14" borderId="39" xfId="0" applyNumberFormat="1" applyFont="1" applyFill="1" applyBorder="1" applyAlignment="1" applyProtection="1">
      <alignment horizontal="center" vertical="center" wrapText="1"/>
      <protection hidden="1"/>
    </xf>
    <xf numFmtId="165" fontId="11" fillId="0" borderId="11" xfId="9" applyNumberFormat="1" applyFont="1" applyFill="1" applyBorder="1" applyAlignment="1" applyProtection="1">
      <alignment horizontal="right" vertical="center"/>
      <protection hidden="1"/>
    </xf>
    <xf numFmtId="9" fontId="15" fillId="11" borderId="4" xfId="0" applyNumberFormat="1" applyFont="1" applyFill="1" applyBorder="1" applyAlignment="1" applyProtection="1">
      <alignment horizontal="center" vertical="center" wrapText="1"/>
      <protection hidden="1"/>
    </xf>
    <xf numFmtId="165" fontId="15" fillId="11" borderId="4" xfId="0" applyNumberFormat="1" applyFont="1" applyFill="1" applyBorder="1" applyAlignment="1" applyProtection="1">
      <alignment horizontal="center" vertical="center" wrapText="1"/>
      <protection hidden="1"/>
    </xf>
    <xf numFmtId="9" fontId="11" fillId="0" borderId="4" xfId="0" applyNumberFormat="1" applyFont="1" applyBorder="1" applyAlignment="1" applyProtection="1">
      <alignment horizontal="center" vertical="center" wrapText="1"/>
      <protection hidden="1"/>
    </xf>
    <xf numFmtId="165" fontId="3" fillId="0" borderId="4" xfId="8" applyNumberFormat="1" applyBorder="1" applyAlignment="1" applyProtection="1">
      <alignment horizontal="center" vertical="center"/>
      <protection hidden="1"/>
    </xf>
    <xf numFmtId="167" fontId="11" fillId="0" borderId="4" xfId="0" applyNumberFormat="1" applyFont="1" applyBorder="1" applyAlignment="1" applyProtection="1">
      <alignment horizontal="center" vertical="center" wrapText="1"/>
      <protection hidden="1"/>
    </xf>
    <xf numFmtId="2" fontId="3" fillId="0" borderId="4" xfId="8" applyNumberFormat="1" applyBorder="1" applyAlignment="1" applyProtection="1">
      <alignment horizontal="center" vertical="center"/>
      <protection hidden="1"/>
    </xf>
    <xf numFmtId="9" fontId="15" fillId="14" borderId="8" xfId="0" applyNumberFormat="1" applyFont="1" applyFill="1" applyBorder="1" applyAlignment="1" applyProtection="1">
      <alignment vertical="center" wrapText="1"/>
      <protection hidden="1"/>
    </xf>
    <xf numFmtId="165" fontId="15" fillId="14" borderId="8" xfId="0" applyNumberFormat="1" applyFont="1" applyFill="1" applyBorder="1" applyAlignment="1" applyProtection="1">
      <alignment vertical="center" wrapText="1"/>
      <protection hidden="1"/>
    </xf>
    <xf numFmtId="9" fontId="15" fillId="18" borderId="4" xfId="0" applyNumberFormat="1" applyFont="1" applyFill="1" applyBorder="1" applyAlignment="1" applyProtection="1">
      <alignment vertical="center" wrapText="1"/>
      <protection hidden="1"/>
    </xf>
    <xf numFmtId="165" fontId="15" fillId="18" borderId="4" xfId="0" applyNumberFormat="1" applyFont="1" applyFill="1" applyBorder="1" applyAlignment="1" applyProtection="1">
      <alignment vertical="center" wrapText="1"/>
      <protection hidden="1"/>
    </xf>
    <xf numFmtId="165" fontId="12" fillId="0" borderId="4" xfId="0" applyNumberFormat="1" applyFont="1" applyBorder="1" applyAlignment="1" applyProtection="1">
      <alignment vertical="center" wrapText="1"/>
      <protection hidden="1"/>
    </xf>
    <xf numFmtId="165" fontId="11" fillId="10" borderId="4" xfId="0" applyNumberFormat="1" applyFont="1" applyFill="1" applyBorder="1" applyAlignment="1" applyProtection="1">
      <alignment vertical="center" wrapText="1"/>
      <protection hidden="1"/>
    </xf>
    <xf numFmtId="0" fontId="11" fillId="16" borderId="4" xfId="8" applyFont="1" applyFill="1" applyBorder="1" applyAlignment="1" applyProtection="1">
      <alignment horizontal="center" vertical="center" wrapText="1"/>
      <protection hidden="1"/>
    </xf>
    <xf numFmtId="9" fontId="11" fillId="16" borderId="4" xfId="8" applyNumberFormat="1" applyFont="1" applyFill="1" applyBorder="1" applyAlignment="1" applyProtection="1">
      <alignment vertical="center" wrapText="1"/>
      <protection hidden="1"/>
    </xf>
    <xf numFmtId="165" fontId="11" fillId="16" borderId="4" xfId="8" applyNumberFormat="1" applyFont="1" applyFill="1" applyBorder="1" applyAlignment="1" applyProtection="1">
      <alignment vertical="center" wrapText="1"/>
      <protection hidden="1"/>
    </xf>
    <xf numFmtId="9" fontId="11" fillId="0" borderId="0" xfId="0" applyNumberFormat="1" applyFont="1" applyAlignment="1" applyProtection="1">
      <alignment vertical="center" wrapText="1"/>
      <protection hidden="1"/>
    </xf>
    <xf numFmtId="165" fontId="12" fillId="0" borderId="0" xfId="0" applyNumberFormat="1" applyFont="1" applyAlignment="1" applyProtection="1">
      <alignment vertical="center" wrapText="1"/>
      <protection hidden="1"/>
    </xf>
    <xf numFmtId="2" fontId="11" fillId="16" borderId="4" xfId="8" applyNumberFormat="1"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165" fontId="3" fillId="0" borderId="0" xfId="0" applyNumberFormat="1" applyFont="1" applyAlignment="1" applyProtection="1">
      <alignment vertical="center" wrapText="1"/>
      <protection hidden="1"/>
    </xf>
    <xf numFmtId="165" fontId="3" fillId="0" borderId="0" xfId="0" applyNumberFormat="1" applyFont="1" applyAlignment="1" applyProtection="1">
      <alignment horizontal="center" vertical="center"/>
      <protection hidden="1"/>
    </xf>
    <xf numFmtId="0" fontId="14" fillId="0" borderId="0" xfId="0" applyFont="1" applyAlignment="1" applyProtection="1">
      <alignment vertical="center"/>
      <protection hidden="1"/>
    </xf>
    <xf numFmtId="0" fontId="3" fillId="0" borderId="15" xfId="0" applyFont="1" applyBorder="1" applyAlignment="1">
      <alignment vertical="center" wrapText="1"/>
    </xf>
    <xf numFmtId="0" fontId="3" fillId="0" borderId="16" xfId="0" applyFont="1" applyBorder="1" applyAlignment="1">
      <alignment vertical="center" wrapText="1"/>
    </xf>
    <xf numFmtId="0" fontId="7" fillId="0" borderId="17" xfId="0" applyFont="1" applyBorder="1" applyAlignment="1">
      <alignment horizontal="center" vertical="center"/>
    </xf>
    <xf numFmtId="0" fontId="14" fillId="0" borderId="3" xfId="0" applyFont="1" applyBorder="1" applyAlignment="1">
      <alignment vertical="center"/>
    </xf>
    <xf numFmtId="0" fontId="14" fillId="0" borderId="36"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0" xfId="0" applyFont="1" applyAlignment="1" applyProtection="1">
      <alignment vertical="top" wrapText="1"/>
      <protection locked="0"/>
    </xf>
    <xf numFmtId="0" fontId="15" fillId="11" borderId="10" xfId="0" applyFont="1" applyFill="1" applyBorder="1" applyAlignment="1">
      <alignment vertical="top" wrapText="1"/>
    </xf>
    <xf numFmtId="0" fontId="15" fillId="11" borderId="11" xfId="0" applyFont="1" applyFill="1" applyBorder="1" applyAlignment="1">
      <alignment vertical="top" wrapText="1"/>
    </xf>
    <xf numFmtId="0" fontId="3" fillId="0" borderId="1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11" fillId="10" borderId="10" xfId="8" applyFont="1" applyFill="1" applyBorder="1" applyAlignment="1">
      <alignment vertical="top" wrapText="1"/>
    </xf>
    <xf numFmtId="0" fontId="11" fillId="10" borderId="11" xfId="8" applyFont="1" applyFill="1" applyBorder="1" applyAlignment="1">
      <alignment vertical="top" wrapText="1"/>
    </xf>
    <xf numFmtId="164" fontId="3" fillId="0" borderId="11" xfId="0" applyNumberFormat="1" applyFont="1" applyBorder="1" applyAlignment="1" applyProtection="1">
      <alignment vertical="top" wrapText="1"/>
      <protection locked="0"/>
    </xf>
    <xf numFmtId="0" fontId="28" fillId="17" borderId="40" xfId="0" applyFont="1" applyFill="1" applyBorder="1" applyAlignment="1">
      <alignment vertical="top" wrapText="1"/>
    </xf>
    <xf numFmtId="0" fontId="28" fillId="17" borderId="41" xfId="0" applyFont="1" applyFill="1" applyBorder="1" applyAlignment="1">
      <alignment vertical="top" wrapText="1"/>
    </xf>
    <xf numFmtId="0" fontId="12" fillId="0" borderId="4" xfId="0" applyFont="1" applyBorder="1" applyAlignment="1" applyProtection="1">
      <alignment vertical="top" wrapText="1"/>
      <protection locked="0"/>
    </xf>
    <xf numFmtId="0" fontId="28" fillId="17" borderId="7" xfId="0" applyFont="1" applyFill="1" applyBorder="1" applyAlignment="1">
      <alignment vertical="top" wrapText="1"/>
    </xf>
    <xf numFmtId="0" fontId="28" fillId="17" borderId="9" xfId="0" applyFont="1" applyFill="1" applyBorder="1" applyAlignment="1">
      <alignment vertical="top" wrapText="1"/>
    </xf>
    <xf numFmtId="165" fontId="12" fillId="0" borderId="10" xfId="0" applyNumberFormat="1" applyFont="1" applyBorder="1" applyAlignment="1" applyProtection="1">
      <alignment vertical="top" wrapText="1"/>
      <protection locked="0"/>
    </xf>
    <xf numFmtId="166" fontId="3" fillId="0" borderId="11" xfId="0" applyNumberFormat="1" applyFont="1" applyBorder="1" applyAlignment="1" applyProtection="1">
      <alignment vertical="top" wrapText="1"/>
      <protection locked="0"/>
    </xf>
    <xf numFmtId="0" fontId="11" fillId="16" borderId="10" xfId="8" applyFont="1" applyFill="1" applyBorder="1" applyAlignment="1">
      <alignment vertical="top" wrapText="1"/>
    </xf>
    <xf numFmtId="0" fontId="11" fillId="16" borderId="11" xfId="8" applyFont="1" applyFill="1" applyBorder="1" applyAlignment="1">
      <alignment vertical="top" wrapText="1"/>
    </xf>
    <xf numFmtId="0" fontId="3" fillId="12" borderId="10" xfId="0" applyFont="1" applyFill="1" applyBorder="1" applyAlignment="1" applyProtection="1">
      <alignment vertical="top" wrapText="1"/>
      <protection locked="0"/>
    </xf>
    <xf numFmtId="0" fontId="3" fillId="12" borderId="11" xfId="0" applyFont="1" applyFill="1" applyBorder="1" applyAlignment="1" applyProtection="1">
      <alignment vertical="top" wrapText="1"/>
      <protection locked="0"/>
    </xf>
    <xf numFmtId="0" fontId="8" fillId="14" borderId="10" xfId="0" applyFont="1" applyFill="1" applyBorder="1" applyAlignment="1">
      <alignment horizontal="center" vertical="top" wrapText="1"/>
    </xf>
    <xf numFmtId="0" fontId="8" fillId="14" borderId="11" xfId="0" applyFont="1" applyFill="1" applyBorder="1" applyAlignment="1">
      <alignment horizontal="center" vertical="top" wrapText="1"/>
    </xf>
    <xf numFmtId="168" fontId="7" fillId="24" borderId="4" xfId="0" applyNumberFormat="1" applyFont="1" applyFill="1" applyBorder="1" applyAlignment="1" applyProtection="1">
      <alignment horizontal="center" vertical="center" wrapText="1"/>
      <protection hidden="1"/>
    </xf>
    <xf numFmtId="0" fontId="37" fillId="25" borderId="30" xfId="0" applyFont="1" applyFill="1" applyBorder="1" applyAlignment="1" applyProtection="1">
      <alignment horizontal="center" vertical="center" wrapText="1"/>
      <protection hidden="1"/>
    </xf>
    <xf numFmtId="1" fontId="11" fillId="0" borderId="4" xfId="0" applyNumberFormat="1" applyFont="1" applyBorder="1" applyAlignment="1" applyProtection="1">
      <alignment vertical="center" wrapText="1"/>
      <protection locked="0"/>
    </xf>
    <xf numFmtId="0" fontId="8" fillId="11" borderId="10" xfId="0" applyFont="1" applyFill="1" applyBorder="1" applyAlignment="1">
      <alignment vertical="top" wrapText="1"/>
    </xf>
    <xf numFmtId="0" fontId="8" fillId="11" borderId="11" xfId="0" applyFont="1" applyFill="1" applyBorder="1" applyAlignment="1">
      <alignment vertical="top" wrapText="1"/>
    </xf>
    <xf numFmtId="0" fontId="3" fillId="0" borderId="12"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8" fillId="14" borderId="7" xfId="0" applyFont="1" applyFill="1" applyBorder="1" applyAlignment="1">
      <alignment vertical="top" wrapText="1"/>
    </xf>
    <xf numFmtId="0" fontId="8" fillId="14" borderId="9" xfId="0" applyFont="1" applyFill="1" applyBorder="1" applyAlignment="1">
      <alignment vertical="top" wrapText="1"/>
    </xf>
    <xf numFmtId="0" fontId="38" fillId="0" borderId="5" xfId="0" applyFont="1" applyBorder="1" applyAlignment="1" applyProtection="1">
      <alignment vertical="center" wrapText="1"/>
      <protection locked="0"/>
    </xf>
    <xf numFmtId="0" fontId="12" fillId="20" borderId="4" xfId="0" applyFont="1" applyFill="1" applyBorder="1" applyAlignment="1" applyProtection="1">
      <alignment vertical="center" wrapText="1"/>
      <protection locked="0"/>
    </xf>
    <xf numFmtId="0" fontId="7" fillId="10" borderId="11"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horizontal="center" vertical="center"/>
    </xf>
    <xf numFmtId="0" fontId="15" fillId="13" borderId="8" xfId="0" applyFont="1" applyFill="1" applyBorder="1" applyAlignment="1">
      <alignment horizontal="center" vertical="center" wrapText="1"/>
    </xf>
    <xf numFmtId="0" fontId="3" fillId="0" borderId="0" xfId="0" applyFont="1" applyAlignment="1">
      <alignment horizontal="center" vertical="center"/>
    </xf>
    <xf numFmtId="0" fontId="8" fillId="14" borderId="11" xfId="0" applyFont="1" applyFill="1" applyBorder="1" applyAlignment="1">
      <alignment horizontal="center" vertical="center" wrapText="1"/>
    </xf>
    <xf numFmtId="165" fontId="7" fillId="0" borderId="19" xfId="0" applyNumberFormat="1" applyFont="1" applyBorder="1" applyAlignment="1" applyProtection="1">
      <alignment horizontal="center" vertical="center" wrapText="1"/>
      <protection hidden="1"/>
    </xf>
    <xf numFmtId="165" fontId="7" fillId="0" borderId="28" xfId="0" applyNumberFormat="1" applyFont="1" applyBorder="1" applyAlignment="1" applyProtection="1">
      <alignment horizontal="center" vertical="center" wrapText="1"/>
      <protection hidden="1"/>
    </xf>
    <xf numFmtId="165" fontId="7" fillId="21" borderId="30" xfId="0" applyNumberFormat="1" applyFont="1" applyFill="1" applyBorder="1" applyAlignment="1" applyProtection="1">
      <alignment horizontal="center" vertical="center" wrapText="1"/>
      <protection hidden="1"/>
    </xf>
    <xf numFmtId="165" fontId="7" fillId="21" borderId="19" xfId="0" applyNumberFormat="1" applyFont="1" applyFill="1" applyBorder="1" applyAlignment="1" applyProtection="1">
      <alignment horizontal="center" vertical="center" wrapText="1"/>
      <protection hidden="1"/>
    </xf>
    <xf numFmtId="165" fontId="7" fillId="21" borderId="28" xfId="0" applyNumberFormat="1" applyFont="1" applyFill="1" applyBorder="1" applyAlignment="1" applyProtection="1">
      <alignment horizontal="center" vertical="center" wrapText="1"/>
      <protection hidden="1"/>
    </xf>
    <xf numFmtId="0" fontId="19" fillId="9" borderId="10" xfId="0" applyFont="1" applyFill="1" applyBorder="1" applyAlignment="1">
      <alignment horizontal="left" vertical="center" wrapText="1"/>
    </xf>
    <xf numFmtId="0" fontId="19" fillId="9" borderId="4" xfId="0" applyFont="1" applyFill="1" applyBorder="1" applyAlignment="1">
      <alignment horizontal="left" vertical="center" wrapText="1"/>
    </xf>
    <xf numFmtId="0" fontId="19" fillId="9" borderId="11" xfId="0" applyFont="1" applyFill="1" applyBorder="1" applyAlignment="1">
      <alignment horizontal="left" vertical="center" wrapText="1"/>
    </xf>
    <xf numFmtId="0" fontId="18" fillId="0" borderId="0" xfId="0" applyFont="1" applyAlignment="1" applyProtection="1">
      <alignment vertical="top" wrapText="1"/>
      <protection locked="0"/>
    </xf>
    <xf numFmtId="0" fontId="3" fillId="0" borderId="0" xfId="0" applyFont="1" applyAlignment="1" applyProtection="1">
      <alignment wrapText="1"/>
      <protection locked="0"/>
    </xf>
    <xf numFmtId="1" fontId="7" fillId="0" borderId="4" xfId="0" applyNumberFormat="1" applyFont="1" applyBorder="1" applyAlignment="1" applyProtection="1">
      <alignment horizontal="left" vertical="center" wrapText="1"/>
      <protection locked="0" hidden="1"/>
    </xf>
    <xf numFmtId="1" fontId="7" fillId="0" borderId="11" xfId="0" applyNumberFormat="1" applyFont="1" applyBorder="1" applyAlignment="1" applyProtection="1">
      <alignment horizontal="left" vertical="center" wrapText="1"/>
      <protection locked="0" hidden="1"/>
    </xf>
    <xf numFmtId="0" fontId="7" fillId="0" borderId="30" xfId="0" applyFont="1" applyBorder="1" applyAlignment="1" applyProtection="1">
      <alignment horizontal="left" vertical="center" wrapText="1"/>
      <protection hidden="1"/>
    </xf>
    <xf numFmtId="0" fontId="7" fillId="0" borderId="28" xfId="0" applyFont="1" applyBorder="1" applyAlignment="1" applyProtection="1">
      <alignment horizontal="left" vertical="center" wrapText="1"/>
      <protection hidden="1"/>
    </xf>
    <xf numFmtId="0" fontId="3" fillId="0" borderId="0" xfId="0" applyFont="1" applyAlignment="1">
      <alignment horizontal="left" vertical="center" wrapText="1"/>
    </xf>
    <xf numFmtId="165" fontId="7" fillId="21" borderId="4" xfId="0" applyNumberFormat="1" applyFont="1" applyFill="1" applyBorder="1" applyAlignment="1" applyProtection="1">
      <alignment horizontal="center" vertical="center" wrapText="1"/>
      <protection hidden="1"/>
    </xf>
    <xf numFmtId="165" fontId="7" fillId="21" borderId="11" xfId="0" applyNumberFormat="1" applyFont="1" applyFill="1" applyBorder="1" applyAlignment="1" applyProtection="1">
      <alignment horizontal="center" vertical="center" wrapText="1"/>
      <protection hidden="1"/>
    </xf>
    <xf numFmtId="165" fontId="21" fillId="0" borderId="4" xfId="0" applyNumberFormat="1" applyFont="1" applyBorder="1" applyAlignment="1" applyProtection="1">
      <alignment horizontal="center" vertical="center" wrapText="1"/>
      <protection hidden="1"/>
    </xf>
    <xf numFmtId="165" fontId="21" fillId="0" borderId="11" xfId="0" applyNumberFormat="1" applyFont="1" applyBorder="1" applyAlignment="1" applyProtection="1">
      <alignment horizontal="center" vertical="center" wrapText="1"/>
      <protection hidden="1"/>
    </xf>
    <xf numFmtId="1" fontId="20" fillId="0" borderId="4" xfId="0" applyNumberFormat="1" applyFont="1" applyBorder="1" applyAlignment="1" applyProtection="1">
      <alignment horizontal="center" vertical="center" wrapText="1"/>
      <protection locked="0"/>
    </xf>
    <xf numFmtId="1" fontId="20" fillId="0" borderId="11" xfId="0" applyNumberFormat="1" applyFont="1" applyBorder="1" applyAlignment="1" applyProtection="1">
      <alignment horizontal="center" vertical="center" wrapText="1"/>
      <protection locked="0"/>
    </xf>
    <xf numFmtId="165" fontId="7" fillId="0" borderId="4" xfId="0" applyNumberFormat="1"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1" fontId="7" fillId="0" borderId="4" xfId="0" applyNumberFormat="1" applyFont="1" applyBorder="1" applyAlignment="1">
      <alignment horizontal="left" vertical="center" wrapText="1"/>
    </xf>
    <xf numFmtId="1" fontId="7" fillId="0" borderId="11" xfId="0" applyNumberFormat="1" applyFont="1" applyBorder="1" applyAlignment="1">
      <alignment horizontal="left" vertical="center" wrapText="1"/>
    </xf>
    <xf numFmtId="165" fontId="20" fillId="0" borderId="30" xfId="0" applyNumberFormat="1" applyFont="1" applyBorder="1" applyAlignment="1" applyProtection="1">
      <alignment horizontal="left" vertical="center" wrapText="1"/>
      <protection hidden="1"/>
    </xf>
    <xf numFmtId="165" fontId="20" fillId="0" borderId="19" xfId="0" applyNumberFormat="1" applyFont="1" applyBorder="1" applyAlignment="1" applyProtection="1">
      <alignment horizontal="left" vertical="center" wrapText="1"/>
      <protection hidden="1"/>
    </xf>
    <xf numFmtId="165" fontId="20" fillId="0" borderId="28" xfId="0" applyNumberFormat="1" applyFont="1" applyBorder="1" applyAlignment="1" applyProtection="1">
      <alignment horizontal="left" vertical="center" wrapText="1"/>
      <protection hidden="1"/>
    </xf>
    <xf numFmtId="0" fontId="7" fillId="21" borderId="4" xfId="0" applyFont="1" applyFill="1" applyBorder="1" applyAlignment="1" applyProtection="1">
      <alignment horizontal="center" vertical="center" wrapText="1"/>
      <protection hidden="1"/>
    </xf>
    <xf numFmtId="0" fontId="7" fillId="21" borderId="11" xfId="0" applyFont="1" applyFill="1" applyBorder="1" applyAlignment="1" applyProtection="1">
      <alignment horizontal="center" vertical="center" wrapText="1"/>
      <protection hidden="1"/>
    </xf>
    <xf numFmtId="9" fontId="20" fillId="0" borderId="4" xfId="0" applyNumberFormat="1" applyFont="1" applyBorder="1" applyAlignment="1" applyProtection="1">
      <alignment horizontal="left" vertical="center" wrapText="1"/>
      <protection locked="0" hidden="1"/>
    </xf>
    <xf numFmtId="9" fontId="20" fillId="0" borderId="11" xfId="0" applyNumberFormat="1" applyFont="1" applyBorder="1" applyAlignment="1" applyProtection="1">
      <alignment horizontal="left" vertical="center" wrapText="1"/>
      <protection locked="0" hidden="1"/>
    </xf>
    <xf numFmtId="9" fontId="20" fillId="0" borderId="4" xfId="0" applyNumberFormat="1" applyFont="1" applyBorder="1" applyAlignment="1" applyProtection="1">
      <alignment horizontal="left" vertical="center" wrapText="1"/>
      <protection hidden="1"/>
    </xf>
    <xf numFmtId="9" fontId="20" fillId="0" borderId="11" xfId="0" applyNumberFormat="1" applyFont="1" applyBorder="1" applyAlignment="1" applyProtection="1">
      <alignment horizontal="left" vertical="center" wrapText="1"/>
      <protection hidden="1"/>
    </xf>
    <xf numFmtId="9" fontId="20" fillId="0" borderId="30" xfId="0" applyNumberFormat="1" applyFont="1" applyBorder="1" applyAlignment="1" applyProtection="1">
      <alignment horizontal="left" vertical="center" wrapText="1"/>
      <protection locked="0" hidden="1"/>
    </xf>
    <xf numFmtId="9" fontId="20" fillId="0" borderId="28" xfId="0" applyNumberFormat="1" applyFont="1" applyBorder="1" applyAlignment="1" applyProtection="1">
      <alignment horizontal="left" vertical="center" wrapText="1"/>
      <protection locked="0" hidden="1"/>
    </xf>
    <xf numFmtId="0" fontId="17" fillId="19" borderId="7" xfId="0" applyFont="1" applyFill="1" applyBorder="1" applyAlignment="1">
      <alignment horizontal="center" vertical="center" wrapText="1"/>
    </xf>
    <xf numFmtId="0" fontId="17" fillId="19" borderId="8" xfId="0" applyFont="1" applyFill="1" applyBorder="1" applyAlignment="1">
      <alignment horizontal="center" vertical="center" wrapText="1"/>
    </xf>
    <xf numFmtId="0" fontId="17" fillId="19" borderId="9" xfId="0" applyFont="1" applyFill="1" applyBorder="1" applyAlignment="1">
      <alignment horizontal="center" vertical="center" wrapText="1"/>
    </xf>
    <xf numFmtId="0" fontId="17" fillId="19" borderId="10" xfId="0" applyFont="1" applyFill="1" applyBorder="1" applyAlignment="1">
      <alignment horizontal="center" vertical="center" wrapText="1"/>
    </xf>
    <xf numFmtId="0" fontId="17" fillId="19" borderId="4" xfId="0" applyFont="1" applyFill="1" applyBorder="1" applyAlignment="1">
      <alignment horizontal="center" vertical="center" wrapText="1"/>
    </xf>
    <xf numFmtId="0" fontId="17" fillId="19" borderId="11" xfId="0" applyFont="1" applyFill="1" applyBorder="1" applyAlignment="1">
      <alignment horizontal="center" vertical="center" wrapText="1"/>
    </xf>
    <xf numFmtId="0" fontId="3" fillId="0" borderId="4"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165" fontId="7" fillId="0" borderId="4" xfId="0" applyNumberFormat="1" applyFont="1" applyBorder="1" applyAlignment="1" applyProtection="1">
      <alignment horizontal="left" vertical="center" wrapText="1"/>
      <protection hidden="1"/>
    </xf>
    <xf numFmtId="165" fontId="7" fillId="0" borderId="11" xfId="0" applyNumberFormat="1" applyFont="1" applyBorder="1" applyAlignment="1" applyProtection="1">
      <alignment horizontal="left" vertical="center" wrapText="1"/>
      <protection hidden="1"/>
    </xf>
    <xf numFmtId="9" fontId="20" fillId="0" borderId="30" xfId="0" applyNumberFormat="1" applyFont="1" applyBorder="1" applyAlignment="1" applyProtection="1">
      <alignment horizontal="left" vertical="center" wrapText="1"/>
      <protection hidden="1"/>
    </xf>
    <xf numFmtId="9" fontId="20" fillId="0" borderId="28" xfId="0" applyNumberFormat="1" applyFont="1" applyBorder="1" applyAlignment="1" applyProtection="1">
      <alignment horizontal="left" vertical="center" wrapText="1"/>
      <protection hidden="1"/>
    </xf>
    <xf numFmtId="0" fontId="3" fillId="0" borderId="0" xfId="0" applyFont="1" applyAlignment="1">
      <alignment wrapText="1"/>
    </xf>
    <xf numFmtId="1" fontId="7" fillId="0" borderId="4" xfId="0" applyNumberFormat="1" applyFont="1" applyBorder="1" applyAlignment="1" applyProtection="1">
      <alignment horizontal="center" vertical="center" wrapText="1"/>
      <protection hidden="1"/>
    </xf>
    <xf numFmtId="1" fontId="7" fillId="0" borderId="11" xfId="0" applyNumberFormat="1" applyFont="1" applyBorder="1" applyAlignment="1" applyProtection="1">
      <alignment horizontal="center" vertical="center" wrapText="1"/>
      <protection hidden="1"/>
    </xf>
    <xf numFmtId="1" fontId="7" fillId="0" borderId="4" xfId="0" applyNumberFormat="1" applyFont="1" applyBorder="1" applyAlignment="1" applyProtection="1">
      <alignment horizontal="left" vertical="center" wrapText="1"/>
      <protection hidden="1"/>
    </xf>
    <xf numFmtId="1" fontId="7" fillId="0" borderId="11" xfId="0" applyNumberFormat="1" applyFont="1" applyBorder="1" applyAlignment="1" applyProtection="1">
      <alignment horizontal="left" vertical="center" wrapText="1"/>
      <protection hidden="1"/>
    </xf>
    <xf numFmtId="1" fontId="7" fillId="20" borderId="4" xfId="0" applyNumberFormat="1" applyFont="1" applyFill="1" applyBorder="1" applyAlignment="1" applyProtection="1">
      <alignment horizontal="left" vertical="center" wrapText="1"/>
      <protection locked="0" hidden="1"/>
    </xf>
    <xf numFmtId="1" fontId="7" fillId="20" borderId="11" xfId="0" applyNumberFormat="1" applyFont="1" applyFill="1" applyBorder="1" applyAlignment="1" applyProtection="1">
      <alignment horizontal="left" vertical="center" wrapText="1"/>
      <protection locked="0" hidden="1"/>
    </xf>
    <xf numFmtId="0" fontId="25" fillId="9" borderId="10" xfId="0" applyFont="1" applyFill="1" applyBorder="1" applyAlignment="1">
      <alignment horizontal="left" vertical="center" wrapText="1"/>
    </xf>
    <xf numFmtId="0" fontId="25" fillId="9" borderId="4" xfId="0" applyFont="1" applyFill="1" applyBorder="1" applyAlignment="1">
      <alignment horizontal="left" vertical="center" wrapText="1"/>
    </xf>
    <xf numFmtId="0" fontId="25" fillId="9" borderId="11" xfId="0" applyFont="1" applyFill="1" applyBorder="1" applyAlignment="1">
      <alignment horizontal="left" vertical="center" wrapText="1"/>
    </xf>
    <xf numFmtId="1" fontId="7" fillId="0" borderId="30" xfId="0" applyNumberFormat="1"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6" xfId="0" applyFont="1" applyBorder="1" applyAlignment="1">
      <alignment horizontal="left" vertical="center" wrapText="1"/>
    </xf>
    <xf numFmtId="0" fontId="15" fillId="13" borderId="22" xfId="0" applyFont="1" applyFill="1" applyBorder="1" applyAlignment="1">
      <alignment horizontal="center" vertical="top" wrapText="1"/>
    </xf>
    <xf numFmtId="0" fontId="15" fillId="13" borderId="24" xfId="0" applyFont="1" applyFill="1" applyBorder="1" applyAlignment="1">
      <alignment horizontal="center" vertical="top" wrapText="1"/>
    </xf>
    <xf numFmtId="0" fontId="13" fillId="0" borderId="0" xfId="0" applyFont="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2" fillId="0" borderId="0" xfId="0" applyFont="1" applyAlignment="1">
      <alignment horizontal="left" vertical="center" wrapText="1"/>
    </xf>
    <xf numFmtId="0" fontId="12" fillId="0" borderId="36" xfId="0" applyFont="1" applyBorder="1" applyAlignment="1">
      <alignment horizontal="left" vertical="center" wrapText="1"/>
    </xf>
    <xf numFmtId="0" fontId="12" fillId="24" borderId="14" xfId="0" applyFont="1" applyFill="1" applyBorder="1" applyAlignment="1">
      <alignment horizontal="left" vertical="center" wrapText="1"/>
    </xf>
    <xf numFmtId="0" fontId="12" fillId="24" borderId="21" xfId="0" applyFont="1" applyFill="1" applyBorder="1" applyAlignment="1">
      <alignment horizontal="left" vertical="center" wrapText="1"/>
    </xf>
    <xf numFmtId="0" fontId="12" fillId="24" borderId="18" xfId="0" applyFont="1" applyFill="1" applyBorder="1" applyAlignment="1">
      <alignment horizontal="left" vertical="center" wrapText="1"/>
    </xf>
    <xf numFmtId="0" fontId="12" fillId="24" borderId="29" xfId="0" applyFont="1" applyFill="1" applyBorder="1" applyAlignment="1">
      <alignment horizontal="left" vertical="center" wrapText="1"/>
    </xf>
    <xf numFmtId="0" fontId="13" fillId="0" borderId="14" xfId="0" applyFont="1" applyBorder="1" applyAlignment="1">
      <alignment horizontal="center" vertical="center"/>
    </xf>
    <xf numFmtId="0" fontId="13"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2" fillId="0" borderId="19" xfId="0" applyFont="1" applyBorder="1" applyAlignment="1">
      <alignment vertical="center" wrapText="1"/>
    </xf>
    <xf numFmtId="0" fontId="12" fillId="0" borderId="28" xfId="0" applyFont="1" applyBorder="1" applyAlignment="1">
      <alignment vertical="center" wrapText="1"/>
    </xf>
    <xf numFmtId="0" fontId="15" fillId="13" borderId="44" xfId="0" applyFont="1" applyFill="1" applyBorder="1" applyAlignment="1">
      <alignment horizontal="center" vertical="center" wrapText="1"/>
    </xf>
    <xf numFmtId="0" fontId="15" fillId="13" borderId="43" xfId="0" applyFont="1" applyFill="1" applyBorder="1" applyAlignment="1">
      <alignment horizontal="center" vertical="center" wrapText="1"/>
    </xf>
    <xf numFmtId="0" fontId="8" fillId="13" borderId="3" xfId="0" applyFont="1" applyFill="1" applyBorder="1" applyAlignment="1">
      <alignment horizontal="center" vertical="top" wrapText="1"/>
    </xf>
    <xf numFmtId="0" fontId="8" fillId="13" borderId="0" xfId="0" applyFont="1" applyFill="1" applyAlignment="1">
      <alignment horizontal="center" vertical="top" wrapText="1"/>
    </xf>
    <xf numFmtId="0" fontId="8" fillId="13" borderId="22" xfId="0" applyFont="1" applyFill="1" applyBorder="1" applyAlignment="1">
      <alignment horizontal="center" vertical="top" wrapText="1"/>
    </xf>
    <xf numFmtId="0" fontId="8" fillId="13" borderId="24" xfId="0" applyFont="1" applyFill="1" applyBorder="1" applyAlignment="1">
      <alignment horizontal="center" vertical="top" wrapText="1"/>
    </xf>
    <xf numFmtId="0" fontId="15" fillId="13" borderId="7" xfId="0" applyFont="1" applyFill="1" applyBorder="1" applyAlignment="1">
      <alignment horizontal="center" vertical="center" wrapText="1"/>
    </xf>
    <xf numFmtId="0" fontId="12" fillId="0" borderId="10" xfId="0" applyFont="1" applyBorder="1" applyAlignment="1">
      <alignment horizontal="center" vertical="center" wrapText="1"/>
    </xf>
    <xf numFmtId="0" fontId="15" fillId="13" borderId="8" xfId="0" applyFont="1" applyFill="1" applyBorder="1" applyAlignment="1">
      <alignment horizontal="center" vertical="center" wrapText="1"/>
    </xf>
    <xf numFmtId="0" fontId="1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36" xfId="0" applyFont="1" applyBorder="1" applyAlignment="1">
      <alignment horizontal="left" vertical="center"/>
    </xf>
    <xf numFmtId="0" fontId="12" fillId="0" borderId="3" xfId="0" applyFont="1" applyBorder="1" applyAlignment="1">
      <alignment horizontal="left" vertical="center" wrapText="1"/>
    </xf>
    <xf numFmtId="0" fontId="12" fillId="0" borderId="20" xfId="0" applyFont="1" applyBorder="1" applyAlignment="1">
      <alignment horizontal="left" vertical="center" wrapText="1"/>
    </xf>
    <xf numFmtId="0" fontId="12" fillId="0" borderId="14" xfId="0" applyFont="1" applyBorder="1" applyAlignment="1">
      <alignment horizontal="left" vertical="center" wrapText="1"/>
    </xf>
    <xf numFmtId="0" fontId="12" fillId="0" borderId="21" xfId="0" applyFont="1" applyBorder="1" applyAlignment="1">
      <alignment horizontal="left" vertical="center" wrapText="1"/>
    </xf>
    <xf numFmtId="0" fontId="8" fillId="13" borderId="43" xfId="0" applyFont="1" applyFill="1" applyBorder="1" applyAlignment="1">
      <alignment horizontal="center" vertical="center"/>
    </xf>
    <xf numFmtId="0" fontId="8" fillId="13" borderId="24" xfId="0" applyFont="1" applyFill="1" applyBorder="1" applyAlignment="1">
      <alignment horizontal="center" vertical="center"/>
    </xf>
    <xf numFmtId="0" fontId="13" fillId="0" borderId="0" xfId="0" applyFont="1" applyAlignment="1">
      <alignment horizontal="center" vertical="center" wrapText="1"/>
    </xf>
    <xf numFmtId="0" fontId="12" fillId="0" borderId="18" xfId="0" applyFont="1" applyBorder="1" applyAlignment="1">
      <alignment vertical="center" wrapText="1"/>
    </xf>
    <xf numFmtId="0" fontId="3" fillId="0" borderId="0" xfId="0" applyFont="1" applyAlignment="1">
      <alignment horizontal="center" vertical="center"/>
    </xf>
    <xf numFmtId="0" fontId="13" fillId="0" borderId="23" xfId="0" applyFont="1" applyBorder="1" applyAlignment="1">
      <alignment vertical="center"/>
    </xf>
    <xf numFmtId="0" fontId="14" fillId="0" borderId="25" xfId="0" applyFont="1" applyBorder="1" applyAlignment="1">
      <alignment vertical="center"/>
    </xf>
    <xf numFmtId="0" fontId="12" fillId="0" borderId="24" xfId="0" applyFont="1" applyBorder="1" applyAlignment="1">
      <alignment vertical="center"/>
    </xf>
    <xf numFmtId="0" fontId="8" fillId="14" borderId="11" xfId="0" applyFont="1" applyFill="1" applyBorder="1" applyAlignment="1">
      <alignment horizontal="center" vertical="center" wrapText="1"/>
    </xf>
    <xf numFmtId="0" fontId="8" fillId="13" borderId="22" xfId="0" applyFont="1" applyFill="1" applyBorder="1" applyAlignment="1">
      <alignment horizontal="center" vertical="center"/>
    </xf>
    <xf numFmtId="0" fontId="14" fillId="0" borderId="26" xfId="0" applyFont="1" applyBorder="1" applyAlignment="1">
      <alignment vertical="center"/>
    </xf>
    <xf numFmtId="0" fontId="12" fillId="0" borderId="27" xfId="0" applyFont="1" applyBorder="1" applyAlignment="1">
      <alignment vertical="center"/>
    </xf>
    <xf numFmtId="0" fontId="8" fillId="14" borderId="10" xfId="0" applyFont="1" applyFill="1" applyBorder="1" applyAlignment="1">
      <alignment horizontal="center" vertical="center" wrapText="1"/>
    </xf>
    <xf numFmtId="0" fontId="12" fillId="0" borderId="29" xfId="0" applyFont="1" applyBorder="1" applyAlignment="1">
      <alignment vertical="center" wrapText="1"/>
    </xf>
    <xf numFmtId="0" fontId="0" fillId="0" borderId="0" xfId="0" applyAlignment="1">
      <alignment horizontal="center" vertical="center"/>
    </xf>
  </cellXfs>
  <cellStyles count="11">
    <cellStyle name="20% - Accent1" xfId="2" builtinId="30" customBuiltin="1"/>
    <cellStyle name="40% - Accent1" xfId="3" builtinId="31" customBuiltin="1"/>
    <cellStyle name="60% - Accent1" xfId="4" builtinId="32" customBuiltin="1"/>
    <cellStyle name="Accent1" xfId="5" builtinId="29" customBuiltin="1"/>
    <cellStyle name="Accent4" xfId="6" builtinId="41" customBuiltin="1"/>
    <cellStyle name="Check Cell" xfId="7" builtinId="23" customBuiltin="1"/>
    <cellStyle name="Normal" xfId="0" builtinId="0"/>
    <cellStyle name="Normal 2" xfId="8" xr:uid="{00000000-0005-0000-0000-000007000000}"/>
    <cellStyle name="Output" xfId="9" builtinId="21" customBuiltin="1"/>
    <cellStyle name="Percent 2" xfId="10" xr:uid="{00000000-0005-0000-0000-000009000000}"/>
    <cellStyle name="RowLevel_2" xfId="1" builtinId="1" iLevel="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1"/>
  <sheetViews>
    <sheetView zoomScale="80" zoomScaleNormal="80" zoomScalePageLayoutView="75" workbookViewId="0">
      <selection activeCell="C10" sqref="C10:D10"/>
    </sheetView>
  </sheetViews>
  <sheetFormatPr defaultColWidth="9.140625" defaultRowHeight="12.75" x14ac:dyDescent="0.2"/>
  <cols>
    <col min="1" max="1" width="84.5703125" style="73" customWidth="1"/>
    <col min="2" max="2" width="24.85546875" style="73" customWidth="1"/>
    <col min="3" max="3" width="29.42578125" style="73" customWidth="1"/>
    <col min="4" max="4" width="29.140625" style="73" customWidth="1"/>
    <col min="5" max="5" width="8.140625" style="73" hidden="1" customWidth="1"/>
    <col min="6" max="16384" width="9.140625" style="73"/>
  </cols>
  <sheetData>
    <row r="1" spans="1:5" ht="13.5" customHeight="1" thickBot="1" x14ac:dyDescent="0.25">
      <c r="A1" s="14"/>
      <c r="B1" s="14"/>
      <c r="C1" s="14"/>
      <c r="D1" s="304"/>
      <c r="E1" s="304"/>
    </row>
    <row r="2" spans="1:5" ht="25.5" customHeight="1" x14ac:dyDescent="0.2">
      <c r="A2" s="346" t="s">
        <v>0</v>
      </c>
      <c r="B2" s="347"/>
      <c r="C2" s="347"/>
      <c r="D2" s="348"/>
      <c r="E2" s="304"/>
    </row>
    <row r="3" spans="1:5" ht="18" customHeight="1" x14ac:dyDescent="0.2">
      <c r="A3" s="349" t="s">
        <v>1</v>
      </c>
      <c r="B3" s="350"/>
      <c r="C3" s="350"/>
      <c r="D3" s="351"/>
      <c r="E3" s="304"/>
    </row>
    <row r="4" spans="1:5" ht="15" customHeight="1" x14ac:dyDescent="0.2">
      <c r="A4" s="314" t="s">
        <v>2</v>
      </c>
      <c r="B4" s="315"/>
      <c r="C4" s="315"/>
      <c r="D4" s="316"/>
      <c r="E4" s="304"/>
    </row>
    <row r="5" spans="1:5" ht="18" customHeight="1" x14ac:dyDescent="0.2">
      <c r="A5" s="74" t="s">
        <v>3</v>
      </c>
      <c r="B5" s="338" t="str">
        <f>IF(OR(B6&lt;&gt;"",B7&lt;&gt;""),"Yes","No")</f>
        <v>Yes</v>
      </c>
      <c r="C5" s="338"/>
      <c r="D5" s="339"/>
      <c r="E5" s="304"/>
    </row>
    <row r="6" spans="1:5" ht="120" customHeight="1" x14ac:dyDescent="0.2">
      <c r="A6" s="75" t="s">
        <v>4</v>
      </c>
      <c r="B6" s="335" t="str">
        <f>'DEM (Strategic Priorities)'!J11</f>
        <v xml:space="preserve">-Social Inclusion and Equality
-Productivity and Innovation
-Climate Change and Environmental Sustainability
-Institutional Capacity and the Rule of Law
</v>
      </c>
      <c r="C6" s="336"/>
      <c r="D6" s="337"/>
      <c r="E6" s="304"/>
    </row>
    <row r="7" spans="1:5" ht="120" customHeight="1" x14ac:dyDescent="0.2">
      <c r="A7" s="10" t="s">
        <v>5</v>
      </c>
      <c r="B7" s="335" t="str">
        <f>'DEM (Strategic Priorities)'!K22</f>
        <v xml:space="preserve">-Households with new or upgraded access to drinking water (#)*
-Households with new or upgraded access to sanitation (#)*
-Installed power generation from renewable energy sources (%)*
-Households with wastewater treatment (#)*
</v>
      </c>
      <c r="C7" s="336"/>
      <c r="D7" s="337"/>
      <c r="E7" s="304"/>
    </row>
    <row r="8" spans="1:5" ht="15" customHeight="1" x14ac:dyDescent="0.2">
      <c r="A8" s="74" t="s">
        <v>6</v>
      </c>
      <c r="B8" s="338" t="str">
        <f>IF(OR('DEM (Strategic Priorities)'!$D$82="Yes",'DEM (Strategic Priorities)'!D85="Yes"),"Yes","No")</f>
        <v>Yes</v>
      </c>
      <c r="C8" s="338"/>
      <c r="D8" s="339"/>
      <c r="E8" s="304"/>
    </row>
    <row r="9" spans="1:5" ht="60" customHeight="1" x14ac:dyDescent="0.2">
      <c r="A9" s="10" t="s">
        <v>7</v>
      </c>
      <c r="B9" s="82" t="str">
        <f>IF('DEM (Strategic Priorities)'!D82="Yes",'DEM (Strategic Priorities)'!C82,"")</f>
        <v>GN-2924</v>
      </c>
      <c r="C9" s="340" t="s">
        <v>8</v>
      </c>
      <c r="D9" s="341"/>
      <c r="E9" s="304"/>
    </row>
    <row r="10" spans="1:5" ht="60" customHeight="1" x14ac:dyDescent="0.2">
      <c r="A10" s="10" t="s">
        <v>9</v>
      </c>
      <c r="B10" s="82" t="str">
        <f>IF('DEM (Strategic Priorities)'!D85="Yes",'DEM (Strategic Priorities)'!C85," ")</f>
        <v xml:space="preserve"> </v>
      </c>
      <c r="C10" s="342" t="str">
        <f>IF('DEM (Strategic Priorities)'!D85="Yes","The intervention is included in the 2018 Operational Program.","The intervention is not included in the 2018 Operational Program.")</f>
        <v>The intervention is not included in the 2018 Operational Program.</v>
      </c>
      <c r="D10" s="343"/>
      <c r="E10" s="304"/>
    </row>
    <row r="11" spans="1:5" ht="60" customHeight="1" x14ac:dyDescent="0.2">
      <c r="A11" s="147" t="s">
        <v>10</v>
      </c>
      <c r="B11" s="76"/>
      <c r="C11" s="344"/>
      <c r="D11" s="345"/>
      <c r="E11" s="304">
        <f>SUM(E14+E18+E24)</f>
        <v>2</v>
      </c>
    </row>
    <row r="12" spans="1:5" ht="25.5" customHeight="1" x14ac:dyDescent="0.2">
      <c r="A12" s="192" t="s">
        <v>11</v>
      </c>
      <c r="B12" s="206"/>
      <c r="C12" s="292" t="str">
        <f>IF(AND(E12=1,B13&gt;=6.95),"Evaluable",IF(AND(E12=1,B13&gt;=5),"Partially Evaluable","Not Evaluable"))</f>
        <v>Not Evaluable</v>
      </c>
      <c r="D12" s="206"/>
      <c r="E12" s="209">
        <f>IF(E11&gt;=3,1,0)</f>
        <v>0</v>
      </c>
    </row>
    <row r="13" spans="1:5" hidden="1" x14ac:dyDescent="0.2">
      <c r="A13" s="193"/>
      <c r="B13" s="291">
        <f>AVERAGE(B14,B18,B24)</f>
        <v>6.8083333333333336</v>
      </c>
      <c r="C13" s="207"/>
      <c r="D13" s="194">
        <v>10</v>
      </c>
      <c r="E13" s="304"/>
    </row>
    <row r="14" spans="1:5" ht="15" customHeight="1" x14ac:dyDescent="0.2">
      <c r="A14" s="74" t="s">
        <v>12</v>
      </c>
      <c r="B14" s="311">
        <f>'DEM (Evaluability)'!G11</f>
        <v>7</v>
      </c>
      <c r="C14" s="312"/>
      <c r="D14" s="313"/>
      <c r="E14" s="304">
        <f>IF(B14&gt;=5,1,0)</f>
        <v>1</v>
      </c>
    </row>
    <row r="15" spans="1:5" ht="15" customHeight="1" x14ac:dyDescent="0.2">
      <c r="A15" s="10" t="s">
        <v>13</v>
      </c>
      <c r="B15" s="1">
        <f>'DEM (Evaluability)'!G12</f>
        <v>3</v>
      </c>
      <c r="C15" s="309"/>
      <c r="D15" s="310"/>
      <c r="E15" s="304"/>
    </row>
    <row r="16" spans="1:5" ht="15" customHeight="1" x14ac:dyDescent="0.2">
      <c r="A16" s="10" t="s">
        <v>14</v>
      </c>
      <c r="B16" s="1">
        <f>'DEM (Evaluability)'!G19</f>
        <v>4</v>
      </c>
      <c r="C16" s="309"/>
      <c r="D16" s="310"/>
      <c r="E16" s="304"/>
    </row>
    <row r="17" spans="1:5" ht="15" customHeight="1" x14ac:dyDescent="0.2">
      <c r="A17" s="10" t="s">
        <v>15</v>
      </c>
      <c r="B17" s="1">
        <f>'DEM (Evaluability)'!G24</f>
        <v>0</v>
      </c>
      <c r="C17" s="309"/>
      <c r="D17" s="310"/>
      <c r="E17" s="304"/>
    </row>
    <row r="18" spans="1:5" ht="15" customHeight="1" x14ac:dyDescent="0.2">
      <c r="A18" s="74" t="s">
        <v>16</v>
      </c>
      <c r="B18" s="311">
        <f>'DEM (Evaluability)'!G38</f>
        <v>10</v>
      </c>
      <c r="C18" s="312"/>
      <c r="D18" s="313"/>
      <c r="E18" s="304">
        <f>IF(B18&gt;=5,1,0)</f>
        <v>1</v>
      </c>
    </row>
    <row r="19" spans="1:5" x14ac:dyDescent="0.2">
      <c r="A19" s="10" t="s">
        <v>17</v>
      </c>
      <c r="B19" s="1">
        <f>IF('DEM (Evaluability)'!H41=1,'DEM (Evaluability)'!G42,IF('DEM (Evaluability)'!H41=2,'DEM (Evaluability)'!G49,0))</f>
        <v>3</v>
      </c>
      <c r="C19" s="309"/>
      <c r="D19" s="310"/>
      <c r="E19" s="304"/>
    </row>
    <row r="20" spans="1:5" ht="15" customHeight="1" x14ac:dyDescent="0.2">
      <c r="A20" s="10" t="s">
        <v>18</v>
      </c>
      <c r="B20" s="1">
        <f>IF('DEM (Evaluability)'!H41=1,'DEM (Evaluability)'!G43,IF('DEM (Evaluability)'!H41=2,'DEM (Evaluability)'!G50,0))</f>
        <v>3</v>
      </c>
      <c r="C20" s="309"/>
      <c r="D20" s="310"/>
      <c r="E20" s="304"/>
    </row>
    <row r="21" spans="1:5" ht="15" customHeight="1" x14ac:dyDescent="0.2">
      <c r="A21" s="10" t="s">
        <v>19</v>
      </c>
      <c r="B21" s="1">
        <f>IF('DEM (Evaluability)'!H41=1,'DEM (Evaluability)'!G44,IF('DEM (Evaluability)'!H41=2,'DEM (Evaluability)'!G51,0))</f>
        <v>1</v>
      </c>
      <c r="C21" s="309"/>
      <c r="D21" s="310"/>
      <c r="E21" s="304"/>
    </row>
    <row r="22" spans="1:5" ht="15" customHeight="1" x14ac:dyDescent="0.2">
      <c r="A22" s="10" t="s">
        <v>20</v>
      </c>
      <c r="B22" s="1">
        <f>IF('DEM (Evaluability)'!H41=1,'DEM (Evaluability)'!G45,IF('DEM (Evaluability)'!H41=2,'DEM (Evaluability)'!G52,0))</f>
        <v>2</v>
      </c>
      <c r="C22" s="309"/>
      <c r="D22" s="310"/>
      <c r="E22" s="304"/>
    </row>
    <row r="23" spans="1:5" ht="15" customHeight="1" x14ac:dyDescent="0.2">
      <c r="A23" s="10" t="s">
        <v>21</v>
      </c>
      <c r="B23" s="1">
        <f>IF('DEM (Evaluability)'!H41=1,'DEM (Evaluability)'!G46,IF('DEM (Evaluability)'!H41=2,'DEM (Evaluability)'!G53,0))</f>
        <v>1</v>
      </c>
      <c r="C23" s="309"/>
      <c r="D23" s="310"/>
      <c r="E23" s="304"/>
    </row>
    <row r="24" spans="1:5" ht="15" customHeight="1" x14ac:dyDescent="0.2">
      <c r="A24" s="74" t="s">
        <v>22</v>
      </c>
      <c r="B24" s="311">
        <f>'DEM (Evaluability)'!G54</f>
        <v>3.4249999999999998</v>
      </c>
      <c r="C24" s="312"/>
      <c r="D24" s="313"/>
      <c r="E24" s="304">
        <f>IF(B24&gt;=5,1,0)</f>
        <v>0</v>
      </c>
    </row>
    <row r="25" spans="1:5" ht="15" customHeight="1" x14ac:dyDescent="0.2">
      <c r="A25" s="10" t="s">
        <v>23</v>
      </c>
      <c r="B25" s="1">
        <f>'DEM (Evaluability)'!G55</f>
        <v>1.075</v>
      </c>
      <c r="C25" s="309"/>
      <c r="D25" s="310"/>
      <c r="E25" s="304"/>
    </row>
    <row r="26" spans="1:5" ht="15" customHeight="1" x14ac:dyDescent="0.2">
      <c r="A26" s="10" t="s">
        <v>24</v>
      </c>
      <c r="B26" s="1">
        <f>'DEM (Evaluability)'!G61</f>
        <v>2.35</v>
      </c>
      <c r="C26" s="309"/>
      <c r="D26" s="310"/>
      <c r="E26" s="304"/>
    </row>
    <row r="27" spans="1:5" ht="15" customHeight="1" x14ac:dyDescent="0.2">
      <c r="A27" s="314" t="s">
        <v>25</v>
      </c>
      <c r="B27" s="315"/>
      <c r="C27" s="315"/>
      <c r="D27" s="316"/>
      <c r="E27" s="304"/>
    </row>
    <row r="28" spans="1:5" ht="15" customHeight="1" x14ac:dyDescent="0.2">
      <c r="A28" s="77" t="s">
        <v>26</v>
      </c>
      <c r="B28" s="324" t="str">
        <f>IF('DEM ( Risk)'!D12&lt;&gt;"",'DEM ( Risk)'!D12,"Specify risk rate on risk tab")</f>
        <v>Low</v>
      </c>
      <c r="C28" s="324"/>
      <c r="D28" s="325"/>
      <c r="E28" s="304"/>
    </row>
    <row r="29" spans="1:5" ht="15" customHeight="1" x14ac:dyDescent="0.2">
      <c r="A29" s="78" t="s">
        <v>27</v>
      </c>
      <c r="B29" s="326" t="str">
        <f>IF(AND('DEM ( Risk)'!D15="yes", 'DEM ( Risk)'!D16="yes"), "Yes", "")</f>
        <v/>
      </c>
      <c r="C29" s="326"/>
      <c r="D29" s="327"/>
      <c r="E29" s="304"/>
    </row>
    <row r="30" spans="1:5" ht="15" customHeight="1" x14ac:dyDescent="0.2">
      <c r="A30" s="78" t="s">
        <v>28</v>
      </c>
      <c r="B30" s="330" t="str">
        <f>IF('DEM ( Risk)'!D18="yes", "Yes", "")</f>
        <v/>
      </c>
      <c r="C30" s="331"/>
      <c r="D30" s="332"/>
      <c r="E30" s="304"/>
    </row>
    <row r="31" spans="1:5" ht="15" customHeight="1" x14ac:dyDescent="0.2">
      <c r="A31" s="78" t="s">
        <v>29</v>
      </c>
      <c r="B31" s="330" t="str">
        <f>IF('DEM ( Risk)'!D19="yes", "Yes", "")</f>
        <v/>
      </c>
      <c r="C31" s="331"/>
      <c r="D31" s="332"/>
      <c r="E31" s="304"/>
    </row>
    <row r="32" spans="1:5" ht="15" customHeight="1" x14ac:dyDescent="0.2">
      <c r="A32" s="77" t="s">
        <v>30</v>
      </c>
      <c r="B32" s="324" t="str">
        <f>IF('DEM ( Risk)'!D13&lt;&gt;"",'DEM ( Risk)'!D13,"Specify risk classification on risk tab")</f>
        <v>B</v>
      </c>
      <c r="C32" s="324"/>
      <c r="D32" s="325"/>
      <c r="E32" s="304"/>
    </row>
    <row r="33" spans="1:4" ht="15" customHeight="1" x14ac:dyDescent="0.2">
      <c r="A33" s="314" t="s">
        <v>31</v>
      </c>
      <c r="B33" s="315"/>
      <c r="C33" s="315"/>
      <c r="D33" s="316"/>
    </row>
    <row r="34" spans="1:4" ht="15" customHeight="1" x14ac:dyDescent="0.2">
      <c r="A34" s="10" t="s">
        <v>32</v>
      </c>
      <c r="B34" s="79"/>
      <c r="C34" s="328"/>
      <c r="D34" s="329"/>
    </row>
    <row r="35" spans="1:4" ht="70.349999999999994" customHeight="1" x14ac:dyDescent="0.2">
      <c r="A35" s="80" t="s">
        <v>33</v>
      </c>
      <c r="B35" s="195" t="str">
        <f>IF('DEM (Additionality)'!E14="Yes","Yes","")</f>
        <v>Yes</v>
      </c>
      <c r="C35" s="321" t="str">
        <f>'DEM (Additionality)'!N14</f>
        <v>Financial Management: Budget, Treasury, Accounting and Reporting.
Procurement: nformation System, parison, ational Public Bidding.</v>
      </c>
      <c r="D35" s="322"/>
    </row>
    <row r="36" spans="1:4" ht="70.349999999999994" customHeight="1" x14ac:dyDescent="0.2">
      <c r="A36" s="80" t="s">
        <v>34</v>
      </c>
      <c r="B36" s="195" t="str">
        <f>IF('DEM (Additionality)'!E27="yes", "Yes","")</f>
        <v/>
      </c>
      <c r="C36" s="321" t="str">
        <f>'DEM (Additionality)'!M28</f>
        <v/>
      </c>
      <c r="D36" s="322"/>
    </row>
    <row r="37" spans="1:4" ht="44.25" customHeight="1" x14ac:dyDescent="0.2">
      <c r="A37" s="10" t="s">
        <v>35</v>
      </c>
      <c r="B37" s="79"/>
      <c r="C37" s="333"/>
      <c r="D37" s="334"/>
    </row>
    <row r="38" spans="1:4" ht="80.45" customHeight="1" x14ac:dyDescent="0.2">
      <c r="A38" s="10" t="s">
        <v>36</v>
      </c>
      <c r="B38" s="195" t="str">
        <f>IF('DEM (Additionality)'!E35="yes", "Yes","")</f>
        <v/>
      </c>
      <c r="C38" s="319"/>
      <c r="D38" s="320"/>
    </row>
    <row r="39" spans="1:4" ht="25.5" customHeight="1" x14ac:dyDescent="0.2">
      <c r="A39" s="323" t="s">
        <v>37</v>
      </c>
      <c r="B39" s="323"/>
      <c r="C39" s="323"/>
      <c r="D39" s="323"/>
    </row>
    <row r="40" spans="1:4" ht="13.5" customHeight="1" x14ac:dyDescent="0.2">
      <c r="A40" s="323"/>
      <c r="B40" s="323"/>
      <c r="C40" s="323"/>
      <c r="D40" s="323"/>
    </row>
    <row r="41" spans="1:4" ht="300" customHeight="1" x14ac:dyDescent="0.2">
      <c r="A41" s="317" t="s">
        <v>38</v>
      </c>
      <c r="B41" s="318"/>
      <c r="C41" s="318"/>
      <c r="D41" s="318"/>
    </row>
  </sheetData>
  <sheetProtection algorithmName="SHA-512" hashValue="NKL1VHI+E+t+bvEU9LKQNn4wgiu5YYbcuumayKZz4Xo4ibqU0SsgE00uvnif2d5ZuW396zeFvBobYNbrCEBsdg==" saltValue="zfuPIPQsrlpECLadsWvjrQ==" spinCount="100000" sheet="1" objects="1" scenarios="1"/>
  <mergeCells count="38">
    <mergeCell ref="A2:D2"/>
    <mergeCell ref="A3:D3"/>
    <mergeCell ref="B5:D5"/>
    <mergeCell ref="B6:D6"/>
    <mergeCell ref="A4:D4"/>
    <mergeCell ref="B7:D7"/>
    <mergeCell ref="B8:D8"/>
    <mergeCell ref="C9:D9"/>
    <mergeCell ref="C10:D10"/>
    <mergeCell ref="C11:D11"/>
    <mergeCell ref="A41:D41"/>
    <mergeCell ref="C38:D38"/>
    <mergeCell ref="C36:D36"/>
    <mergeCell ref="A40:D40"/>
    <mergeCell ref="B28:D28"/>
    <mergeCell ref="B29:D29"/>
    <mergeCell ref="C34:D34"/>
    <mergeCell ref="A33:D33"/>
    <mergeCell ref="B30:D30"/>
    <mergeCell ref="B31:D31"/>
    <mergeCell ref="B32:D32"/>
    <mergeCell ref="A39:D39"/>
    <mergeCell ref="C35:D35"/>
    <mergeCell ref="C37:D37"/>
    <mergeCell ref="A27:D27"/>
    <mergeCell ref="B22:D22"/>
    <mergeCell ref="B24:D24"/>
    <mergeCell ref="B25:D25"/>
    <mergeCell ref="B26:D26"/>
    <mergeCell ref="B23:D23"/>
    <mergeCell ref="B21:D21"/>
    <mergeCell ref="B14:D14"/>
    <mergeCell ref="B15:D15"/>
    <mergeCell ref="B16:D16"/>
    <mergeCell ref="B17:D17"/>
    <mergeCell ref="B18:D18"/>
    <mergeCell ref="B19:D19"/>
    <mergeCell ref="B20:D20"/>
  </mergeCells>
  <pageMargins left="0.7" right="0.7" top="0.75" bottom="0.75" header="0.3" footer="0.3"/>
  <pageSetup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A2:M46"/>
  <sheetViews>
    <sheetView topLeftCell="A7" zoomScale="85" zoomScaleNormal="85" workbookViewId="0">
      <selection activeCell="C26" sqref="C26"/>
    </sheetView>
  </sheetViews>
  <sheetFormatPr defaultColWidth="9.140625" defaultRowHeight="12.75" x14ac:dyDescent="0.2"/>
  <cols>
    <col min="1" max="1" width="2.42578125" style="2" customWidth="1"/>
    <col min="2" max="2" width="82.85546875" style="3" customWidth="1"/>
    <col min="3" max="3" width="68.85546875" style="2" customWidth="1"/>
    <col min="4" max="4" width="25.140625" style="15" customWidth="1"/>
    <col min="5" max="5" width="16.140625" style="37" hidden="1" customWidth="1"/>
    <col min="6" max="11" width="9.140625" style="37" hidden="1" customWidth="1"/>
    <col min="12" max="12" width="9.140625" style="37" customWidth="1"/>
    <col min="13" max="13" width="9.140625" style="2" customWidth="1"/>
    <col min="14" max="16384" width="9.140625" style="2"/>
  </cols>
  <sheetData>
    <row r="2" spans="1:13" ht="18" x14ac:dyDescent="0.2">
      <c r="B2" s="373" t="s">
        <v>178</v>
      </c>
      <c r="C2" s="373"/>
      <c r="D2" s="373"/>
    </row>
    <row r="3" spans="1:13" ht="18.75" thickBot="1" x14ac:dyDescent="0.25">
      <c r="B3" s="373" t="s">
        <v>350</v>
      </c>
      <c r="C3" s="423"/>
      <c r="D3" s="423"/>
    </row>
    <row r="4" spans="1:13" ht="18" x14ac:dyDescent="0.2">
      <c r="A4" s="414" t="s">
        <v>82</v>
      </c>
      <c r="B4" s="415"/>
      <c r="C4" s="415"/>
      <c r="D4" s="415"/>
      <c r="E4" s="39"/>
    </row>
    <row r="5" spans="1:13" ht="23.25" customHeight="1" x14ac:dyDescent="0.2">
      <c r="A5" s="20"/>
      <c r="B5" s="416" t="s">
        <v>351</v>
      </c>
      <c r="C5" s="416"/>
      <c r="D5" s="416"/>
      <c r="E5" s="40"/>
    </row>
    <row r="6" spans="1:13" ht="31.5" customHeight="1" x14ac:dyDescent="0.2">
      <c r="A6" s="4">
        <v>1</v>
      </c>
      <c r="B6" s="387" t="s">
        <v>180</v>
      </c>
      <c r="C6" s="387"/>
      <c r="D6" s="387"/>
      <c r="E6" s="40"/>
    </row>
    <row r="7" spans="1:13" ht="30.75" customHeight="1" thickBot="1" x14ac:dyDescent="0.25">
      <c r="A7" s="21">
        <v>2</v>
      </c>
      <c r="B7" s="412" t="s">
        <v>392</v>
      </c>
      <c r="C7" s="412"/>
      <c r="D7" s="412"/>
      <c r="E7" s="41"/>
    </row>
    <row r="8" spans="1:13" ht="27" customHeight="1" x14ac:dyDescent="0.2">
      <c r="C8" s="3"/>
      <c r="D8" s="14"/>
    </row>
    <row r="9" spans="1:13" ht="18.75" thickBot="1" x14ac:dyDescent="0.25">
      <c r="B9" s="411" t="s">
        <v>367</v>
      </c>
      <c r="C9" s="411"/>
      <c r="D9" s="411"/>
    </row>
    <row r="10" spans="1:13" s="24" customFormat="1" ht="15.75" customHeight="1" x14ac:dyDescent="0.2">
      <c r="B10" s="28" t="s">
        <v>85</v>
      </c>
      <c r="C10" s="29" t="s">
        <v>86</v>
      </c>
      <c r="D10" s="30" t="s">
        <v>87</v>
      </c>
      <c r="E10" s="42"/>
      <c r="F10" s="42"/>
      <c r="G10" s="42"/>
      <c r="H10" s="42"/>
      <c r="I10" s="42"/>
      <c r="J10" s="42"/>
      <c r="K10" s="42"/>
      <c r="L10" s="42"/>
    </row>
    <row r="11" spans="1:13" s="24" customFormat="1" ht="15.75" thickBot="1" x14ac:dyDescent="0.25">
      <c r="B11" s="49" t="s">
        <v>369</v>
      </c>
      <c r="C11" s="50"/>
      <c r="D11" s="51"/>
      <c r="E11" s="42"/>
      <c r="F11" s="42"/>
      <c r="G11" s="42"/>
      <c r="H11" s="42"/>
      <c r="I11" s="42"/>
      <c r="J11" s="42"/>
      <c r="K11" s="42"/>
      <c r="L11" s="42"/>
    </row>
    <row r="12" spans="1:13" s="24" customFormat="1" ht="14.25" x14ac:dyDescent="0.2">
      <c r="B12" s="12" t="s">
        <v>370</v>
      </c>
      <c r="C12" s="65"/>
      <c r="D12" s="53" t="str">
        <f>'DEM (Additionality)'!E12</f>
        <v>Yes</v>
      </c>
      <c r="E12" s="42"/>
      <c r="F12" s="42"/>
      <c r="G12" s="42"/>
      <c r="H12" s="42"/>
      <c r="I12" s="42"/>
      <c r="J12" s="42"/>
      <c r="K12" s="42"/>
      <c r="L12" s="42"/>
    </row>
    <row r="13" spans="1:13" s="24" customFormat="1" ht="14.25" x14ac:dyDescent="0.2">
      <c r="B13" s="52" t="s">
        <v>393</v>
      </c>
      <c r="C13" s="46"/>
      <c r="D13" s="69" t="str">
        <f>'DEM (Additionality)'!E13</f>
        <v>Yes</v>
      </c>
      <c r="E13" s="42"/>
      <c r="F13" s="42"/>
      <c r="G13" s="42"/>
      <c r="H13" s="42"/>
      <c r="I13" s="42"/>
      <c r="J13" s="42"/>
      <c r="K13" s="42"/>
      <c r="L13" s="42"/>
    </row>
    <row r="14" spans="1:13" s="24" customFormat="1" ht="14.25" x14ac:dyDescent="0.2">
      <c r="B14" s="7" t="s">
        <v>394</v>
      </c>
      <c r="C14" s="7"/>
      <c r="D14" s="54" t="str">
        <f>'DEM (Additionality)'!E14</f>
        <v>Yes</v>
      </c>
      <c r="E14" s="42" t="str">
        <f>IF(D14="Yes",B14,"")</f>
        <v xml:space="preserve">     Administración financiera</v>
      </c>
      <c r="F14" s="42">
        <f>LEN(E14)</f>
        <v>30</v>
      </c>
      <c r="G14" s="42" t="str">
        <f>RIGHT(E14,(F14-5))</f>
        <v>Administración financiera</v>
      </c>
      <c r="H14" s="42" t="str">
        <f>IF(D14="Yes",CONCATENATE(G14,": "),"")</f>
        <v xml:space="preserve">Administración financiera: </v>
      </c>
      <c r="I14" s="42" t="str">
        <f>CONCATENATE(H14,H15,H16,H17,H18,H19)</f>
        <v xml:space="preserve">Administración financiera: Presupuesto, Tesorería, Contabilidad y emisión de informes, </v>
      </c>
      <c r="J14" s="42">
        <f>LEN(I14)</f>
        <v>87</v>
      </c>
      <c r="K14" s="42" t="str">
        <f>LEFT(I14,(J14-2))</f>
        <v>Administración financiera: Presupuesto, Tesorería, Contabilidad y emisión de informes</v>
      </c>
      <c r="L14" s="42" t="str">
        <f>IF(J14=0,"",CONCATENATE(K14,"."))</f>
        <v>Administración financiera: Presupuesto, Tesorería, Contabilidad y emisión de informes.</v>
      </c>
      <c r="M14" s="24" t="str">
        <f>CONCATENATE(L14,CHAR(10),CHAR(10),L20)</f>
        <v>Administración financiera: Presupuesto, Tesorería, Contabilidad y emisión de informes.
Adquisiciones y contrataciones: Sistema de información, Método de comparación de precios, Licitación pública nacional.</v>
      </c>
    </row>
    <row r="15" spans="1:13" s="24" customFormat="1" ht="14.25" x14ac:dyDescent="0.2">
      <c r="B15" s="68" t="s">
        <v>395</v>
      </c>
      <c r="C15" s="33"/>
      <c r="D15" s="70" t="str">
        <f>'DEM (Additionality)'!E15</f>
        <v>Yes</v>
      </c>
      <c r="E15" s="42" t="str">
        <f t="shared" ref="E15:E19" si="0">IF(D15="Yes",B15,"")</f>
        <v xml:space="preserve">         Presupuesto</v>
      </c>
      <c r="F15" s="42">
        <f t="shared" ref="F15:F33" si="1">LEN(E15)</f>
        <v>20</v>
      </c>
      <c r="G15" s="42" t="str">
        <f>RIGHT(E15,(F15-9))</f>
        <v>Presupuesto</v>
      </c>
      <c r="H15" s="42" t="str">
        <f>IF(D15="Yes",CONCATENATE(G15,", "),"")</f>
        <v xml:space="preserve">Presupuesto, </v>
      </c>
      <c r="I15" s="42"/>
      <c r="J15" s="42"/>
      <c r="K15" s="42"/>
      <c r="L15" s="42"/>
    </row>
    <row r="16" spans="1:13" s="24" customFormat="1" ht="14.25" x14ac:dyDescent="0.2">
      <c r="B16" s="68" t="s">
        <v>396</v>
      </c>
      <c r="C16" s="33"/>
      <c r="D16" s="70" t="str">
        <f>'DEM (Additionality)'!E16</f>
        <v>Yes</v>
      </c>
      <c r="E16" s="42" t="str">
        <f t="shared" si="0"/>
        <v xml:space="preserve">         Tesorería</v>
      </c>
      <c r="F16" s="42">
        <f t="shared" si="1"/>
        <v>18</v>
      </c>
      <c r="G16" s="42" t="str">
        <f t="shared" ref="G16:G19" si="2">RIGHT(E16,(F16-9))</f>
        <v>Tesorería</v>
      </c>
      <c r="H16" s="42" t="str">
        <f t="shared" ref="H16:H33" si="3">IF(D16="Yes",CONCATENATE(G16,", "),"")</f>
        <v xml:space="preserve">Tesorería, </v>
      </c>
      <c r="I16" s="42"/>
      <c r="J16" s="42"/>
      <c r="K16" s="42"/>
      <c r="L16" s="42"/>
    </row>
    <row r="17" spans="2:12" s="24" customFormat="1" ht="14.25" x14ac:dyDescent="0.2">
      <c r="B17" s="68" t="s">
        <v>397</v>
      </c>
      <c r="C17" s="33"/>
      <c r="D17" s="70" t="str">
        <f>'DEM (Additionality)'!E17</f>
        <v>Yes</v>
      </c>
      <c r="E17" s="42" t="str">
        <f t="shared" si="0"/>
        <v xml:space="preserve">         Contabilidad y emisión de informes</v>
      </c>
      <c r="F17" s="42">
        <f t="shared" si="1"/>
        <v>43</v>
      </c>
      <c r="G17" s="42" t="str">
        <f t="shared" si="2"/>
        <v>Contabilidad y emisión de informes</v>
      </c>
      <c r="H17" s="42" t="str">
        <f t="shared" si="3"/>
        <v xml:space="preserve">Contabilidad y emisión de informes, </v>
      </c>
      <c r="I17" s="42"/>
      <c r="J17" s="42"/>
      <c r="K17" s="42"/>
      <c r="L17" s="42"/>
    </row>
    <row r="18" spans="2:12" s="24" customFormat="1" ht="14.25" x14ac:dyDescent="0.2">
      <c r="B18" s="68" t="s">
        <v>398</v>
      </c>
      <c r="C18" s="33"/>
      <c r="D18" s="70" t="str">
        <f>'DEM (Additionality)'!E18</f>
        <v>No</v>
      </c>
      <c r="E18" s="42" t="str">
        <f t="shared" si="0"/>
        <v/>
      </c>
      <c r="F18" s="42">
        <f t="shared" si="1"/>
        <v>0</v>
      </c>
      <c r="G18" s="42" t="e">
        <f t="shared" si="2"/>
        <v>#VALUE!</v>
      </c>
      <c r="H18" s="42" t="str">
        <f t="shared" si="3"/>
        <v/>
      </c>
      <c r="I18" s="42"/>
      <c r="J18" s="42"/>
      <c r="K18" s="42"/>
      <c r="L18" s="42"/>
    </row>
    <row r="19" spans="2:12" s="24" customFormat="1" ht="14.25" x14ac:dyDescent="0.2">
      <c r="B19" s="68" t="s">
        <v>399</v>
      </c>
      <c r="C19" s="33"/>
      <c r="D19" s="70" t="str">
        <f>'DEM (Additionality)'!E19</f>
        <v>No</v>
      </c>
      <c r="E19" s="42" t="str">
        <f t="shared" si="0"/>
        <v/>
      </c>
      <c r="F19" s="42">
        <f t="shared" si="1"/>
        <v>0</v>
      </c>
      <c r="G19" s="42" t="e">
        <f t="shared" si="2"/>
        <v>#VALUE!</v>
      </c>
      <c r="H19" s="42" t="str">
        <f t="shared" si="3"/>
        <v/>
      </c>
      <c r="I19" s="42"/>
      <c r="J19" s="42"/>
      <c r="K19" s="42"/>
      <c r="L19" s="42"/>
    </row>
    <row r="20" spans="2:12" s="24" customFormat="1" ht="14.25" x14ac:dyDescent="0.2">
      <c r="B20" s="7" t="s">
        <v>400</v>
      </c>
      <c r="C20" s="7"/>
      <c r="D20" s="54" t="str">
        <f>'DEM (Additionality)'!E20</f>
        <v>Yes</v>
      </c>
      <c r="E20" s="42" t="str">
        <f>IF(D20="Yes",B20,"")</f>
        <v xml:space="preserve">     Adquisiciones y contrataciones</v>
      </c>
      <c r="F20" s="42">
        <f>LEN(E20)</f>
        <v>35</v>
      </c>
      <c r="G20" s="42" t="str">
        <f>RIGHT(E20,(F20-5))</f>
        <v>Adquisiciones y contrataciones</v>
      </c>
      <c r="H20" s="42" t="str">
        <f>IF(D20="Yes",CONCATENATE(G20,": "),"")</f>
        <v xml:space="preserve">Adquisiciones y contrataciones: </v>
      </c>
      <c r="I20" s="42" t="str">
        <f>CONCATENATE(H20,H21,H22,H23,H24)</f>
        <v xml:space="preserve">Adquisiciones y contrataciones: Sistema de información, Método de comparación de precios, Licitación pública nacional, </v>
      </c>
      <c r="J20" s="42">
        <f>LEN(I20)</f>
        <v>119</v>
      </c>
      <c r="K20" s="42" t="str">
        <f t="shared" ref="K20" si="4">LEFT(I20,(J20-2))</f>
        <v>Adquisiciones y contrataciones: Sistema de información, Método de comparación de precios, Licitación pública nacional</v>
      </c>
      <c r="L20" s="42" t="str">
        <f t="shared" ref="L20:L28" si="5">IF(J20=0,"",CONCATENATE(K20,"."))</f>
        <v>Adquisiciones y contrataciones: Sistema de información, Método de comparación de precios, Licitación pública nacional.</v>
      </c>
    </row>
    <row r="21" spans="2:12" s="24" customFormat="1" ht="14.25" x14ac:dyDescent="0.2">
      <c r="B21" s="68" t="s">
        <v>401</v>
      </c>
      <c r="C21" s="33"/>
      <c r="D21" s="70" t="str">
        <f>'DEM (Additionality)'!E21</f>
        <v>Yes</v>
      </c>
      <c r="E21" s="42" t="str">
        <f t="shared" ref="E21:E24" si="6">IF(D21="Yes",B21,"")</f>
        <v xml:space="preserve">         Sistema de información</v>
      </c>
      <c r="F21" s="42">
        <f t="shared" si="1"/>
        <v>31</v>
      </c>
      <c r="G21" s="42" t="str">
        <f>RIGHT(E21,(F21-9))</f>
        <v>Sistema de información</v>
      </c>
      <c r="H21" s="42" t="str">
        <f t="shared" si="3"/>
        <v xml:space="preserve">Sistema de información, </v>
      </c>
      <c r="I21" s="42"/>
      <c r="J21" s="42"/>
      <c r="K21" s="42"/>
      <c r="L21" s="42"/>
    </row>
    <row r="22" spans="2:12" s="24" customFormat="1" ht="14.25" x14ac:dyDescent="0.2">
      <c r="B22" s="68" t="s">
        <v>402</v>
      </c>
      <c r="C22" s="33"/>
      <c r="D22" s="70" t="str">
        <f>'DEM (Additionality)'!E22</f>
        <v>Yes</v>
      </c>
      <c r="E22" s="42" t="str">
        <f t="shared" si="6"/>
        <v xml:space="preserve">         Método de comparación de precios</v>
      </c>
      <c r="F22" s="42">
        <f t="shared" si="1"/>
        <v>41</v>
      </c>
      <c r="G22" s="42" t="str">
        <f t="shared" ref="G22:G24" si="7">RIGHT(E22,(F22-9))</f>
        <v>Método de comparación de precios</v>
      </c>
      <c r="H22" s="42" t="str">
        <f t="shared" si="3"/>
        <v xml:space="preserve">Método de comparación de precios, </v>
      </c>
      <c r="I22" s="42"/>
      <c r="J22" s="42"/>
      <c r="K22" s="42"/>
      <c r="L22" s="42"/>
    </row>
    <row r="23" spans="2:12" s="24" customFormat="1" ht="14.25" x14ac:dyDescent="0.2">
      <c r="B23" s="68" t="s">
        <v>403</v>
      </c>
      <c r="C23" s="33"/>
      <c r="D23" s="70" t="str">
        <f>'DEM (Additionality)'!E23</f>
        <v>No</v>
      </c>
      <c r="E23" s="42" t="str">
        <f t="shared" si="6"/>
        <v/>
      </c>
      <c r="F23" s="42">
        <f t="shared" si="1"/>
        <v>0</v>
      </c>
      <c r="G23" s="42" t="e">
        <f t="shared" si="7"/>
        <v>#VALUE!</v>
      </c>
      <c r="H23" s="42" t="str">
        <f t="shared" si="3"/>
        <v/>
      </c>
      <c r="I23" s="42"/>
      <c r="J23" s="42"/>
      <c r="K23" s="42"/>
      <c r="L23" s="42"/>
    </row>
    <row r="24" spans="2:12" s="24" customFormat="1" ht="15" x14ac:dyDescent="0.2">
      <c r="B24" s="68" t="s">
        <v>404</v>
      </c>
      <c r="C24" s="26"/>
      <c r="D24" s="26" t="str">
        <f>'DEM (Additionality)'!E24</f>
        <v>Yes</v>
      </c>
      <c r="E24" s="42" t="str">
        <f t="shared" si="6"/>
        <v xml:space="preserve">         Licitación pública nacional</v>
      </c>
      <c r="F24" s="42">
        <f t="shared" si="1"/>
        <v>36</v>
      </c>
      <c r="G24" s="42" t="str">
        <f t="shared" si="7"/>
        <v>Licitación pública nacional</v>
      </c>
      <c r="H24" s="42" t="str">
        <f t="shared" si="3"/>
        <v xml:space="preserve">Licitación pública nacional, </v>
      </c>
      <c r="I24" s="42"/>
      <c r="J24" s="42"/>
      <c r="K24" s="42"/>
      <c r="L24" s="42"/>
    </row>
    <row r="25" spans="2:12" s="24" customFormat="1" ht="14.25" x14ac:dyDescent="0.2">
      <c r="B25" s="68" t="s">
        <v>405</v>
      </c>
      <c r="C25" s="33"/>
      <c r="D25" s="70" t="str">
        <f>'DEM (Additionality)'!E25</f>
        <v>Yes</v>
      </c>
      <c r="E25" s="42"/>
      <c r="F25" s="42"/>
      <c r="G25" s="42"/>
      <c r="H25" s="42"/>
      <c r="I25" s="42"/>
      <c r="J25" s="42"/>
      <c r="K25" s="42"/>
      <c r="L25" s="42"/>
    </row>
    <row r="26" spans="2:12" s="24" customFormat="1" ht="14.25" x14ac:dyDescent="0.2">
      <c r="B26" s="68" t="s">
        <v>406</v>
      </c>
      <c r="C26" s="33"/>
      <c r="D26" s="70" t="str">
        <f>'DEM (Additionality)'!E26</f>
        <v>Yes</v>
      </c>
      <c r="E26" s="42"/>
      <c r="F26" s="42"/>
      <c r="G26" s="42"/>
      <c r="H26" s="42"/>
      <c r="I26" s="42"/>
      <c r="J26" s="42"/>
      <c r="K26" s="42"/>
      <c r="L26" s="42"/>
    </row>
    <row r="27" spans="2:12" s="24" customFormat="1" ht="14.25" x14ac:dyDescent="0.2">
      <c r="B27" s="52" t="s">
        <v>385</v>
      </c>
      <c r="C27" s="46"/>
      <c r="D27" s="69" t="str">
        <f>'DEM (Additionality)'!E27</f>
        <v/>
      </c>
      <c r="E27" s="42"/>
      <c r="F27" s="42"/>
      <c r="G27" s="42"/>
      <c r="H27" s="42"/>
      <c r="I27" s="42"/>
      <c r="J27" s="42"/>
      <c r="K27" s="42"/>
      <c r="L27" s="42"/>
    </row>
    <row r="28" spans="2:12" s="24" customFormat="1" ht="14.25" x14ac:dyDescent="0.2">
      <c r="B28" s="8" t="s">
        <v>407</v>
      </c>
      <c r="C28" s="7"/>
      <c r="D28" s="54" t="str">
        <f>'DEM (Additionality)'!E28</f>
        <v/>
      </c>
      <c r="E28" s="42" t="str">
        <f>IF(D28="Yes",B28,"")</f>
        <v/>
      </c>
      <c r="F28" s="42">
        <f t="shared" si="1"/>
        <v>0</v>
      </c>
      <c r="G28" s="42" t="e">
        <f>RIGHT(E28,(F28-5))</f>
        <v>#VALUE!</v>
      </c>
      <c r="H28" s="42" t="str">
        <f t="shared" si="3"/>
        <v/>
      </c>
      <c r="I28" s="42" t="str">
        <f>CONCATENATE(H28,H30,H32,H33)</f>
        <v/>
      </c>
      <c r="J28" s="42">
        <f>LEN(I28)</f>
        <v>0</v>
      </c>
      <c r="K28" s="42" t="e">
        <f>LEFT(I28,(J28-2))</f>
        <v>#VALUE!</v>
      </c>
      <c r="L28" s="42" t="str">
        <f t="shared" si="5"/>
        <v/>
      </c>
    </row>
    <row r="29" spans="2:12" s="24" customFormat="1" ht="15" x14ac:dyDescent="0.2">
      <c r="B29" s="22" t="s">
        <v>387</v>
      </c>
      <c r="C29" s="32"/>
      <c r="D29" s="71" t="str">
        <f>'DEM (Additionality)'!E29</f>
        <v>No</v>
      </c>
      <c r="E29" s="42"/>
      <c r="F29" s="42"/>
      <c r="G29" s="42"/>
      <c r="H29" s="42"/>
      <c r="I29" s="42"/>
      <c r="J29" s="42"/>
      <c r="K29" s="42"/>
      <c r="L29" s="42"/>
    </row>
    <row r="30" spans="2:12" s="24" customFormat="1" ht="14.25" x14ac:dyDescent="0.2">
      <c r="B30" s="8" t="s">
        <v>408</v>
      </c>
      <c r="C30" s="7"/>
      <c r="D30" s="54" t="str">
        <f>'DEM (Additionality)'!E30</f>
        <v/>
      </c>
      <c r="E30" s="42" t="str">
        <f t="shared" ref="E30:E33" si="8">IF(D30="Yes",B30,"")</f>
        <v/>
      </c>
      <c r="F30" s="42">
        <f t="shared" si="1"/>
        <v>0</v>
      </c>
      <c r="G30" s="42" t="e">
        <f>RIGHT(E30,(F30-5))</f>
        <v>#VALUE!</v>
      </c>
      <c r="H30" s="42" t="str">
        <f t="shared" si="3"/>
        <v/>
      </c>
      <c r="I30" s="42"/>
      <c r="J30" s="42"/>
      <c r="K30" s="42"/>
      <c r="L30" s="42"/>
    </row>
    <row r="31" spans="2:12" s="24" customFormat="1" ht="15" x14ac:dyDescent="0.2">
      <c r="B31" s="22" t="s">
        <v>387</v>
      </c>
      <c r="C31" s="32"/>
      <c r="D31" s="71" t="str">
        <f>'DEM (Additionality)'!E31</f>
        <v>No</v>
      </c>
      <c r="E31" s="42"/>
      <c r="F31" s="42"/>
      <c r="G31" s="42"/>
      <c r="H31" s="42"/>
      <c r="I31" s="42"/>
      <c r="J31" s="42"/>
      <c r="K31" s="42"/>
      <c r="L31" s="42"/>
    </row>
    <row r="32" spans="2:12" s="24" customFormat="1" ht="14.25" x14ac:dyDescent="0.2">
      <c r="B32" s="8" t="s">
        <v>409</v>
      </c>
      <c r="C32" s="7"/>
      <c r="D32" s="54">
        <f>'DEM (Additionality)'!E32</f>
        <v>0</v>
      </c>
      <c r="E32" s="42" t="str">
        <f t="shared" si="8"/>
        <v/>
      </c>
      <c r="F32" s="42">
        <f t="shared" si="1"/>
        <v>0</v>
      </c>
      <c r="G32" s="42" t="e">
        <f>RIGHT(E32,(F32-5))</f>
        <v>#VALUE!</v>
      </c>
      <c r="H32" s="42" t="str">
        <f t="shared" si="3"/>
        <v/>
      </c>
      <c r="I32" s="42"/>
      <c r="J32" s="42"/>
      <c r="K32" s="42"/>
      <c r="L32" s="42"/>
    </row>
    <row r="33" spans="2:12" s="24" customFormat="1" ht="14.25" x14ac:dyDescent="0.2">
      <c r="B33" s="8" t="s">
        <v>410</v>
      </c>
      <c r="C33" s="7"/>
      <c r="D33" s="54">
        <f>'DEM (Additionality)'!E33</f>
        <v>0</v>
      </c>
      <c r="E33" s="42" t="str">
        <f t="shared" si="8"/>
        <v/>
      </c>
      <c r="F33" s="42">
        <f t="shared" si="1"/>
        <v>0</v>
      </c>
      <c r="G33" s="42" t="e">
        <f>RIGHT(E33,(F33-5))</f>
        <v>#VALUE!</v>
      </c>
      <c r="H33" s="42" t="str">
        <f t="shared" si="3"/>
        <v/>
      </c>
      <c r="I33" s="42"/>
      <c r="J33" s="42"/>
      <c r="K33" s="42"/>
      <c r="L33" s="42"/>
    </row>
    <row r="34" spans="2:12" s="24" customFormat="1" ht="30" x14ac:dyDescent="0.2">
      <c r="B34" s="25" t="s">
        <v>411</v>
      </c>
      <c r="C34" s="32"/>
      <c r="D34" s="71">
        <f>'DEM (Additionality)'!E34</f>
        <v>0</v>
      </c>
      <c r="E34" s="42"/>
      <c r="F34" s="42"/>
      <c r="G34" s="42"/>
      <c r="H34" s="42"/>
      <c r="I34" s="42"/>
      <c r="J34" s="42"/>
      <c r="K34" s="42"/>
      <c r="L34" s="42"/>
    </row>
    <row r="35" spans="2:12" s="24" customFormat="1" ht="15" x14ac:dyDescent="0.2">
      <c r="B35" s="43" t="s">
        <v>101</v>
      </c>
      <c r="C35" s="32" t="s">
        <v>412</v>
      </c>
      <c r="D35" s="71" t="e">
        <f>'DEM (Additionality)'!#REF!</f>
        <v>#REF!</v>
      </c>
      <c r="E35" s="42"/>
      <c r="F35" s="42"/>
      <c r="G35" s="42"/>
      <c r="H35" s="42"/>
      <c r="I35" s="42"/>
      <c r="J35" s="42"/>
      <c r="K35" s="42"/>
      <c r="L35" s="42"/>
    </row>
    <row r="36" spans="2:12" s="24" customFormat="1" ht="15" x14ac:dyDescent="0.2">
      <c r="B36" s="43" t="s">
        <v>413</v>
      </c>
      <c r="C36" s="32" t="s">
        <v>412</v>
      </c>
      <c r="D36" s="71" t="e">
        <f>'DEM (Additionality)'!#REF!</f>
        <v>#REF!</v>
      </c>
      <c r="E36" s="42"/>
      <c r="F36" s="42"/>
      <c r="G36" s="42"/>
      <c r="H36" s="42"/>
      <c r="I36" s="42"/>
      <c r="J36" s="42"/>
      <c r="K36" s="42"/>
      <c r="L36" s="42"/>
    </row>
    <row r="37" spans="2:12" s="24" customFormat="1" ht="15" x14ac:dyDescent="0.2">
      <c r="B37" s="43" t="s">
        <v>414</v>
      </c>
      <c r="C37" s="32" t="s">
        <v>412</v>
      </c>
      <c r="D37" s="71" t="e">
        <f>'DEM (Additionality)'!#REF!</f>
        <v>#REF!</v>
      </c>
      <c r="E37" s="42"/>
      <c r="F37" s="42"/>
      <c r="G37" s="42"/>
      <c r="H37" s="42"/>
      <c r="I37" s="42"/>
      <c r="J37" s="42"/>
      <c r="K37" s="42"/>
      <c r="L37" s="42"/>
    </row>
    <row r="38" spans="2:12" s="24" customFormat="1" ht="45" x14ac:dyDescent="0.2">
      <c r="B38" s="25" t="s">
        <v>36</v>
      </c>
      <c r="C38" s="32" t="s">
        <v>415</v>
      </c>
      <c r="D38" s="71" t="str">
        <f>'DEM (Additionality)'!E35</f>
        <v>No</v>
      </c>
      <c r="E38" s="42"/>
      <c r="F38" s="42"/>
      <c r="G38" s="42"/>
      <c r="H38" s="42"/>
      <c r="I38" s="42"/>
      <c r="J38" s="42"/>
      <c r="K38" s="42"/>
      <c r="L38" s="42"/>
    </row>
    <row r="39" spans="2:12" s="24" customFormat="1" ht="109.5" customHeight="1" thickBot="1" x14ac:dyDescent="0.25">
      <c r="B39" s="44" t="s">
        <v>416</v>
      </c>
      <c r="C39" s="45" t="s">
        <v>417</v>
      </c>
      <c r="D39" s="72" t="e">
        <f>'DEM (Additionality)'!#REF!</f>
        <v>#REF!</v>
      </c>
      <c r="E39" s="42"/>
      <c r="F39" s="42"/>
      <c r="G39" s="42"/>
      <c r="H39" s="42"/>
      <c r="I39" s="42"/>
      <c r="J39" s="42"/>
      <c r="K39" s="42">
        <f>3*0.2</f>
        <v>0.60000000000000009</v>
      </c>
      <c r="L39" s="42"/>
    </row>
    <row r="40" spans="2:12" s="24" customFormat="1" ht="15" x14ac:dyDescent="0.2">
      <c r="B40" s="23"/>
      <c r="D40" s="27"/>
      <c r="E40" s="42"/>
      <c r="F40" s="42"/>
      <c r="G40" s="42"/>
      <c r="H40" s="42"/>
      <c r="I40" s="42"/>
      <c r="J40" s="42"/>
      <c r="K40" s="42">
        <f>3*0.25</f>
        <v>0.75</v>
      </c>
      <c r="L40" s="42"/>
    </row>
    <row r="41" spans="2:12" x14ac:dyDescent="0.2">
      <c r="K41" s="37">
        <f>3*0.15</f>
        <v>0.44999999999999996</v>
      </c>
    </row>
    <row r="43" spans="2:12" x14ac:dyDescent="0.2">
      <c r="K43" s="37">
        <f>SUM(K39:K42)</f>
        <v>1.8</v>
      </c>
    </row>
    <row r="45" spans="2:12" x14ac:dyDescent="0.2">
      <c r="K45" s="37">
        <f>1*0.25</f>
        <v>0.25</v>
      </c>
    </row>
    <row r="46" spans="2:12" x14ac:dyDescent="0.2">
      <c r="K46" s="37">
        <f>1*0.15</f>
        <v>0.15</v>
      </c>
    </row>
  </sheetData>
  <sheetProtection password="DA7B" sheet="1" objects="1" scenarios="1" formatCells="0" formatColumns="0" formatRows="0" selectLockedCells="1"/>
  <mergeCells count="7">
    <mergeCell ref="B9:D9"/>
    <mergeCell ref="B2:D2"/>
    <mergeCell ref="B3:D3"/>
    <mergeCell ref="A4:D4"/>
    <mergeCell ref="B5:D5"/>
    <mergeCell ref="B6:D6"/>
    <mergeCell ref="B7:D7"/>
  </mergeCells>
  <pageMargins left="0.4765625" right="1.036875" top="1.08" bottom="0.91" header="0.5" footer="0.5"/>
  <pageSetup scale="67" orientation="landscape" r:id="rId1"/>
  <headerFooter alignWithMargins="0">
    <oddHeader xml:space="preserve">&amp;R&amp;"Arial,Bold"&amp;12Annex 2
SG DEM
</oddHead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7"/>
  <sheetViews>
    <sheetView workbookViewId="0">
      <selection activeCell="B17" sqref="B17"/>
    </sheetView>
  </sheetViews>
  <sheetFormatPr defaultRowHeight="12.75" x14ac:dyDescent="0.2"/>
  <sheetData>
    <row r="2" spans="1:3" x14ac:dyDescent="0.2">
      <c r="A2" s="47" t="s">
        <v>96</v>
      </c>
      <c r="B2" s="47" t="s">
        <v>357</v>
      </c>
      <c r="C2" s="47" t="s">
        <v>418</v>
      </c>
    </row>
    <row r="3" spans="1:3" x14ac:dyDescent="0.2">
      <c r="A3" s="47" t="s">
        <v>174</v>
      </c>
      <c r="B3" s="47" t="s">
        <v>419</v>
      </c>
      <c r="C3" s="47" t="s">
        <v>360</v>
      </c>
    </row>
    <row r="4" spans="1:3" x14ac:dyDescent="0.2">
      <c r="B4" s="47" t="s">
        <v>420</v>
      </c>
      <c r="C4" s="47" t="s">
        <v>421</v>
      </c>
    </row>
    <row r="5" spans="1:3" x14ac:dyDescent="0.2">
      <c r="B5" s="47"/>
      <c r="C5" s="47" t="s">
        <v>422</v>
      </c>
    </row>
    <row r="6" spans="1:3" x14ac:dyDescent="0.2">
      <c r="B6" s="47"/>
    </row>
    <row r="7" spans="1:3" x14ac:dyDescent="0.2">
      <c r="B7" s="47"/>
    </row>
  </sheetData>
  <sheetProtection password="DA7B"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
  <sheetViews>
    <sheetView workbookViewId="0">
      <selection activeCell="F22" sqref="F22"/>
    </sheetView>
  </sheetViews>
  <sheetFormatPr defaultRowHeight="12.75" x14ac:dyDescent="0.2"/>
  <cols>
    <col min="1" max="1" width="21.85546875" customWidth="1"/>
  </cols>
  <sheetData>
    <row r="1" spans="1:2" x14ac:dyDescent="0.2">
      <c r="A1" t="s">
        <v>423</v>
      </c>
    </row>
    <row r="2" spans="1:2" ht="13.5" thickBot="1" x14ac:dyDescent="0.25"/>
    <row r="3" spans="1:2" ht="15" x14ac:dyDescent="0.2">
      <c r="A3" t="s">
        <v>424</v>
      </c>
      <c r="B3" s="28"/>
    </row>
    <row r="4" spans="1:2" ht="15" x14ac:dyDescent="0.2">
      <c r="A4" t="s">
        <v>425</v>
      </c>
      <c r="B4" s="48"/>
    </row>
    <row r="6" spans="1:2" x14ac:dyDescent="0.2">
      <c r="A6" t="s">
        <v>426</v>
      </c>
      <c r="B6" s="62"/>
    </row>
    <row r="7" spans="1:2" x14ac:dyDescent="0.2">
      <c r="A7" t="s">
        <v>427</v>
      </c>
      <c r="B7" s="46"/>
    </row>
    <row r="8" spans="1:2" x14ac:dyDescent="0.2">
      <c r="A8" t="s">
        <v>428</v>
      </c>
      <c r="B8" s="7"/>
    </row>
    <row r="10" spans="1:2" ht="15" x14ac:dyDescent="0.2">
      <c r="A10" t="s">
        <v>429</v>
      </c>
      <c r="B10" s="26"/>
    </row>
  </sheetData>
  <sheetProtection password="DA7B"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2"/>
  <sheetViews>
    <sheetView zoomScale="80" zoomScaleNormal="80" zoomScalePageLayoutView="80" workbookViewId="0">
      <selection activeCell="C9" sqref="C9:D9"/>
    </sheetView>
  </sheetViews>
  <sheetFormatPr defaultColWidth="9.140625" defaultRowHeight="12.75" x14ac:dyDescent="0.2"/>
  <cols>
    <col min="1" max="1" width="82.42578125" style="73" customWidth="1"/>
    <col min="2" max="2" width="24.85546875" style="73" customWidth="1"/>
    <col min="3" max="4" width="29.85546875" style="73" customWidth="1"/>
    <col min="5" max="5" width="9.140625" style="73" hidden="1" customWidth="1"/>
    <col min="6" max="6" width="11.5703125" style="73" customWidth="1"/>
    <col min="7" max="16384" width="9.140625" style="73"/>
  </cols>
  <sheetData>
    <row r="1" spans="1:5" ht="13.5" customHeight="1" thickBot="1" x14ac:dyDescent="0.25">
      <c r="A1" s="14"/>
      <c r="B1" s="14"/>
      <c r="C1" s="14"/>
      <c r="D1" s="304"/>
      <c r="E1" s="304"/>
    </row>
    <row r="2" spans="1:5" ht="25.5" customHeight="1" x14ac:dyDescent="0.2">
      <c r="A2" s="346" t="s">
        <v>39</v>
      </c>
      <c r="B2" s="347"/>
      <c r="C2" s="347"/>
      <c r="D2" s="348"/>
      <c r="E2" s="304"/>
    </row>
    <row r="3" spans="1:5" ht="18" customHeight="1" x14ac:dyDescent="0.2">
      <c r="A3" s="349" t="s">
        <v>40</v>
      </c>
      <c r="B3" s="350"/>
      <c r="C3" s="350"/>
      <c r="D3" s="351"/>
      <c r="E3" s="304"/>
    </row>
    <row r="4" spans="1:5" ht="19.5" customHeight="1" x14ac:dyDescent="0.2">
      <c r="A4" s="314" t="s">
        <v>41</v>
      </c>
      <c r="B4" s="315"/>
      <c r="C4" s="315"/>
      <c r="D4" s="316"/>
      <c r="E4" s="304"/>
    </row>
    <row r="5" spans="1:5" ht="15" customHeight="1" x14ac:dyDescent="0.2">
      <c r="A5" s="74" t="s">
        <v>42</v>
      </c>
      <c r="B5" s="338" t="str">
        <f>IF('Summary (I, II, III) '!B5:D5="Yes","Sí","No")</f>
        <v>Sí</v>
      </c>
      <c r="C5" s="338"/>
      <c r="D5" s="339"/>
      <c r="E5" s="304"/>
    </row>
    <row r="6" spans="1:5" ht="120" customHeight="1" x14ac:dyDescent="0.2">
      <c r="A6" s="75" t="s">
        <v>43</v>
      </c>
      <c r="B6" s="354" t="str">
        <f>'Prioridades Estrategicas'!J11</f>
        <v xml:space="preserve">-Inclusión Social e Igualdad
-Productividad e Innovación
-Cambio Climático y Sostenibilidad Ambiental
-Capacidad Institucional y Estado de Derecho
</v>
      </c>
      <c r="C6" s="354"/>
      <c r="D6" s="355"/>
      <c r="E6" s="304"/>
    </row>
    <row r="7" spans="1:5" ht="120" customHeight="1" x14ac:dyDescent="0.2">
      <c r="A7" s="10" t="s">
        <v>44</v>
      </c>
      <c r="B7" s="354" t="str">
        <f>'Prioridades Estrategicas'!K18</f>
        <v xml:space="preserve">-Hogares con acceso nuevo o mejorado a agua potable (#)*
-Hogares con acceso nuevo o mejorado a saneamiento  (#)*
-Capacidad de generación de energía instalada de fuentes de energía renovable (%)*
-Hogares con tratamiento de agua residuales (#)*
</v>
      </c>
      <c r="C7" s="354"/>
      <c r="D7" s="355"/>
      <c r="E7" s="304"/>
    </row>
    <row r="8" spans="1:5" ht="15" customHeight="1" x14ac:dyDescent="0.2">
      <c r="A8" s="74" t="s">
        <v>45</v>
      </c>
      <c r="B8" s="338" t="str">
        <f>IF('Summary (I, II, III) '!B8:D8="Yes","Sí","No")</f>
        <v>Sí</v>
      </c>
      <c r="C8" s="338"/>
      <c r="D8" s="339"/>
      <c r="E8" s="304"/>
    </row>
    <row r="9" spans="1:5" ht="60" customHeight="1" x14ac:dyDescent="0.2">
      <c r="A9" s="10" t="s">
        <v>46</v>
      </c>
      <c r="B9" s="82" t="str">
        <f>IF('DEM (Strategic Priorities)'!D82="Yes",'DEM (Strategic Priorities)'!C82,"")</f>
        <v>GN-2924</v>
      </c>
      <c r="C9" s="344" t="s">
        <v>47</v>
      </c>
      <c r="D9" s="345"/>
      <c r="E9" s="304"/>
    </row>
    <row r="10" spans="1:5" ht="60" customHeight="1" x14ac:dyDescent="0.2">
      <c r="A10" s="10" t="s">
        <v>48</v>
      </c>
      <c r="B10" s="82" t="str">
        <f>IF('DEM (Strategic Priorities)'!D85="Yes",'DEM (Strategic Priorities)'!C85,"")</f>
        <v/>
      </c>
      <c r="C10" s="356" t="str">
        <f>IF('DEM (Strategic Priorities)'!D85="Yes","La intervención está incluida en el Programa de Operaciones de 2018.","La intervención no está incluida en el Programa de Operaciones de 2018.")</f>
        <v>La intervención no está incluida en el Programa de Operaciones de 2018.</v>
      </c>
      <c r="D10" s="357"/>
      <c r="E10" s="304"/>
    </row>
    <row r="11" spans="1:5" ht="60" customHeight="1" x14ac:dyDescent="0.2">
      <c r="A11" s="10" t="s">
        <v>49</v>
      </c>
      <c r="B11" s="76"/>
      <c r="C11" s="340"/>
      <c r="D11" s="341"/>
      <c r="E11" s="304">
        <f>E14+E18+E24</f>
        <v>2</v>
      </c>
    </row>
    <row r="12" spans="1:5" ht="21" customHeight="1" x14ac:dyDescent="0.2">
      <c r="A12" s="192" t="s">
        <v>11</v>
      </c>
      <c r="B12" s="206"/>
      <c r="C12" s="292" t="str">
        <f>IF(AND(E12=1,B13&gt;=6.95),"Evaluable",IF(AND(E12=1,B13&gt;=5),"Parcialmente Evaluable","No Evaluable"))</f>
        <v>No Evaluable</v>
      </c>
      <c r="D12" s="206"/>
      <c r="E12" s="209">
        <f>IF(E11&gt;=3,1,0)</f>
        <v>0</v>
      </c>
    </row>
    <row r="13" spans="1:5" ht="14.25" hidden="1" customHeight="1" x14ac:dyDescent="0.2">
      <c r="A13" s="193"/>
      <c r="B13" s="291">
        <f>AVERAGE(B14,B18,B24)</f>
        <v>6.8083333333333336</v>
      </c>
      <c r="C13" s="207"/>
      <c r="D13" s="194">
        <v>10</v>
      </c>
      <c r="E13" s="304"/>
    </row>
    <row r="14" spans="1:5" ht="15" customHeight="1" x14ac:dyDescent="0.2">
      <c r="A14" s="74" t="s">
        <v>50</v>
      </c>
      <c r="B14" s="311">
        <f>'DEM (Evaluability)'!G11</f>
        <v>7</v>
      </c>
      <c r="C14" s="312"/>
      <c r="D14" s="313"/>
      <c r="E14" s="304">
        <f>IF(B14&gt;=5,1,0)</f>
        <v>1</v>
      </c>
    </row>
    <row r="15" spans="1:5" ht="15" customHeight="1" x14ac:dyDescent="0.2">
      <c r="A15" s="10" t="s">
        <v>51</v>
      </c>
      <c r="B15" s="1">
        <f>'DEM (Evaluability)'!G12</f>
        <v>3</v>
      </c>
      <c r="C15" s="309"/>
      <c r="D15" s="310"/>
      <c r="E15" s="83"/>
    </row>
    <row r="16" spans="1:5" ht="15" customHeight="1" x14ac:dyDescent="0.2">
      <c r="A16" s="10" t="s">
        <v>52</v>
      </c>
      <c r="B16" s="1">
        <f>'DEM (Evaluability)'!G19</f>
        <v>4</v>
      </c>
      <c r="C16" s="309"/>
      <c r="D16" s="310"/>
      <c r="E16" s="83"/>
    </row>
    <row r="17" spans="1:5" ht="15" customHeight="1" x14ac:dyDescent="0.2">
      <c r="A17" s="10" t="s">
        <v>53</v>
      </c>
      <c r="B17" s="1">
        <f>'DEM (Evaluability)'!G24</f>
        <v>0</v>
      </c>
      <c r="C17" s="309"/>
      <c r="D17" s="310"/>
      <c r="E17" s="83"/>
    </row>
    <row r="18" spans="1:5" ht="15" customHeight="1" x14ac:dyDescent="0.2">
      <c r="A18" s="74" t="s">
        <v>54</v>
      </c>
      <c r="B18" s="311">
        <f>'DEM (Evaluability)'!G38</f>
        <v>10</v>
      </c>
      <c r="C18" s="312"/>
      <c r="D18" s="313"/>
      <c r="E18" s="304">
        <f>IF(B18&gt;=5,1,0)</f>
        <v>1</v>
      </c>
    </row>
    <row r="19" spans="1:5" x14ac:dyDescent="0.2">
      <c r="A19" s="10" t="s">
        <v>55</v>
      </c>
      <c r="B19" s="1">
        <f>IF('DEM (Evaluability)'!H41=1,'DEM (Evaluability)'!G42,IF('DEM (Evaluability)'!H41=2,'DEM (Evaluability)'!G49,0))</f>
        <v>3</v>
      </c>
      <c r="C19" s="309"/>
      <c r="D19" s="310"/>
      <c r="E19" s="304"/>
    </row>
    <row r="20" spans="1:5" ht="15" customHeight="1" x14ac:dyDescent="0.2">
      <c r="A20" s="10" t="s">
        <v>56</v>
      </c>
      <c r="B20" s="1">
        <f>IF('DEM (Evaluability)'!H41=1,'DEM (Evaluability)'!G43,IF('DEM (Evaluability)'!H41=2,('DEM (Evaluability)'!G50)))</f>
        <v>3</v>
      </c>
      <c r="C20" s="309"/>
      <c r="D20" s="310"/>
      <c r="E20" s="304"/>
    </row>
    <row r="21" spans="1:5" ht="15" customHeight="1" x14ac:dyDescent="0.2">
      <c r="A21" s="10" t="s">
        <v>57</v>
      </c>
      <c r="B21" s="1">
        <f>IF('DEM (Evaluability)'!H41=1,'DEM (Evaluability)'!G44,IF('DEM (Evaluability)'!H41=2,'DEM (Evaluability)'!G51))</f>
        <v>1</v>
      </c>
      <c r="C21" s="309"/>
      <c r="D21" s="310"/>
      <c r="E21" s="304"/>
    </row>
    <row r="22" spans="1:5" ht="15" customHeight="1" x14ac:dyDescent="0.2">
      <c r="A22" s="10" t="s">
        <v>58</v>
      </c>
      <c r="B22" s="1">
        <f>IF('DEM (Evaluability)'!H41=1,'DEM (Evaluability)'!G45,IF('DEM (Evaluability)'!H41=2,'DEM (Evaluability)'!G52))</f>
        <v>2</v>
      </c>
      <c r="C22" s="309"/>
      <c r="D22" s="310"/>
      <c r="E22" s="304"/>
    </row>
    <row r="23" spans="1:5" ht="15" customHeight="1" x14ac:dyDescent="0.2">
      <c r="A23" s="10" t="s">
        <v>59</v>
      </c>
      <c r="B23" s="1">
        <f>IF('DEM (Evaluability)'!H41=1,'DEM (Evaluability)'!G46,IF('DEM (Evaluability)'!H41=2,'DEM (Evaluability)'!G53))</f>
        <v>1</v>
      </c>
      <c r="C23" s="309"/>
      <c r="D23" s="310"/>
      <c r="E23" s="304"/>
    </row>
    <row r="24" spans="1:5" ht="15" customHeight="1" x14ac:dyDescent="0.2">
      <c r="A24" s="74" t="s">
        <v>60</v>
      </c>
      <c r="B24" s="311">
        <f>'DEM (Evaluability)'!G54</f>
        <v>3.4249999999999998</v>
      </c>
      <c r="C24" s="312"/>
      <c r="D24" s="313"/>
      <c r="E24" s="304">
        <f>IF(B24&gt;=5,1,0)</f>
        <v>0</v>
      </c>
    </row>
    <row r="25" spans="1:5" ht="15" customHeight="1" x14ac:dyDescent="0.2">
      <c r="A25" s="10" t="s">
        <v>61</v>
      </c>
      <c r="B25" s="1">
        <f>'DEM (Evaluability)'!G55</f>
        <v>1.075</v>
      </c>
      <c r="C25" s="309"/>
      <c r="D25" s="310"/>
      <c r="E25" s="304"/>
    </row>
    <row r="26" spans="1:5" ht="15" customHeight="1" x14ac:dyDescent="0.2">
      <c r="A26" s="10" t="s">
        <v>62</v>
      </c>
      <c r="B26" s="1">
        <f>'DEM (Evaluability)'!G61</f>
        <v>2.35</v>
      </c>
      <c r="C26" s="309"/>
      <c r="D26" s="310"/>
      <c r="E26" s="304"/>
    </row>
    <row r="27" spans="1:5" ht="19.5" customHeight="1" x14ac:dyDescent="0.2">
      <c r="A27" s="314" t="s">
        <v>63</v>
      </c>
      <c r="B27" s="315"/>
      <c r="C27" s="315"/>
      <c r="D27" s="316"/>
      <c r="E27" s="304"/>
    </row>
    <row r="28" spans="1:5" ht="15" customHeight="1" x14ac:dyDescent="0.2">
      <c r="A28" s="77" t="s">
        <v>64</v>
      </c>
      <c r="B28" s="324" t="str">
        <f>IF('Summary (I, II, III) '!B28:D28="LOW","Bajo",IF('Summary (I, II, III) '!B28:D28="MEDIUM","Medio",IF('Summary (I, II, III) '!B28:D28="HIGH","Alto","Specify risk rate on risk tab")))</f>
        <v>Bajo</v>
      </c>
      <c r="C28" s="324"/>
      <c r="D28" s="325"/>
      <c r="E28" s="304"/>
    </row>
    <row r="29" spans="1:5" x14ac:dyDescent="0.2">
      <c r="A29" s="78" t="s">
        <v>65</v>
      </c>
      <c r="B29" s="330" t="str">
        <f>IF(AND('DEM ( Risk)'!D15="yes", 'DEM ( Risk)'!D16="yes"), "Sí", "")</f>
        <v/>
      </c>
      <c r="C29" s="352"/>
      <c r="D29" s="353"/>
      <c r="E29" s="304"/>
    </row>
    <row r="30" spans="1:5" x14ac:dyDescent="0.2">
      <c r="A30" s="78" t="s">
        <v>66</v>
      </c>
      <c r="B30" s="330" t="str">
        <f>IF('DEM ( Risk)'!D18="yes", "Sí", "")</f>
        <v/>
      </c>
      <c r="C30" s="352"/>
      <c r="D30" s="353"/>
      <c r="E30" s="304"/>
    </row>
    <row r="31" spans="1:5" ht="25.5" x14ac:dyDescent="0.2">
      <c r="A31" s="78" t="s">
        <v>67</v>
      </c>
      <c r="B31" s="330" t="str">
        <f>IF('DEM ( Risk)'!D19="yes", "Sí", "")</f>
        <v/>
      </c>
      <c r="C31" s="352"/>
      <c r="D31" s="353"/>
      <c r="E31" s="304"/>
    </row>
    <row r="32" spans="1:5" ht="15" customHeight="1" x14ac:dyDescent="0.2">
      <c r="A32" s="77" t="s">
        <v>68</v>
      </c>
      <c r="B32" s="324" t="str">
        <f>'Summary (I, II, III) '!B32:D32</f>
        <v>B</v>
      </c>
      <c r="C32" s="324"/>
      <c r="D32" s="325"/>
      <c r="E32" s="304"/>
    </row>
    <row r="33" spans="1:4" ht="19.5" customHeight="1" x14ac:dyDescent="0.2">
      <c r="A33" s="365" t="s">
        <v>69</v>
      </c>
      <c r="B33" s="366"/>
      <c r="C33" s="366"/>
      <c r="D33" s="367"/>
    </row>
    <row r="34" spans="1:4" ht="15.75" customHeight="1" x14ac:dyDescent="0.2">
      <c r="A34" s="10" t="s">
        <v>70</v>
      </c>
      <c r="B34" s="79"/>
      <c r="C34" s="359"/>
      <c r="D34" s="360"/>
    </row>
    <row r="35" spans="1:4" ht="71.099999999999994" customHeight="1" x14ac:dyDescent="0.2">
      <c r="A35" s="80" t="s">
        <v>71</v>
      </c>
      <c r="B35" s="195" t="str">
        <f>IF('DEM (Additionality)'!E13="yes", "Sí", "")</f>
        <v>Sí</v>
      </c>
      <c r="C35" s="368" t="str">
        <f>Adicionalidad!M14</f>
        <v>Administración financiera: Presupuesto, Tesorería, Contabilidad y emisión de informes.
Adquisiciones y contrataciones: Sistema de información, Método de comparación de precios, Licitación pública nacional.</v>
      </c>
      <c r="D35" s="369"/>
    </row>
    <row r="36" spans="1:4" ht="71.099999999999994" customHeight="1" x14ac:dyDescent="0.2">
      <c r="A36" s="80" t="s">
        <v>72</v>
      </c>
      <c r="B36" s="195" t="str">
        <f>IF('DEM (Additionality)'!E27="yes", "Sí", "")</f>
        <v/>
      </c>
      <c r="C36" s="361" t="str">
        <f>Adicionalidad!L28</f>
        <v/>
      </c>
      <c r="D36" s="362"/>
    </row>
    <row r="37" spans="1:4" ht="44.25" customHeight="1" x14ac:dyDescent="0.2">
      <c r="A37" s="10" t="s">
        <v>73</v>
      </c>
      <c r="B37" s="79"/>
      <c r="C37" s="361"/>
      <c r="D37" s="362"/>
    </row>
    <row r="38" spans="1:4" ht="80.45" customHeight="1" thickBot="1" x14ac:dyDescent="0.25">
      <c r="A38" s="10" t="s">
        <v>74</v>
      </c>
      <c r="B38" s="195" t="str">
        <f>IF('DEM (Additionality)'!E35="yes", "Sí", "")</f>
        <v/>
      </c>
      <c r="C38" s="363" t="str">
        <f>IF('DEM (Additionality)'!E35="Yes",'DEM (Additionality)'!C35,"")</f>
        <v/>
      </c>
      <c r="D38" s="364"/>
    </row>
    <row r="39" spans="1:4" ht="24.75" customHeight="1" x14ac:dyDescent="0.2">
      <c r="A39" s="370" t="s">
        <v>75</v>
      </c>
      <c r="B39" s="370"/>
      <c r="C39" s="370"/>
      <c r="D39" s="370"/>
    </row>
    <row r="40" spans="1:4" x14ac:dyDescent="0.2">
      <c r="A40" s="3"/>
      <c r="B40" s="303"/>
      <c r="C40" s="303"/>
      <c r="D40" s="304"/>
    </row>
    <row r="41" spans="1:4" ht="300" customHeight="1" x14ac:dyDescent="0.2">
      <c r="A41" s="317" t="s">
        <v>76</v>
      </c>
      <c r="B41" s="318"/>
      <c r="C41" s="318"/>
      <c r="D41" s="318"/>
    </row>
    <row r="42" spans="1:4" x14ac:dyDescent="0.2">
      <c r="A42" s="358"/>
      <c r="B42" s="358"/>
      <c r="C42" s="358"/>
      <c r="D42" s="358"/>
    </row>
  </sheetData>
  <sheetProtection algorithmName="SHA-512" hashValue="wAt+Y4ybZqdsyFkZ8WMF6DQtBOJU24gid9ps5OxLu+XdV2YfBQbpvtYduFSSi8W+jLLfMJ5vCTo69bYzpj9dCw==" saltValue="hmQTCu9vknHvoi1GWedEnA==" spinCount="100000" sheet="1" objects="1" scenarios="1"/>
  <mergeCells count="38">
    <mergeCell ref="A42:D42"/>
    <mergeCell ref="B32:D32"/>
    <mergeCell ref="C34:D34"/>
    <mergeCell ref="C36:D36"/>
    <mergeCell ref="C37:D37"/>
    <mergeCell ref="C38:D38"/>
    <mergeCell ref="A41:D41"/>
    <mergeCell ref="A33:D33"/>
    <mergeCell ref="C35:D35"/>
    <mergeCell ref="A39:D39"/>
    <mergeCell ref="B30:D30"/>
    <mergeCell ref="B31:D31"/>
    <mergeCell ref="B28:D28"/>
    <mergeCell ref="A2:D2"/>
    <mergeCell ref="A3:D3"/>
    <mergeCell ref="B5:D5"/>
    <mergeCell ref="B6:D6"/>
    <mergeCell ref="B7:D7"/>
    <mergeCell ref="B8:D8"/>
    <mergeCell ref="C9:D9"/>
    <mergeCell ref="C10:D10"/>
    <mergeCell ref="C11:D11"/>
    <mergeCell ref="A27:D27"/>
    <mergeCell ref="A4:D4"/>
    <mergeCell ref="B14:D14"/>
    <mergeCell ref="B15:D15"/>
    <mergeCell ref="B16:D16"/>
    <mergeCell ref="B17:D17"/>
    <mergeCell ref="B29:D29"/>
    <mergeCell ref="B23:D23"/>
    <mergeCell ref="B24:D24"/>
    <mergeCell ref="B25:D25"/>
    <mergeCell ref="B26:D26"/>
    <mergeCell ref="B18:D18"/>
    <mergeCell ref="B19:D19"/>
    <mergeCell ref="B20:D20"/>
    <mergeCell ref="B21:D21"/>
    <mergeCell ref="B22:D22"/>
  </mergeCells>
  <printOptions horizontalCentered="1" verticalCentered="1"/>
  <pageMargins left="0.7" right="0.7" top="0.75" bottom="0.75" header="0.3" footer="0.3"/>
  <pageSetup scale="47" orientation="portrait" r:id="rId1"/>
  <headerFooter>
    <oddHeader>&amp;RAnexo I - EC-L1242
Página 1 de 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B869-E29C-4DDF-9D5C-94D21E90EE38}">
  <sheetPr>
    <pageSetUpPr fitToPage="1"/>
  </sheetPr>
  <dimension ref="A1:E36"/>
  <sheetViews>
    <sheetView tabSelected="1" zoomScale="80" zoomScaleNormal="80" zoomScalePageLayoutView="80" workbookViewId="0">
      <selection activeCell="G3" sqref="G3"/>
    </sheetView>
  </sheetViews>
  <sheetFormatPr defaultColWidth="9.140625" defaultRowHeight="12.75" x14ac:dyDescent="0.2"/>
  <cols>
    <col min="1" max="1" width="84.5703125" style="73" customWidth="1"/>
    <col min="2" max="2" width="24.85546875" style="73" customWidth="1"/>
    <col min="3" max="3" width="29.42578125" style="73" customWidth="1"/>
    <col min="4" max="4" width="29.140625" style="73" customWidth="1"/>
    <col min="5" max="5" width="5.85546875" style="73" hidden="1" customWidth="1"/>
    <col min="6" max="16384" width="9.140625" style="73"/>
  </cols>
  <sheetData>
    <row r="1" spans="1:5" ht="13.5" customHeight="1" thickBot="1" x14ac:dyDescent="0.25">
      <c r="A1" s="14"/>
      <c r="B1" s="14"/>
      <c r="C1" s="14"/>
      <c r="D1" s="304"/>
      <c r="E1" s="304"/>
    </row>
    <row r="2" spans="1:5" ht="25.5" customHeight="1" x14ac:dyDescent="0.2">
      <c r="A2" s="346" t="s">
        <v>0</v>
      </c>
      <c r="B2" s="347"/>
      <c r="C2" s="347"/>
      <c r="D2" s="348"/>
      <c r="E2" s="304"/>
    </row>
    <row r="3" spans="1:5" ht="18" customHeight="1" x14ac:dyDescent="0.2">
      <c r="A3" s="349" t="s">
        <v>1</v>
      </c>
      <c r="B3" s="350"/>
      <c r="C3" s="350"/>
      <c r="D3" s="351"/>
      <c r="E3" s="304"/>
    </row>
    <row r="4" spans="1:5" ht="15" customHeight="1" x14ac:dyDescent="0.2">
      <c r="A4" s="314" t="s">
        <v>2</v>
      </c>
      <c r="B4" s="315"/>
      <c r="C4" s="315"/>
      <c r="D4" s="316"/>
      <c r="E4" s="304"/>
    </row>
    <row r="5" spans="1:5" ht="18" customHeight="1" x14ac:dyDescent="0.2">
      <c r="A5" s="74" t="s">
        <v>3</v>
      </c>
      <c r="B5" s="338" t="str">
        <f>IF(OR(B6&lt;&gt;"",B7&lt;&gt;""),"Yes","No")</f>
        <v>Yes</v>
      </c>
      <c r="C5" s="338"/>
      <c r="D5" s="339"/>
      <c r="E5" s="304"/>
    </row>
    <row r="6" spans="1:5" ht="120" customHeight="1" x14ac:dyDescent="0.2">
      <c r="A6" s="75" t="s">
        <v>4</v>
      </c>
      <c r="B6" s="335" t="str">
        <f>'DEM (Strategic Priorities)'!J11</f>
        <v xml:space="preserve">-Social Inclusion and Equality
-Productivity and Innovation
-Climate Change and Environmental Sustainability
-Institutional Capacity and the Rule of Law
</v>
      </c>
      <c r="C6" s="336"/>
      <c r="D6" s="337"/>
      <c r="E6" s="304"/>
    </row>
    <row r="7" spans="1:5" ht="120" customHeight="1" x14ac:dyDescent="0.2">
      <c r="A7" s="10" t="s">
        <v>5</v>
      </c>
      <c r="B7" s="335" t="str">
        <f>'DEM (Strategic Priorities)'!K22</f>
        <v xml:space="preserve">-Households with new or upgraded access to drinking water (#)*
-Households with new or upgraded access to sanitation (#)*
-Installed power generation from renewable energy sources (%)*
-Households with wastewater treatment (#)*
</v>
      </c>
      <c r="C7" s="336"/>
      <c r="D7" s="337"/>
      <c r="E7" s="304"/>
    </row>
    <row r="8" spans="1:5" ht="15" customHeight="1" x14ac:dyDescent="0.2">
      <c r="A8" s="74" t="s">
        <v>6</v>
      </c>
      <c r="B8" s="338" t="str">
        <f>IF(OR('DEM (Strategic Priorities)'!$D$82="Yes",'DEM (Strategic Priorities)'!D85="Yes"),"Yes","No")</f>
        <v>Yes</v>
      </c>
      <c r="C8" s="338"/>
      <c r="D8" s="339"/>
      <c r="E8" s="304"/>
    </row>
    <row r="9" spans="1:5" ht="60" customHeight="1" x14ac:dyDescent="0.2">
      <c r="A9" s="10" t="s">
        <v>7</v>
      </c>
      <c r="B9" s="82" t="str">
        <f>IF('DEM (Strategic Priorities)'!D82="Yes",'DEM (Strategic Priorities)'!C82,"")</f>
        <v>GN-2924</v>
      </c>
      <c r="C9" s="340" t="s">
        <v>8</v>
      </c>
      <c r="D9" s="341"/>
      <c r="E9" s="304"/>
    </row>
    <row r="10" spans="1:5" ht="60" customHeight="1" x14ac:dyDescent="0.2">
      <c r="A10" s="10" t="s">
        <v>9</v>
      </c>
      <c r="B10" s="82" t="str">
        <f>IF('DEM (Strategic Priorities)'!D85="Yes",'DEM (Strategic Priorities)'!C85," ")</f>
        <v xml:space="preserve"> </v>
      </c>
      <c r="C10" s="342" t="str">
        <f>IF('DEM (Strategic Priorities)'!D85="Yes","The intervention is included in the 2018 Operational Program.","The intervention is not included in the 2018 Operational Program.")</f>
        <v>The intervention is not included in the 2018 Operational Program.</v>
      </c>
      <c r="D10" s="343"/>
      <c r="E10" s="304"/>
    </row>
    <row r="11" spans="1:5" ht="60" customHeight="1" x14ac:dyDescent="0.2">
      <c r="A11" s="147" t="s">
        <v>10</v>
      </c>
      <c r="B11" s="76"/>
      <c r="C11" s="344"/>
      <c r="D11" s="345"/>
      <c r="E11" s="304">
        <f>SUM(E14+E19)</f>
        <v>1</v>
      </c>
    </row>
    <row r="12" spans="1:5" ht="15.75" x14ac:dyDescent="0.2">
      <c r="A12" s="192" t="s">
        <v>11</v>
      </c>
      <c r="B12" s="206"/>
      <c r="C12" s="292" t="str">
        <f>IF(AND(E12=1,C13&gt;=6.95),"Evaluable",IF(AND(E12=1,C13&gt;=5),"Partially Evaluable","Not Evaluable"))</f>
        <v>Not Evaluable</v>
      </c>
      <c r="D12" s="206"/>
      <c r="E12" s="209">
        <f>IF(E11&gt;=2,1,0)</f>
        <v>0</v>
      </c>
    </row>
    <row r="13" spans="1:5" hidden="1" x14ac:dyDescent="0.2">
      <c r="A13" s="193"/>
      <c r="B13" s="208"/>
      <c r="C13" s="207">
        <f>AVERAGE(B14,B19)</f>
        <v>5.2125000000000004</v>
      </c>
      <c r="D13" s="194">
        <v>10</v>
      </c>
      <c r="E13" s="304"/>
    </row>
    <row r="14" spans="1:5" ht="15" customHeight="1" x14ac:dyDescent="0.2">
      <c r="A14" s="74" t="s">
        <v>12</v>
      </c>
      <c r="B14" s="311">
        <f>'DEM (Evaluability)'!G11</f>
        <v>7</v>
      </c>
      <c r="C14" s="312"/>
      <c r="D14" s="313"/>
      <c r="E14" s="304">
        <f>IF(B14&gt;=5,1,0)</f>
        <v>1</v>
      </c>
    </row>
    <row r="15" spans="1:5" ht="15" customHeight="1" x14ac:dyDescent="0.2">
      <c r="A15" s="10" t="s">
        <v>13</v>
      </c>
      <c r="B15" s="1">
        <f>'DEM (Evaluability)'!G12</f>
        <v>3</v>
      </c>
      <c r="C15" s="309"/>
      <c r="D15" s="310"/>
      <c r="E15" s="304"/>
    </row>
    <row r="16" spans="1:5" ht="15" customHeight="1" x14ac:dyDescent="0.2">
      <c r="A16" s="10" t="s">
        <v>14</v>
      </c>
      <c r="B16" s="1">
        <f>'DEM (Evaluability)'!G19</f>
        <v>4</v>
      </c>
      <c r="C16" s="309"/>
      <c r="D16" s="310"/>
      <c r="E16" s="304"/>
    </row>
    <row r="17" spans="1:5" ht="15" customHeight="1" x14ac:dyDescent="0.2">
      <c r="A17" s="10" t="s">
        <v>15</v>
      </c>
      <c r="B17" s="1">
        <f>'DEM (Evaluability)'!G24</f>
        <v>0</v>
      </c>
      <c r="C17" s="309"/>
      <c r="D17" s="310"/>
      <c r="E17" s="304"/>
    </row>
    <row r="18" spans="1:5" ht="15" customHeight="1" x14ac:dyDescent="0.2">
      <c r="A18" s="74" t="s">
        <v>16</v>
      </c>
      <c r="B18" s="311" t="s">
        <v>77</v>
      </c>
      <c r="C18" s="312"/>
      <c r="D18" s="313"/>
      <c r="E18" s="304"/>
    </row>
    <row r="19" spans="1:5" ht="15" customHeight="1" x14ac:dyDescent="0.2">
      <c r="A19" s="74" t="s">
        <v>22</v>
      </c>
      <c r="B19" s="311">
        <f>'DEM (Evaluability)'!G54</f>
        <v>3.4249999999999998</v>
      </c>
      <c r="C19" s="312"/>
      <c r="D19" s="313"/>
      <c r="E19" s="304">
        <f>IF(B19&gt;=5,1,0)</f>
        <v>0</v>
      </c>
    </row>
    <row r="20" spans="1:5" ht="15" customHeight="1" x14ac:dyDescent="0.2">
      <c r="A20" s="10" t="s">
        <v>23</v>
      </c>
      <c r="B20" s="1">
        <f>'DEM (Evaluability)'!G55</f>
        <v>1.075</v>
      </c>
      <c r="C20" s="309"/>
      <c r="D20" s="310"/>
      <c r="E20" s="304"/>
    </row>
    <row r="21" spans="1:5" ht="15" customHeight="1" x14ac:dyDescent="0.2">
      <c r="A21" s="10" t="s">
        <v>24</v>
      </c>
      <c r="B21" s="1">
        <f>'DEM (Evaluability)'!G61</f>
        <v>2.35</v>
      </c>
      <c r="C21" s="309"/>
      <c r="D21" s="310"/>
      <c r="E21" s="304"/>
    </row>
    <row r="22" spans="1:5" ht="15" customHeight="1" x14ac:dyDescent="0.2">
      <c r="A22" s="314" t="s">
        <v>25</v>
      </c>
      <c r="B22" s="315"/>
      <c r="C22" s="315"/>
      <c r="D22" s="316"/>
      <c r="E22" s="304"/>
    </row>
    <row r="23" spans="1:5" ht="15" customHeight="1" x14ac:dyDescent="0.2">
      <c r="A23" s="77" t="s">
        <v>26</v>
      </c>
      <c r="B23" s="324" t="str">
        <f>IF('DEM ( Risk)'!D12&lt;&gt;"",'DEM ( Risk)'!D12,"Specify risk rate on risk tab")</f>
        <v>Low</v>
      </c>
      <c r="C23" s="324"/>
      <c r="D23" s="325"/>
      <c r="E23" s="304"/>
    </row>
    <row r="24" spans="1:5" ht="15" customHeight="1" x14ac:dyDescent="0.2">
      <c r="A24" s="78" t="s">
        <v>27</v>
      </c>
      <c r="B24" s="326" t="str">
        <f>IF(AND('DEM ( Risk)'!D15="yes", 'DEM ( Risk)'!D16="yes"), "Yes", "")</f>
        <v/>
      </c>
      <c r="C24" s="326"/>
      <c r="D24" s="327"/>
      <c r="E24" s="304"/>
    </row>
    <row r="25" spans="1:5" ht="15" customHeight="1" x14ac:dyDescent="0.2">
      <c r="A25" s="78" t="s">
        <v>28</v>
      </c>
      <c r="B25" s="330" t="str">
        <f>IF('DEM ( Risk)'!D18="yes", "Yes", "")</f>
        <v/>
      </c>
      <c r="C25" s="331"/>
      <c r="D25" s="332"/>
      <c r="E25" s="304"/>
    </row>
    <row r="26" spans="1:5" ht="15" customHeight="1" x14ac:dyDescent="0.2">
      <c r="A26" s="78" t="s">
        <v>29</v>
      </c>
      <c r="B26" s="330" t="str">
        <f>IF('DEM ( Risk)'!D19="yes", "Yes", "")</f>
        <v/>
      </c>
      <c r="C26" s="331"/>
      <c r="D26" s="332"/>
      <c r="E26" s="304"/>
    </row>
    <row r="27" spans="1:5" ht="15" customHeight="1" x14ac:dyDescent="0.2">
      <c r="A27" s="77" t="s">
        <v>30</v>
      </c>
      <c r="B27" s="324" t="str">
        <f>IF('DEM ( Risk)'!D13&lt;&gt;"",'DEM ( Risk)'!D13,"Specify risk classification on risk tab")</f>
        <v>B</v>
      </c>
      <c r="C27" s="324"/>
      <c r="D27" s="325"/>
      <c r="E27" s="304"/>
    </row>
    <row r="28" spans="1:5" ht="15" customHeight="1" x14ac:dyDescent="0.2">
      <c r="A28" s="314" t="s">
        <v>31</v>
      </c>
      <c r="B28" s="315"/>
      <c r="C28" s="315"/>
      <c r="D28" s="316"/>
      <c r="E28" s="304"/>
    </row>
    <row r="29" spans="1:5" ht="15" customHeight="1" x14ac:dyDescent="0.2">
      <c r="A29" s="10" t="s">
        <v>32</v>
      </c>
      <c r="B29" s="79"/>
      <c r="C29" s="328"/>
      <c r="D29" s="329"/>
      <c r="E29" s="304"/>
    </row>
    <row r="30" spans="1:5" ht="70.349999999999994" customHeight="1" x14ac:dyDescent="0.2">
      <c r="A30" s="80" t="s">
        <v>33</v>
      </c>
      <c r="B30" s="195" t="str">
        <f>IF('DEM (Additionality)'!E14="Yes","Yes","")</f>
        <v>Yes</v>
      </c>
      <c r="C30" s="321" t="str">
        <f>'DEM (Additionality)'!N14</f>
        <v>Financial Management: Budget, Treasury, Accounting and Reporting.
Procurement: nformation System, parison, ational Public Bidding.</v>
      </c>
      <c r="D30" s="322"/>
      <c r="E30" s="304"/>
    </row>
    <row r="31" spans="1:5" ht="70.349999999999994" customHeight="1" x14ac:dyDescent="0.2">
      <c r="A31" s="80" t="s">
        <v>34</v>
      </c>
      <c r="B31" s="195" t="str">
        <f>IF('DEM (Additionality)'!E27="yes", "Yes","")</f>
        <v/>
      </c>
      <c r="C31" s="321" t="str">
        <f>'DEM (Additionality)'!M28</f>
        <v/>
      </c>
      <c r="D31" s="322"/>
      <c r="E31" s="304"/>
    </row>
    <row r="32" spans="1:5" ht="44.25" customHeight="1" x14ac:dyDescent="0.2">
      <c r="A32" s="10" t="s">
        <v>35</v>
      </c>
      <c r="B32" s="79"/>
      <c r="C32" s="333"/>
      <c r="D32" s="334"/>
      <c r="E32" s="304"/>
    </row>
    <row r="33" spans="1:4" ht="80.45" customHeight="1" x14ac:dyDescent="0.2">
      <c r="A33" s="10" t="s">
        <v>36</v>
      </c>
      <c r="B33" s="195" t="str">
        <f>IF('DEM (Additionality)'!E35="yes", "Yes","")</f>
        <v/>
      </c>
      <c r="C33" s="319"/>
      <c r="D33" s="320"/>
    </row>
    <row r="34" spans="1:4" ht="25.5" customHeight="1" x14ac:dyDescent="0.2">
      <c r="A34" s="323" t="s">
        <v>37</v>
      </c>
      <c r="B34" s="323"/>
      <c r="C34" s="323"/>
      <c r="D34" s="323"/>
    </row>
    <row r="35" spans="1:4" ht="13.5" customHeight="1" x14ac:dyDescent="0.2">
      <c r="A35" s="323"/>
      <c r="B35" s="323"/>
      <c r="C35" s="323"/>
      <c r="D35" s="323"/>
    </row>
    <row r="36" spans="1:4" ht="300" customHeight="1" x14ac:dyDescent="0.2">
      <c r="A36" s="317" t="s">
        <v>78</v>
      </c>
      <c r="B36" s="318"/>
      <c r="C36" s="318"/>
      <c r="D36" s="318"/>
    </row>
  </sheetData>
  <sheetProtection algorithmName="SHA-512" hashValue="R7bdHJArVIuMq9c5VATApS5bdvRJr98WbFgAyS9qaFKGrrQM59AtIQbiT5Zlwntna8Kfq96LrTDLCQwlBPRRoA==" saltValue="iXMi4xnLrzw+yEsN4fZxRA==" spinCount="100000" sheet="1" objects="1" scenarios="1"/>
  <mergeCells count="33">
    <mergeCell ref="B7:D7"/>
    <mergeCell ref="A2:D2"/>
    <mergeCell ref="A3:D3"/>
    <mergeCell ref="A4:D4"/>
    <mergeCell ref="B5:D5"/>
    <mergeCell ref="B6:D6"/>
    <mergeCell ref="B16:D16"/>
    <mergeCell ref="B17:D17"/>
    <mergeCell ref="B18:D18"/>
    <mergeCell ref="B8:D8"/>
    <mergeCell ref="C9:D9"/>
    <mergeCell ref="C10:D10"/>
    <mergeCell ref="C11:D11"/>
    <mergeCell ref="B14:D14"/>
    <mergeCell ref="B15:D15"/>
    <mergeCell ref="A28:D28"/>
    <mergeCell ref="B19:D19"/>
    <mergeCell ref="B20:D20"/>
    <mergeCell ref="B21:D21"/>
    <mergeCell ref="A22:D22"/>
    <mergeCell ref="B23:D23"/>
    <mergeCell ref="B24:D24"/>
    <mergeCell ref="B25:D25"/>
    <mergeCell ref="B26:D26"/>
    <mergeCell ref="B27:D27"/>
    <mergeCell ref="A35:D35"/>
    <mergeCell ref="A36:D36"/>
    <mergeCell ref="C29:D29"/>
    <mergeCell ref="C30:D30"/>
    <mergeCell ref="C31:D31"/>
    <mergeCell ref="C32:D32"/>
    <mergeCell ref="C33:D33"/>
    <mergeCell ref="A34:D34"/>
  </mergeCells>
  <printOptions horizontalCentered="1" verticalCentered="1"/>
  <pageMargins left="0.7" right="0.7" top="0.75" bottom="0.75" header="0.3" footer="0.3"/>
  <pageSetup scale="49" orientation="portrait" r:id="rId1"/>
  <headerFooter>
    <oddHeader>&amp;RANEXO I - EC-L1242
Página 1 de 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1E00F-6430-4AD7-97DA-23E14A1E4BEC}">
  <sheetPr>
    <pageSetUpPr fitToPage="1"/>
  </sheetPr>
  <dimension ref="A1:E37"/>
  <sheetViews>
    <sheetView zoomScale="80" zoomScaleNormal="80" zoomScalePageLayoutView="80" workbookViewId="0">
      <selection activeCell="B18" sqref="B18:D18"/>
    </sheetView>
  </sheetViews>
  <sheetFormatPr defaultColWidth="9.140625" defaultRowHeight="12.75" x14ac:dyDescent="0.2"/>
  <cols>
    <col min="1" max="1" width="82.42578125" style="73" customWidth="1"/>
    <col min="2" max="2" width="24.85546875" style="73" customWidth="1"/>
    <col min="3" max="4" width="29.85546875" style="73" customWidth="1"/>
    <col min="5" max="5" width="4.85546875" style="73" hidden="1" customWidth="1"/>
    <col min="6" max="6" width="11.5703125" style="73" customWidth="1"/>
    <col min="7" max="16384" width="9.140625" style="73"/>
  </cols>
  <sheetData>
    <row r="1" spans="1:5" ht="13.5" customHeight="1" thickBot="1" x14ac:dyDescent="0.25">
      <c r="A1" s="14"/>
      <c r="B1" s="14"/>
      <c r="C1" s="14"/>
      <c r="D1" s="304"/>
      <c r="E1" s="304"/>
    </row>
    <row r="2" spans="1:5" ht="25.5" customHeight="1" x14ac:dyDescent="0.2">
      <c r="A2" s="346" t="s">
        <v>39</v>
      </c>
      <c r="B2" s="347"/>
      <c r="C2" s="347"/>
      <c r="D2" s="348"/>
      <c r="E2" s="304"/>
    </row>
    <row r="3" spans="1:5" ht="18" customHeight="1" x14ac:dyDescent="0.2">
      <c r="A3" s="349" t="s">
        <v>40</v>
      </c>
      <c r="B3" s="350"/>
      <c r="C3" s="350"/>
      <c r="D3" s="351"/>
      <c r="E3" s="304"/>
    </row>
    <row r="4" spans="1:5" ht="19.5" customHeight="1" x14ac:dyDescent="0.2">
      <c r="A4" s="314" t="s">
        <v>41</v>
      </c>
      <c r="B4" s="315"/>
      <c r="C4" s="315"/>
      <c r="D4" s="316"/>
      <c r="E4" s="304"/>
    </row>
    <row r="5" spans="1:5" ht="15" customHeight="1" x14ac:dyDescent="0.2">
      <c r="A5" s="74" t="s">
        <v>42</v>
      </c>
      <c r="B5" s="338" t="str">
        <f>IF('Summary (I, II, III) '!B5:D5="Yes","Sí","No")</f>
        <v>Sí</v>
      </c>
      <c r="C5" s="338"/>
      <c r="D5" s="339"/>
      <c r="E5" s="304"/>
    </row>
    <row r="6" spans="1:5" ht="120" customHeight="1" x14ac:dyDescent="0.2">
      <c r="A6" s="75" t="s">
        <v>43</v>
      </c>
      <c r="B6" s="354" t="str">
        <f>'Prioridades Estrategicas'!J11</f>
        <v xml:space="preserve">-Inclusión Social e Igualdad
-Productividad e Innovación
-Cambio Climático y Sostenibilidad Ambiental
-Capacidad Institucional y Estado de Derecho
</v>
      </c>
      <c r="C6" s="354"/>
      <c r="D6" s="355"/>
      <c r="E6" s="304"/>
    </row>
    <row r="7" spans="1:5" ht="120" customHeight="1" x14ac:dyDescent="0.2">
      <c r="A7" s="10" t="s">
        <v>44</v>
      </c>
      <c r="B7" s="354" t="str">
        <f>'Prioridades Estrategicas'!K18</f>
        <v xml:space="preserve">-Hogares con acceso nuevo o mejorado a agua potable (#)*
-Hogares con acceso nuevo o mejorado a saneamiento  (#)*
-Capacidad de generación de energía instalada de fuentes de energía renovable (%)*
-Hogares con tratamiento de agua residuales (#)*
</v>
      </c>
      <c r="C7" s="354"/>
      <c r="D7" s="355"/>
      <c r="E7" s="304"/>
    </row>
    <row r="8" spans="1:5" ht="15" customHeight="1" x14ac:dyDescent="0.2">
      <c r="A8" s="74" t="s">
        <v>45</v>
      </c>
      <c r="B8" s="338" t="str">
        <f>IF('Summary (I, II, III) '!B8:D8="Yes","Sí","No")</f>
        <v>Sí</v>
      </c>
      <c r="C8" s="338"/>
      <c r="D8" s="339"/>
      <c r="E8" s="304"/>
    </row>
    <row r="9" spans="1:5" ht="60" customHeight="1" x14ac:dyDescent="0.2">
      <c r="A9" s="10" t="s">
        <v>46</v>
      </c>
      <c r="B9" s="82" t="str">
        <f>IF('DEM (Strategic Priorities)'!D82="Yes",'DEM (Strategic Priorities)'!C82,"")</f>
        <v>GN-2924</v>
      </c>
      <c r="C9" s="344" t="s">
        <v>47</v>
      </c>
      <c r="D9" s="345"/>
      <c r="E9" s="304"/>
    </row>
    <row r="10" spans="1:5" ht="60" customHeight="1" x14ac:dyDescent="0.2">
      <c r="A10" s="10" t="s">
        <v>48</v>
      </c>
      <c r="B10" s="82" t="str">
        <f>IF('DEM (Strategic Priorities)'!D85="Yes",'DEM (Strategic Priorities)'!C85,"")</f>
        <v/>
      </c>
      <c r="C10" s="356" t="str">
        <f>IF('DEM (Strategic Priorities)'!D85="Yes","La intervención está incluida en el Programa de Operaciones de 2018.","La intervención no está incluida en el Programa de Operaciones de 2018.")</f>
        <v>La intervención no está incluida en el Programa de Operaciones de 2018.</v>
      </c>
      <c r="D10" s="357"/>
      <c r="E10" s="304"/>
    </row>
    <row r="11" spans="1:5" ht="60" customHeight="1" x14ac:dyDescent="0.2">
      <c r="A11" s="10" t="s">
        <v>49</v>
      </c>
      <c r="B11" s="76"/>
      <c r="C11" s="340"/>
      <c r="D11" s="341"/>
      <c r="E11" s="304">
        <f>E14+E18+E19</f>
        <v>1</v>
      </c>
    </row>
    <row r="12" spans="1:5" ht="22.5" customHeight="1" x14ac:dyDescent="0.2">
      <c r="A12" s="192" t="s">
        <v>11</v>
      </c>
      <c r="B12" s="206"/>
      <c r="C12" s="292" t="str">
        <f>IF(AND(E12=1,C13&gt;=6.95),"Evaluable",IF(AND(E12=1,C13&gt;=5),"Parcialmente Evaluable","No Evaluable"))</f>
        <v>No Evaluable</v>
      </c>
      <c r="D12" s="206"/>
      <c r="E12" s="209">
        <f>IF(E11&gt;=2,1,0)</f>
        <v>0</v>
      </c>
    </row>
    <row r="13" spans="1:5" ht="14.25" hidden="1" customHeight="1" x14ac:dyDescent="0.2">
      <c r="A13" s="193"/>
      <c r="B13" s="208"/>
      <c r="C13" s="207">
        <f>AVERAGE(B14,B19)</f>
        <v>5.2125000000000004</v>
      </c>
      <c r="D13" s="194">
        <v>10</v>
      </c>
      <c r="E13" s="304"/>
    </row>
    <row r="14" spans="1:5" ht="15" customHeight="1" x14ac:dyDescent="0.2">
      <c r="A14" s="74" t="s">
        <v>50</v>
      </c>
      <c r="B14" s="311">
        <f>'DEM (Evaluability)'!G11</f>
        <v>7</v>
      </c>
      <c r="C14" s="312"/>
      <c r="D14" s="313"/>
      <c r="E14" s="304">
        <f>IF(B14&gt;=5,1,0)</f>
        <v>1</v>
      </c>
    </row>
    <row r="15" spans="1:5" ht="15" customHeight="1" x14ac:dyDescent="0.2">
      <c r="A15" s="10" t="s">
        <v>51</v>
      </c>
      <c r="B15" s="1">
        <f>'DEM (Evaluability)'!G12</f>
        <v>3</v>
      </c>
      <c r="C15" s="309"/>
      <c r="D15" s="310"/>
      <c r="E15" s="83"/>
    </row>
    <row r="16" spans="1:5" ht="15" customHeight="1" x14ac:dyDescent="0.2">
      <c r="A16" s="10" t="s">
        <v>52</v>
      </c>
      <c r="B16" s="1">
        <f>'DEM (Evaluability)'!G19</f>
        <v>4</v>
      </c>
      <c r="C16" s="309"/>
      <c r="D16" s="310"/>
      <c r="E16" s="83"/>
    </row>
    <row r="17" spans="1:5" ht="15" customHeight="1" x14ac:dyDescent="0.2">
      <c r="A17" s="10" t="s">
        <v>53</v>
      </c>
      <c r="B17" s="1">
        <f>'DEM (Evaluability)'!G24</f>
        <v>0</v>
      </c>
      <c r="C17" s="309"/>
      <c r="D17" s="310"/>
      <c r="E17" s="83"/>
    </row>
    <row r="18" spans="1:5" ht="15" customHeight="1" x14ac:dyDescent="0.2">
      <c r="A18" s="74" t="s">
        <v>54</v>
      </c>
      <c r="B18" s="311" t="s">
        <v>77</v>
      </c>
      <c r="C18" s="312"/>
      <c r="D18" s="313"/>
      <c r="E18" s="304"/>
    </row>
    <row r="19" spans="1:5" ht="15" customHeight="1" x14ac:dyDescent="0.2">
      <c r="A19" s="74" t="s">
        <v>60</v>
      </c>
      <c r="B19" s="311">
        <f>'DEM (Evaluability)'!G54</f>
        <v>3.4249999999999998</v>
      </c>
      <c r="C19" s="312"/>
      <c r="D19" s="313"/>
      <c r="E19" s="304">
        <f>IF(B19&gt;=5,1,0)</f>
        <v>0</v>
      </c>
    </row>
    <row r="20" spans="1:5" ht="15" customHeight="1" x14ac:dyDescent="0.2">
      <c r="A20" s="10" t="s">
        <v>61</v>
      </c>
      <c r="B20" s="1">
        <f>'DEM (Evaluability)'!G55</f>
        <v>1.075</v>
      </c>
      <c r="C20" s="309"/>
      <c r="D20" s="310"/>
      <c r="E20" s="304"/>
    </row>
    <row r="21" spans="1:5" ht="15" customHeight="1" x14ac:dyDescent="0.2">
      <c r="A21" s="10" t="s">
        <v>62</v>
      </c>
      <c r="B21" s="1">
        <f>'DEM (Evaluability)'!G61</f>
        <v>2.35</v>
      </c>
      <c r="C21" s="309"/>
      <c r="D21" s="310"/>
      <c r="E21" s="304"/>
    </row>
    <row r="22" spans="1:5" ht="19.5" customHeight="1" x14ac:dyDescent="0.2">
      <c r="A22" s="314" t="s">
        <v>63</v>
      </c>
      <c r="B22" s="315"/>
      <c r="C22" s="315"/>
      <c r="D22" s="316"/>
      <c r="E22" s="304"/>
    </row>
    <row r="23" spans="1:5" ht="15" customHeight="1" x14ac:dyDescent="0.2">
      <c r="A23" s="77" t="s">
        <v>64</v>
      </c>
      <c r="B23" s="324" t="str">
        <f>IF('Summary (I, II, III) '!B28:D28="LOW","Bajo",IF('Summary (I, II, III) '!B28:D28="MEDIUM","Medio",IF('Summary (I, II, III) '!B28:D28="HIGH","Alto","Specify risk rate on risk tab")))</f>
        <v>Bajo</v>
      </c>
      <c r="C23" s="324"/>
      <c r="D23" s="325"/>
      <c r="E23" s="304"/>
    </row>
    <row r="24" spans="1:5" x14ac:dyDescent="0.2">
      <c r="A24" s="78" t="s">
        <v>65</v>
      </c>
      <c r="B24" s="330" t="str">
        <f>IF(AND('DEM ( Risk)'!D15="yes", 'DEM ( Risk)'!D16="yes"), "Sí", "")</f>
        <v/>
      </c>
      <c r="C24" s="352"/>
      <c r="D24" s="353"/>
      <c r="E24" s="304"/>
    </row>
    <row r="25" spans="1:5" x14ac:dyDescent="0.2">
      <c r="A25" s="78" t="s">
        <v>66</v>
      </c>
      <c r="B25" s="330" t="str">
        <f>IF('DEM ( Risk)'!D18="yes", "Sí", "")</f>
        <v/>
      </c>
      <c r="C25" s="352"/>
      <c r="D25" s="353"/>
      <c r="E25" s="304"/>
    </row>
    <row r="26" spans="1:5" ht="25.5" x14ac:dyDescent="0.2">
      <c r="A26" s="78" t="s">
        <v>67</v>
      </c>
      <c r="B26" s="330" t="str">
        <f>IF('DEM ( Risk)'!D19="yes", "Sí", "")</f>
        <v/>
      </c>
      <c r="C26" s="352"/>
      <c r="D26" s="353"/>
      <c r="E26" s="304"/>
    </row>
    <row r="27" spans="1:5" ht="15" customHeight="1" x14ac:dyDescent="0.2">
      <c r="A27" s="77" t="s">
        <v>68</v>
      </c>
      <c r="B27" s="324" t="str">
        <f>'Summary (I, II, III) '!B32:D32</f>
        <v>B</v>
      </c>
      <c r="C27" s="324"/>
      <c r="D27" s="325"/>
      <c r="E27" s="304"/>
    </row>
    <row r="28" spans="1:5" ht="19.5" customHeight="1" x14ac:dyDescent="0.2">
      <c r="A28" s="365" t="s">
        <v>69</v>
      </c>
      <c r="B28" s="366"/>
      <c r="C28" s="366"/>
      <c r="D28" s="367"/>
      <c r="E28" s="304"/>
    </row>
    <row r="29" spans="1:5" ht="15.75" customHeight="1" x14ac:dyDescent="0.2">
      <c r="A29" s="10" t="s">
        <v>70</v>
      </c>
      <c r="B29" s="79"/>
      <c r="C29" s="359"/>
      <c r="D29" s="360"/>
      <c r="E29" s="304"/>
    </row>
    <row r="30" spans="1:5" ht="71.099999999999994" customHeight="1" x14ac:dyDescent="0.2">
      <c r="A30" s="80" t="s">
        <v>71</v>
      </c>
      <c r="B30" s="195" t="str">
        <f>IF('DEM (Additionality)'!E13="yes", "Sí", "")</f>
        <v>Sí</v>
      </c>
      <c r="C30" s="368" t="str">
        <f>Adicionalidad!M14</f>
        <v>Administración financiera: Presupuesto, Tesorería, Contabilidad y emisión de informes.
Adquisiciones y contrataciones: Sistema de información, Método de comparación de precios, Licitación pública nacional.</v>
      </c>
      <c r="D30" s="369"/>
      <c r="E30" s="304"/>
    </row>
    <row r="31" spans="1:5" ht="71.099999999999994" customHeight="1" x14ac:dyDescent="0.2">
      <c r="A31" s="80" t="s">
        <v>72</v>
      </c>
      <c r="B31" s="195" t="str">
        <f>IF('DEM (Additionality)'!E27="yes", "Sí", "")</f>
        <v/>
      </c>
      <c r="C31" s="361" t="str">
        <f>Adicionalidad!L28</f>
        <v/>
      </c>
      <c r="D31" s="362"/>
      <c r="E31" s="304"/>
    </row>
    <row r="32" spans="1:5" ht="44.25" customHeight="1" x14ac:dyDescent="0.2">
      <c r="A32" s="10" t="s">
        <v>73</v>
      </c>
      <c r="B32" s="79"/>
      <c r="C32" s="361"/>
      <c r="D32" s="362"/>
      <c r="E32" s="304"/>
    </row>
    <row r="33" spans="1:4" ht="80.45" customHeight="1" thickBot="1" x14ac:dyDescent="0.25">
      <c r="A33" s="10" t="s">
        <v>74</v>
      </c>
      <c r="B33" s="195" t="str">
        <f>IF('DEM (Additionality)'!E35="yes", "Sí", "")</f>
        <v/>
      </c>
      <c r="C33" s="363" t="str">
        <f>IF('DEM (Additionality)'!E35="Yes",'DEM (Additionality)'!C35,"")</f>
        <v/>
      </c>
      <c r="D33" s="364"/>
    </row>
    <row r="34" spans="1:4" ht="24.75" customHeight="1" x14ac:dyDescent="0.2">
      <c r="A34" s="370" t="s">
        <v>75</v>
      </c>
      <c r="B34" s="370"/>
      <c r="C34" s="370"/>
      <c r="D34" s="370"/>
    </row>
    <row r="35" spans="1:4" x14ac:dyDescent="0.2">
      <c r="A35" s="3"/>
      <c r="B35" s="303"/>
      <c r="C35" s="303"/>
      <c r="D35" s="304"/>
    </row>
    <row r="36" spans="1:4" ht="300" customHeight="1" x14ac:dyDescent="0.2">
      <c r="A36" s="317" t="s">
        <v>79</v>
      </c>
      <c r="B36" s="318"/>
      <c r="C36" s="318"/>
      <c r="D36" s="318"/>
    </row>
    <row r="37" spans="1:4" x14ac:dyDescent="0.2">
      <c r="A37" s="358"/>
      <c r="B37" s="358"/>
      <c r="C37" s="358"/>
      <c r="D37" s="358"/>
    </row>
  </sheetData>
  <sheetProtection algorithmName="SHA-512" hashValue="P+WA7Vv19WSPnCbfOapBXFqUr3jh0+Ha0ar5C0JGgQHhE5qVoeBtF50LmZST0IKOVxsTi0Ejffk/JlX+dCA+PA==" saltValue="jhL+89ucE5iaYXUmODZdEw==" spinCount="100000" sheet="1" objects="1" scenarios="1"/>
  <mergeCells count="33">
    <mergeCell ref="B7:D7"/>
    <mergeCell ref="A2:D2"/>
    <mergeCell ref="A3:D3"/>
    <mergeCell ref="A4:D4"/>
    <mergeCell ref="B5:D5"/>
    <mergeCell ref="B6:D6"/>
    <mergeCell ref="B16:D16"/>
    <mergeCell ref="B17:D17"/>
    <mergeCell ref="B18:D18"/>
    <mergeCell ref="B8:D8"/>
    <mergeCell ref="C9:D9"/>
    <mergeCell ref="C10:D10"/>
    <mergeCell ref="C11:D11"/>
    <mergeCell ref="B14:D14"/>
    <mergeCell ref="B15:D15"/>
    <mergeCell ref="A28:D28"/>
    <mergeCell ref="B19:D19"/>
    <mergeCell ref="B20:D20"/>
    <mergeCell ref="B21:D21"/>
    <mergeCell ref="A22:D22"/>
    <mergeCell ref="B23:D23"/>
    <mergeCell ref="B24:D24"/>
    <mergeCell ref="B25:D25"/>
    <mergeCell ref="B26:D26"/>
    <mergeCell ref="B27:D27"/>
    <mergeCell ref="A36:D36"/>
    <mergeCell ref="A37:D37"/>
    <mergeCell ref="C29:D29"/>
    <mergeCell ref="C30:D30"/>
    <mergeCell ref="C31:D31"/>
    <mergeCell ref="C32:D32"/>
    <mergeCell ref="C33:D33"/>
    <mergeCell ref="A34:D34"/>
  </mergeCells>
  <printOptions horizontalCentered="1" verticalCentered="1"/>
  <pageMargins left="0.7" right="0.7" top="0.75" bottom="0.75" header="0.3" footer="0.3"/>
  <pageSetup scale="51" orientation="portrait" r:id="rId1"/>
  <headerFooter>
    <oddHeader>&amp;RAnexo I - UR-L1149  
Página 1 de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2:R87"/>
  <sheetViews>
    <sheetView topLeftCell="A6" zoomScale="70" zoomScaleNormal="70" workbookViewId="0">
      <selection activeCell="D21" sqref="D21"/>
    </sheetView>
  </sheetViews>
  <sheetFormatPr defaultColWidth="9.140625" defaultRowHeight="12.75" outlineLevelRow="1" x14ac:dyDescent="0.2"/>
  <cols>
    <col min="1" max="1" width="0.140625" style="2" customWidth="1"/>
    <col min="2" max="2" width="107.140625" style="3" customWidth="1"/>
    <col min="3" max="3" width="34.140625" style="2" customWidth="1"/>
    <col min="4" max="4" width="27.42578125" style="15" customWidth="1"/>
    <col min="5" max="5" width="40.5703125" style="15" customWidth="1"/>
    <col min="6" max="6" width="9.85546875" style="84" hidden="1" customWidth="1"/>
    <col min="7" max="7" width="10.5703125" style="84" hidden="1" customWidth="1"/>
    <col min="8" max="8" width="10.85546875" style="84" hidden="1" customWidth="1"/>
    <col min="9" max="9" width="10" style="84" hidden="1" customWidth="1"/>
    <col min="10" max="10" width="20.140625" style="84" hidden="1" customWidth="1"/>
    <col min="11" max="11" width="8.85546875" style="84" hidden="1" customWidth="1"/>
    <col min="12" max="12" width="51.140625" style="270" customWidth="1"/>
    <col min="13" max="13" width="52.140625" style="270" customWidth="1"/>
    <col min="14" max="14" width="28.85546875" style="270" customWidth="1"/>
    <col min="15" max="18" width="9.140625" style="37"/>
    <col min="19" max="16384" width="9.140625" style="2"/>
  </cols>
  <sheetData>
    <row r="2" spans="1:14" ht="18" x14ac:dyDescent="0.2">
      <c r="B2" s="373" t="s">
        <v>80</v>
      </c>
      <c r="C2" s="373"/>
      <c r="D2" s="373"/>
      <c r="E2" s="305"/>
    </row>
    <row r="3" spans="1:14" ht="20.25" customHeight="1" thickBot="1" x14ac:dyDescent="0.25">
      <c r="B3" s="373" t="s">
        <v>81</v>
      </c>
      <c r="C3" s="373"/>
      <c r="D3" s="373"/>
      <c r="E3" s="305"/>
    </row>
    <row r="4" spans="1:14" ht="18" x14ac:dyDescent="0.2">
      <c r="A4" s="374" t="s">
        <v>82</v>
      </c>
      <c r="B4" s="375"/>
      <c r="C4" s="375"/>
      <c r="D4" s="375"/>
      <c r="E4" s="376"/>
    </row>
    <row r="5" spans="1:14" ht="34.5" customHeight="1" x14ac:dyDescent="0.2">
      <c r="A5" s="16"/>
      <c r="B5" s="377" t="s">
        <v>83</v>
      </c>
      <c r="C5" s="377"/>
      <c r="D5" s="377"/>
      <c r="E5" s="378"/>
    </row>
    <row r="6" spans="1:14" ht="162.75" customHeight="1" thickBot="1" x14ac:dyDescent="0.25">
      <c r="A6" s="21"/>
      <c r="B6" s="379" t="s">
        <v>84</v>
      </c>
      <c r="C6" s="379"/>
      <c r="D6" s="379"/>
      <c r="E6" s="380"/>
    </row>
    <row r="7" spans="1:14" ht="27" customHeight="1" thickBot="1" x14ac:dyDescent="0.25">
      <c r="B7" s="370"/>
      <c r="C7" s="370"/>
      <c r="D7" s="370"/>
      <c r="E7" s="370"/>
    </row>
    <row r="8" spans="1:14" ht="15" x14ac:dyDescent="0.2">
      <c r="B8" s="28" t="s">
        <v>85</v>
      </c>
      <c r="C8" s="306" t="s">
        <v>86</v>
      </c>
      <c r="D8" s="306" t="s">
        <v>87</v>
      </c>
      <c r="E8" s="306" t="s">
        <v>87</v>
      </c>
      <c r="F8" s="184"/>
      <c r="G8" s="184"/>
      <c r="H8" s="184"/>
      <c r="I8" s="184"/>
      <c r="J8" s="184"/>
      <c r="K8" s="187"/>
      <c r="L8" s="371" t="s">
        <v>88</v>
      </c>
      <c r="M8" s="372"/>
      <c r="N8" s="372"/>
    </row>
    <row r="9" spans="1:14" ht="15.75" customHeight="1" x14ac:dyDescent="0.2">
      <c r="B9" s="85" t="s">
        <v>89</v>
      </c>
      <c r="C9" s="129"/>
      <c r="D9" s="129"/>
      <c r="E9" s="129"/>
      <c r="F9" s="182"/>
      <c r="G9" s="182"/>
      <c r="H9" s="182"/>
      <c r="I9" s="182"/>
      <c r="J9" s="182"/>
      <c r="K9" s="188"/>
      <c r="L9" s="289" t="s">
        <v>90</v>
      </c>
      <c r="M9" s="290" t="s">
        <v>91</v>
      </c>
      <c r="N9" s="290" t="s">
        <v>92</v>
      </c>
    </row>
    <row r="10" spans="1:14" ht="15.75" customHeight="1" x14ac:dyDescent="0.2">
      <c r="B10" s="13" t="s">
        <v>93</v>
      </c>
      <c r="C10" s="46"/>
      <c r="D10" s="64" t="s">
        <v>94</v>
      </c>
      <c r="E10" s="64"/>
      <c r="F10" s="183"/>
      <c r="G10" s="183"/>
      <c r="H10" s="183"/>
      <c r="I10" s="183"/>
      <c r="J10" s="183"/>
      <c r="K10" s="189"/>
      <c r="L10" s="294"/>
      <c r="M10" s="295"/>
      <c r="N10" s="295"/>
    </row>
    <row r="11" spans="1:14" x14ac:dyDescent="0.2">
      <c r="B11" s="8" t="s">
        <v>95</v>
      </c>
      <c r="C11" s="145"/>
      <c r="D11" s="144" t="s">
        <v>96</v>
      </c>
      <c r="E11" s="146"/>
      <c r="F11" s="183">
        <f>IF(D11="Yes",1,0)</f>
        <v>1</v>
      </c>
      <c r="G11" s="183" t="str">
        <f>IF(F11&lt;&gt;0,B11,"")</f>
        <v>Social Inclusion and Equality</v>
      </c>
      <c r="H11" s="183" t="str">
        <f>IF(G11&lt;&gt;"","-","")</f>
        <v>-</v>
      </c>
      <c r="I11" s="183" t="str">
        <f>IF(G11&lt;&gt;"",CONCATENATE(H11,G11,CHAR(10)),"")</f>
        <v xml:space="preserve">-Social Inclusion and Equality
</v>
      </c>
      <c r="J11" s="183" t="str">
        <f>CONCATENATE(I11,I12,I13,I15,I18,I21)</f>
        <v xml:space="preserve">-Social Inclusion and Equality
-Productivity and Innovation
-Climate Change and Environmental Sustainability
-Institutional Capacity and the Rule of Law
</v>
      </c>
      <c r="K11" s="189"/>
      <c r="L11" s="273"/>
      <c r="M11" s="274"/>
      <c r="N11" s="274"/>
    </row>
    <row r="12" spans="1:14" outlineLevel="1" x14ac:dyDescent="0.2">
      <c r="B12" s="8" t="s">
        <v>97</v>
      </c>
      <c r="C12" s="145"/>
      <c r="D12" s="144" t="s">
        <v>96</v>
      </c>
      <c r="E12" s="146"/>
      <c r="F12" s="183">
        <f t="shared" ref="F12:F13" si="0">IF(D12="Yes",1,0)</f>
        <v>1</v>
      </c>
      <c r="G12" s="183" t="str">
        <f>IF(F12&lt;&gt;0,B12,"")</f>
        <v>Productivity and Innovation</v>
      </c>
      <c r="H12" s="183" t="str">
        <f>IF(G12&lt;&gt;"","-","")</f>
        <v>-</v>
      </c>
      <c r="I12" s="183" t="str">
        <f>IF(G12&lt;&gt;"",CONCATENATE(H12,G12,CHAR(10)),"")</f>
        <v xml:space="preserve">-Productivity and Innovation
</v>
      </c>
      <c r="J12" s="183"/>
      <c r="K12" s="189"/>
      <c r="L12" s="273"/>
      <c r="M12" s="274"/>
      <c r="N12" s="274"/>
    </row>
    <row r="13" spans="1:14" x14ac:dyDescent="0.2">
      <c r="B13" s="8" t="s">
        <v>98</v>
      </c>
      <c r="C13" s="145"/>
      <c r="D13" s="144"/>
      <c r="E13" s="146"/>
      <c r="F13" s="183">
        <f t="shared" si="0"/>
        <v>0</v>
      </c>
      <c r="G13" s="183" t="str">
        <f>IF(F13&lt;&gt;0,B13,"")</f>
        <v/>
      </c>
      <c r="H13" s="183" t="str">
        <f>IF(G13&lt;&gt;"","-","")</f>
        <v/>
      </c>
      <c r="I13" s="183" t="str">
        <f>IF(G13&lt;&gt;"",CONCATENATE(H13,G13,CHAR(10)),"")</f>
        <v/>
      </c>
      <c r="J13" s="183"/>
      <c r="K13" s="189"/>
      <c r="L13" s="273"/>
      <c r="M13" s="274"/>
      <c r="N13" s="274"/>
    </row>
    <row r="14" spans="1:14" ht="15.75" customHeight="1" x14ac:dyDescent="0.2">
      <c r="B14" s="13" t="s">
        <v>99</v>
      </c>
      <c r="C14" s="46"/>
      <c r="D14" s="64" t="s">
        <v>94</v>
      </c>
      <c r="E14" s="64"/>
      <c r="F14" s="183"/>
      <c r="G14" s="183"/>
      <c r="H14" s="183"/>
      <c r="I14" s="183"/>
      <c r="J14" s="183"/>
      <c r="K14" s="189"/>
      <c r="L14" s="294"/>
      <c r="M14" s="295"/>
      <c r="N14" s="295"/>
    </row>
    <row r="15" spans="1:14" ht="15.75" customHeight="1" x14ac:dyDescent="0.2">
      <c r="B15" s="8" t="s">
        <v>100</v>
      </c>
      <c r="C15" s="7"/>
      <c r="D15" s="197" t="str">
        <f>IF(OR(D16="Yes",D17="Yes"),"Yes","")</f>
        <v/>
      </c>
      <c r="E15" s="146"/>
      <c r="F15" s="183">
        <f t="shared" ref="F15" si="1">IF(D15="Yes",1,0)</f>
        <v>0</v>
      </c>
      <c r="G15" s="183" t="str">
        <f t="shared" ref="G15" si="2">IF(F15&lt;&gt;0,B15,"")</f>
        <v/>
      </c>
      <c r="H15" s="183" t="str">
        <f t="shared" ref="H15" si="3">IF(G15&lt;&gt;"","-","")</f>
        <v/>
      </c>
      <c r="I15" s="183" t="str">
        <f t="shared" ref="I15" si="4">IF(G15&lt;&gt;"",CONCATENATE(H15,G15,CHAR(10)),"")</f>
        <v/>
      </c>
      <c r="J15" s="183"/>
      <c r="K15" s="189"/>
      <c r="L15" s="273"/>
      <c r="M15" s="274"/>
      <c r="N15" s="274"/>
    </row>
    <row r="16" spans="1:14" x14ac:dyDescent="0.2">
      <c r="B16" s="10" t="s">
        <v>101</v>
      </c>
      <c r="C16" s="196"/>
      <c r="D16" s="56"/>
      <c r="E16" s="146"/>
      <c r="F16" s="183"/>
      <c r="G16" s="183"/>
      <c r="H16" s="183"/>
      <c r="I16" s="183"/>
      <c r="J16" s="183"/>
      <c r="K16" s="189"/>
      <c r="L16" s="273"/>
      <c r="M16" s="274"/>
      <c r="N16" s="274"/>
    </row>
    <row r="17" spans="2:14" x14ac:dyDescent="0.2">
      <c r="B17" s="10" t="s">
        <v>102</v>
      </c>
      <c r="C17" s="196"/>
      <c r="D17" s="56"/>
      <c r="E17" s="146"/>
      <c r="F17" s="183"/>
      <c r="G17" s="183"/>
      <c r="H17" s="183"/>
      <c r="I17" s="183"/>
      <c r="J17" s="183"/>
      <c r="K17" s="189"/>
      <c r="L17" s="273"/>
      <c r="M17" s="274"/>
      <c r="N17" s="274"/>
    </row>
    <row r="18" spans="2:14" ht="15.75" customHeight="1" x14ac:dyDescent="0.2">
      <c r="B18" s="8" t="s">
        <v>103</v>
      </c>
      <c r="C18" s="7"/>
      <c r="D18" s="197" t="str">
        <f>IF(OR(D19="Yes",D20="Yes"),"Yes","")</f>
        <v>Yes</v>
      </c>
      <c r="E18" s="146"/>
      <c r="F18" s="183">
        <f t="shared" ref="F18:F21" si="5">IF(D18="Yes",1,0)</f>
        <v>1</v>
      </c>
      <c r="G18" s="183" t="str">
        <f t="shared" ref="G18:G21" si="6">IF(F18&lt;&gt;0,B18,"")</f>
        <v>Climate Change and Environmental Sustainability</v>
      </c>
      <c r="H18" s="183" t="str">
        <f t="shared" ref="H18:H21" si="7">IF(G18&lt;&gt;"","-","")</f>
        <v>-</v>
      </c>
      <c r="I18" s="183" t="str">
        <f t="shared" ref="I18:I21" si="8">IF(G18&lt;&gt;"",CONCATENATE(H18,G18,CHAR(10)),"")</f>
        <v xml:space="preserve">-Climate Change and Environmental Sustainability
</v>
      </c>
      <c r="J18" s="183"/>
      <c r="K18" s="189"/>
      <c r="L18" s="273"/>
      <c r="M18" s="274"/>
      <c r="N18" s="274"/>
    </row>
    <row r="19" spans="2:14" x14ac:dyDescent="0.2">
      <c r="B19" s="10" t="s">
        <v>104</v>
      </c>
      <c r="C19" s="196"/>
      <c r="D19" s="56" t="s">
        <v>96</v>
      </c>
      <c r="E19" s="146"/>
      <c r="F19" s="183"/>
      <c r="G19" s="183"/>
      <c r="H19" s="183"/>
      <c r="I19" s="183"/>
      <c r="J19" s="183"/>
      <c r="K19" s="189"/>
      <c r="L19" s="273"/>
      <c r="M19" s="274"/>
      <c r="N19" s="274"/>
    </row>
    <row r="20" spans="2:14" x14ac:dyDescent="0.2">
      <c r="B20" s="10" t="s">
        <v>105</v>
      </c>
      <c r="C20" s="196"/>
      <c r="D20" s="56" t="s">
        <v>96</v>
      </c>
      <c r="E20" s="146"/>
      <c r="F20" s="183"/>
      <c r="G20" s="183"/>
      <c r="H20" s="183"/>
      <c r="I20" s="183"/>
      <c r="J20" s="183"/>
      <c r="K20" s="189"/>
      <c r="L20" s="273"/>
      <c r="M20" s="274"/>
      <c r="N20" s="274"/>
    </row>
    <row r="21" spans="2:14" outlineLevel="1" x14ac:dyDescent="0.2">
      <c r="B21" s="8" t="s">
        <v>106</v>
      </c>
      <c r="C21" s="145"/>
      <c r="D21" s="144" t="s">
        <v>96</v>
      </c>
      <c r="E21" s="146"/>
      <c r="F21" s="183">
        <f t="shared" si="5"/>
        <v>1</v>
      </c>
      <c r="G21" s="183" t="str">
        <f t="shared" si="6"/>
        <v>Institutional Capacity and the Rule of Law</v>
      </c>
      <c r="H21" s="183" t="str">
        <f t="shared" si="7"/>
        <v>-</v>
      </c>
      <c r="I21" s="183" t="str">
        <f t="shared" si="8"/>
        <v xml:space="preserve">-Institutional Capacity and the Rule of Law
</v>
      </c>
      <c r="J21" s="183"/>
      <c r="K21" s="189"/>
      <c r="L21" s="273"/>
      <c r="M21" s="274"/>
      <c r="N21" s="274"/>
    </row>
    <row r="22" spans="2:14" ht="15.75" customHeight="1" x14ac:dyDescent="0.2">
      <c r="B22" s="13" t="s">
        <v>107</v>
      </c>
      <c r="C22" s="63"/>
      <c r="D22" s="64" t="s">
        <v>108</v>
      </c>
      <c r="E22" s="64" t="s">
        <v>109</v>
      </c>
      <c r="F22" s="183"/>
      <c r="G22" s="183"/>
      <c r="H22" s="183"/>
      <c r="I22" s="183"/>
      <c r="J22" s="183"/>
      <c r="K22" s="189" t="str">
        <f>CONCATENATE(J23,J24,J25,J26,J27,J28,J29,J30,J31,J32,J33,J34,J35,J36,J37,J38,J39,J40,J41,J42,J43,J44,J45,J46,J47,J48,J49,J50,J51,J52,J53,J54,J55,J56,J57,J58,J59,J60,J61,J62,J63,J64,J65,J66,J67,J68,J69,J70,J71,J72,J73,J74,J75,J76,J77,J78)</f>
        <v xml:space="preserve">-Households with new or upgraded access to drinking water (#)*
-Households with new or upgraded access to sanitation (#)*
-Installed power generation from renewable energy sources (%)*
-Households with wastewater treatment (#)*
</v>
      </c>
      <c r="L22" s="294"/>
      <c r="M22" s="295"/>
      <c r="N22" s="295"/>
    </row>
    <row r="23" spans="2:14" outlineLevel="1" x14ac:dyDescent="0.2">
      <c r="B23" s="10" t="s">
        <v>110</v>
      </c>
      <c r="C23" s="36"/>
      <c r="D23" s="36"/>
      <c r="E23" s="115"/>
      <c r="F23" s="183">
        <f t="shared" ref="F23:F29" si="9">IF(D23="Yes",1,0)</f>
        <v>0</v>
      </c>
      <c r="G23" s="183" t="str">
        <f>IF(F23=1,B23,"")</f>
        <v/>
      </c>
      <c r="H23" s="183" t="str">
        <f t="shared" ref="H23:H78" si="10">IF(G23&lt;&gt;"","-","")</f>
        <v/>
      </c>
      <c r="I23" s="183" t="str">
        <f>IF(E23="Yes","*","")</f>
        <v/>
      </c>
      <c r="J23" s="183" t="str">
        <f t="shared" ref="J23:J26" si="11">IF(G23&lt;&gt;"",CONCATENATE(H23,G23,I23,CHAR(10)),"")</f>
        <v/>
      </c>
      <c r="K23" s="189"/>
      <c r="L23" s="273"/>
      <c r="M23" s="274"/>
      <c r="N23" s="274"/>
    </row>
    <row r="24" spans="2:14" outlineLevel="1" x14ac:dyDescent="0.2">
      <c r="B24" s="10" t="s">
        <v>111</v>
      </c>
      <c r="C24" s="36"/>
      <c r="D24" s="36"/>
      <c r="E24" s="115"/>
      <c r="F24" s="183">
        <f t="shared" si="9"/>
        <v>0</v>
      </c>
      <c r="G24" s="183" t="str">
        <f t="shared" ref="G24:G78" si="12">IF(F24=1,B24,"")</f>
        <v/>
      </c>
      <c r="H24" s="183" t="str">
        <f t="shared" si="10"/>
        <v/>
      </c>
      <c r="I24" s="183" t="str">
        <f t="shared" ref="I24:I78" si="13">IF(E24="Yes","*","")</f>
        <v/>
      </c>
      <c r="J24" s="183" t="str">
        <f t="shared" si="11"/>
        <v/>
      </c>
      <c r="K24" s="189"/>
      <c r="L24" s="273"/>
      <c r="M24" s="274"/>
      <c r="N24" s="274"/>
    </row>
    <row r="25" spans="2:14" outlineLevel="1" x14ac:dyDescent="0.2">
      <c r="B25" s="10" t="s">
        <v>112</v>
      </c>
      <c r="C25" s="36"/>
      <c r="D25" s="115"/>
      <c r="E25" s="36"/>
      <c r="F25" s="183">
        <f>IF(E25="Yes",1,0)</f>
        <v>0</v>
      </c>
      <c r="G25" s="183" t="str">
        <f t="shared" si="12"/>
        <v/>
      </c>
      <c r="H25" s="183" t="str">
        <f t="shared" si="10"/>
        <v/>
      </c>
      <c r="I25" s="183" t="str">
        <f t="shared" si="13"/>
        <v/>
      </c>
      <c r="J25" s="183" t="str">
        <f t="shared" si="11"/>
        <v/>
      </c>
      <c r="K25" s="189"/>
      <c r="L25" s="273"/>
      <c r="M25" s="274"/>
      <c r="N25" s="274"/>
    </row>
    <row r="26" spans="2:14" outlineLevel="1" x14ac:dyDescent="0.2">
      <c r="B26" s="10" t="s">
        <v>113</v>
      </c>
      <c r="C26" s="36"/>
      <c r="D26" s="115"/>
      <c r="E26" s="36"/>
      <c r="F26" s="183">
        <f t="shared" ref="F26:F27" si="14">IF(E26="Yes",1,0)</f>
        <v>0</v>
      </c>
      <c r="G26" s="183" t="str">
        <f t="shared" si="12"/>
        <v/>
      </c>
      <c r="H26" s="183" t="str">
        <f t="shared" si="10"/>
        <v/>
      </c>
      <c r="I26" s="183" t="str">
        <f t="shared" si="13"/>
        <v/>
      </c>
      <c r="J26" s="183" t="str">
        <f t="shared" si="11"/>
        <v/>
      </c>
      <c r="K26" s="189"/>
      <c r="L26" s="273"/>
      <c r="M26" s="274"/>
      <c r="N26" s="274"/>
    </row>
    <row r="27" spans="2:14" outlineLevel="1" x14ac:dyDescent="0.2">
      <c r="B27" s="10" t="s">
        <v>114</v>
      </c>
      <c r="C27" s="36"/>
      <c r="D27" s="115"/>
      <c r="E27" s="36"/>
      <c r="F27" s="183">
        <f t="shared" si="14"/>
        <v>0</v>
      </c>
      <c r="G27" s="183" t="str">
        <f t="shared" si="12"/>
        <v/>
      </c>
      <c r="H27" s="183" t="str">
        <f t="shared" si="10"/>
        <v/>
      </c>
      <c r="I27" s="183" t="str">
        <f t="shared" si="13"/>
        <v/>
      </c>
      <c r="J27" s="183" t="str">
        <f>IF(G27&lt;&gt;"",CONCATENATE(H27,G27,I27,CHAR(10)),"")</f>
        <v/>
      </c>
      <c r="K27" s="189"/>
      <c r="L27" s="273"/>
      <c r="M27" s="274"/>
      <c r="N27" s="274"/>
    </row>
    <row r="28" spans="2:14" outlineLevel="1" x14ac:dyDescent="0.2">
      <c r="B28" s="10" t="s">
        <v>115</v>
      </c>
      <c r="C28" s="36"/>
      <c r="D28" s="36"/>
      <c r="E28" s="115"/>
      <c r="F28" s="183">
        <f t="shared" si="9"/>
        <v>0</v>
      </c>
      <c r="G28" s="183" t="str">
        <f t="shared" si="12"/>
        <v/>
      </c>
      <c r="H28" s="183" t="str">
        <f t="shared" si="10"/>
        <v/>
      </c>
      <c r="I28" s="183" t="str">
        <f t="shared" si="13"/>
        <v/>
      </c>
      <c r="J28" s="183" t="str">
        <f t="shared" ref="J28:J78" si="15">IF(G28&lt;&gt;"",CONCATENATE(H28,G28,I28,CHAR(10)),"")</f>
        <v/>
      </c>
      <c r="K28" s="189"/>
      <c r="L28" s="273"/>
      <c r="M28" s="274"/>
      <c r="N28" s="274"/>
    </row>
    <row r="29" spans="2:14" outlineLevel="1" x14ac:dyDescent="0.2">
      <c r="B29" s="10" t="s">
        <v>116</v>
      </c>
      <c r="C29" s="36"/>
      <c r="D29" s="36"/>
      <c r="E29" s="115"/>
      <c r="F29" s="183">
        <f t="shared" si="9"/>
        <v>0</v>
      </c>
      <c r="G29" s="183" t="str">
        <f t="shared" si="12"/>
        <v/>
      </c>
      <c r="H29" s="183" t="str">
        <f t="shared" si="10"/>
        <v/>
      </c>
      <c r="I29" s="183" t="str">
        <f t="shared" si="13"/>
        <v/>
      </c>
      <c r="J29" s="183" t="str">
        <f t="shared" si="15"/>
        <v/>
      </c>
      <c r="K29" s="189"/>
      <c r="L29" s="273"/>
      <c r="M29" s="274"/>
      <c r="N29" s="274"/>
    </row>
    <row r="30" spans="2:14" outlineLevel="1" x14ac:dyDescent="0.2">
      <c r="B30" s="10" t="s">
        <v>117</v>
      </c>
      <c r="C30" s="36"/>
      <c r="D30" s="115"/>
      <c r="E30" s="36"/>
      <c r="F30" s="183">
        <f t="shared" ref="F30:F78" si="16">IF(E30="Yes",1,0)</f>
        <v>0</v>
      </c>
      <c r="G30" s="183" t="str">
        <f t="shared" si="12"/>
        <v/>
      </c>
      <c r="H30" s="183" t="str">
        <f t="shared" si="10"/>
        <v/>
      </c>
      <c r="I30" s="183" t="str">
        <f t="shared" si="13"/>
        <v/>
      </c>
      <c r="J30" s="183" t="str">
        <f t="shared" si="15"/>
        <v/>
      </c>
      <c r="K30" s="189"/>
      <c r="L30" s="273"/>
      <c r="M30" s="274"/>
      <c r="N30" s="274"/>
    </row>
    <row r="31" spans="2:14" outlineLevel="1" x14ac:dyDescent="0.2">
      <c r="B31" s="10" t="s">
        <v>118</v>
      </c>
      <c r="C31" s="36"/>
      <c r="D31" s="115"/>
      <c r="E31" s="36"/>
      <c r="F31" s="183">
        <f t="shared" si="16"/>
        <v>0</v>
      </c>
      <c r="G31" s="183" t="str">
        <f t="shared" si="12"/>
        <v/>
      </c>
      <c r="H31" s="183" t="str">
        <f t="shared" si="10"/>
        <v/>
      </c>
      <c r="I31" s="183" t="str">
        <f t="shared" si="13"/>
        <v/>
      </c>
      <c r="J31" s="183" t="str">
        <f t="shared" si="15"/>
        <v/>
      </c>
      <c r="K31" s="189"/>
      <c r="L31" s="273"/>
      <c r="M31" s="274"/>
      <c r="N31" s="274"/>
    </row>
    <row r="32" spans="2:14" outlineLevel="1" x14ac:dyDescent="0.2">
      <c r="B32" s="10" t="s">
        <v>119</v>
      </c>
      <c r="C32" s="36"/>
      <c r="D32" s="115"/>
      <c r="E32" s="36"/>
      <c r="F32" s="183">
        <f t="shared" si="16"/>
        <v>0</v>
      </c>
      <c r="G32" s="183" t="str">
        <f t="shared" si="12"/>
        <v/>
      </c>
      <c r="H32" s="183" t="str">
        <f t="shared" si="10"/>
        <v/>
      </c>
      <c r="I32" s="183" t="str">
        <f t="shared" si="13"/>
        <v/>
      </c>
      <c r="J32" s="183" t="str">
        <f t="shared" si="15"/>
        <v/>
      </c>
      <c r="K32" s="189"/>
      <c r="L32" s="273"/>
      <c r="M32" s="274"/>
      <c r="N32" s="274"/>
    </row>
    <row r="33" spans="2:14" outlineLevel="1" x14ac:dyDescent="0.2">
      <c r="B33" s="10" t="s">
        <v>120</v>
      </c>
      <c r="C33" s="36"/>
      <c r="D33" s="115"/>
      <c r="E33" s="36"/>
      <c r="F33" s="183">
        <f t="shared" si="16"/>
        <v>0</v>
      </c>
      <c r="G33" s="183" t="str">
        <f t="shared" si="12"/>
        <v/>
      </c>
      <c r="H33" s="183" t="str">
        <f t="shared" si="10"/>
        <v/>
      </c>
      <c r="I33" s="183" t="str">
        <f t="shared" si="13"/>
        <v/>
      </c>
      <c r="J33" s="183" t="str">
        <f t="shared" si="15"/>
        <v/>
      </c>
      <c r="K33" s="189"/>
      <c r="L33" s="273"/>
      <c r="M33" s="274"/>
      <c r="N33" s="274"/>
    </row>
    <row r="34" spans="2:14" outlineLevel="1" x14ac:dyDescent="0.2">
      <c r="B34" s="10" t="s">
        <v>121</v>
      </c>
      <c r="C34" s="36"/>
      <c r="D34" s="115"/>
      <c r="E34" s="36"/>
      <c r="F34" s="183">
        <f t="shared" si="16"/>
        <v>0</v>
      </c>
      <c r="G34" s="183" t="str">
        <f t="shared" si="12"/>
        <v/>
      </c>
      <c r="H34" s="183" t="str">
        <f t="shared" si="10"/>
        <v/>
      </c>
      <c r="I34" s="183" t="str">
        <f t="shared" si="13"/>
        <v/>
      </c>
      <c r="J34" s="183" t="str">
        <f t="shared" si="15"/>
        <v/>
      </c>
      <c r="K34" s="189"/>
      <c r="L34" s="273"/>
      <c r="M34" s="274"/>
      <c r="N34" s="274"/>
    </row>
    <row r="35" spans="2:14" outlineLevel="1" x14ac:dyDescent="0.2">
      <c r="B35" s="10" t="s">
        <v>122</v>
      </c>
      <c r="C35" s="36"/>
      <c r="D35" s="115"/>
      <c r="E35" s="36"/>
      <c r="F35" s="183">
        <f t="shared" si="16"/>
        <v>0</v>
      </c>
      <c r="G35" s="183" t="str">
        <f t="shared" si="12"/>
        <v/>
      </c>
      <c r="H35" s="183" t="str">
        <f t="shared" si="10"/>
        <v/>
      </c>
      <c r="I35" s="183" t="str">
        <f t="shared" si="13"/>
        <v/>
      </c>
      <c r="J35" s="183" t="str">
        <f t="shared" si="15"/>
        <v/>
      </c>
      <c r="K35" s="189"/>
      <c r="L35" s="273"/>
      <c r="M35" s="37"/>
      <c r="N35" s="274"/>
    </row>
    <row r="36" spans="2:14" outlineLevel="1" x14ac:dyDescent="0.2">
      <c r="B36" s="10" t="s">
        <v>123</v>
      </c>
      <c r="C36" s="36"/>
      <c r="D36" s="115"/>
      <c r="E36" s="36"/>
      <c r="F36" s="183">
        <f t="shared" si="16"/>
        <v>0</v>
      </c>
      <c r="G36" s="183" t="str">
        <f t="shared" si="12"/>
        <v/>
      </c>
      <c r="H36" s="183" t="str">
        <f t="shared" si="10"/>
        <v/>
      </c>
      <c r="I36" s="183" t="str">
        <f t="shared" si="13"/>
        <v/>
      </c>
      <c r="J36" s="183" t="str">
        <f t="shared" si="15"/>
        <v/>
      </c>
      <c r="K36" s="189"/>
      <c r="L36" s="273"/>
      <c r="M36" s="274"/>
      <c r="N36" s="274"/>
    </row>
    <row r="37" spans="2:14" outlineLevel="1" x14ac:dyDescent="0.2">
      <c r="B37" s="10" t="s">
        <v>124</v>
      </c>
      <c r="C37" s="36"/>
      <c r="D37" s="115"/>
      <c r="E37" s="36"/>
      <c r="F37" s="183">
        <f t="shared" si="16"/>
        <v>0</v>
      </c>
      <c r="G37" s="183" t="str">
        <f t="shared" si="12"/>
        <v/>
      </c>
      <c r="H37" s="183" t="str">
        <f t="shared" si="10"/>
        <v/>
      </c>
      <c r="I37" s="183" t="str">
        <f t="shared" si="13"/>
        <v/>
      </c>
      <c r="J37" s="183" t="str">
        <f t="shared" si="15"/>
        <v/>
      </c>
      <c r="K37" s="189"/>
      <c r="L37" s="273"/>
      <c r="M37" s="274"/>
      <c r="N37" s="274"/>
    </row>
    <row r="38" spans="2:14" outlineLevel="1" x14ac:dyDescent="0.2">
      <c r="B38" s="10" t="s">
        <v>125</v>
      </c>
      <c r="C38" s="36"/>
      <c r="D38" s="115"/>
      <c r="E38" s="36"/>
      <c r="F38" s="183">
        <f t="shared" si="16"/>
        <v>0</v>
      </c>
      <c r="G38" s="183" t="str">
        <f t="shared" si="12"/>
        <v/>
      </c>
      <c r="H38" s="183" t="str">
        <f t="shared" si="10"/>
        <v/>
      </c>
      <c r="I38" s="183" t="str">
        <f t="shared" si="13"/>
        <v/>
      </c>
      <c r="J38" s="183" t="str">
        <f t="shared" si="15"/>
        <v/>
      </c>
      <c r="K38" s="189"/>
      <c r="L38" s="273"/>
      <c r="M38" s="274"/>
      <c r="N38" s="274"/>
    </row>
    <row r="39" spans="2:14" outlineLevel="1" x14ac:dyDescent="0.2">
      <c r="B39" s="10" t="s">
        <v>126</v>
      </c>
      <c r="C39" s="36"/>
      <c r="D39" s="115"/>
      <c r="E39" s="36"/>
      <c r="F39" s="183">
        <f t="shared" si="16"/>
        <v>0</v>
      </c>
      <c r="G39" s="183" t="str">
        <f t="shared" si="12"/>
        <v/>
      </c>
      <c r="H39" s="183" t="str">
        <f t="shared" si="10"/>
        <v/>
      </c>
      <c r="I39" s="183" t="str">
        <f t="shared" si="13"/>
        <v/>
      </c>
      <c r="J39" s="183" t="str">
        <f t="shared" si="15"/>
        <v/>
      </c>
      <c r="K39" s="189"/>
      <c r="L39" s="273"/>
      <c r="M39" s="274"/>
      <c r="N39" s="274"/>
    </row>
    <row r="40" spans="2:14" outlineLevel="1" x14ac:dyDescent="0.2">
      <c r="B40" s="10" t="s">
        <v>127</v>
      </c>
      <c r="C40" s="36"/>
      <c r="D40" s="115"/>
      <c r="E40" s="36" t="s">
        <v>96</v>
      </c>
      <c r="F40" s="183">
        <f t="shared" si="16"/>
        <v>1</v>
      </c>
      <c r="G40" s="183" t="str">
        <f t="shared" si="12"/>
        <v>Households with new or upgraded access to drinking water (#)</v>
      </c>
      <c r="H40" s="183" t="str">
        <f t="shared" si="10"/>
        <v>-</v>
      </c>
      <c r="I40" s="183" t="str">
        <f t="shared" si="13"/>
        <v>*</v>
      </c>
      <c r="J40" s="183" t="str">
        <f t="shared" si="15"/>
        <v xml:space="preserve">-Households with new or upgraded access to drinking water (#)*
</v>
      </c>
      <c r="K40" s="189"/>
      <c r="L40" s="273"/>
      <c r="M40" s="274"/>
      <c r="N40" s="274"/>
    </row>
    <row r="41" spans="2:14" x14ac:dyDescent="0.2">
      <c r="B41" s="10" t="s">
        <v>128</v>
      </c>
      <c r="C41" s="36"/>
      <c r="D41" s="115"/>
      <c r="E41" s="36" t="s">
        <v>96</v>
      </c>
      <c r="F41" s="183">
        <f t="shared" si="16"/>
        <v>1</v>
      </c>
      <c r="G41" s="183" t="str">
        <f t="shared" si="12"/>
        <v>Households with new or upgraded access to sanitation (#)</v>
      </c>
      <c r="H41" s="183" t="str">
        <f t="shared" si="10"/>
        <v>-</v>
      </c>
      <c r="I41" s="183" t="str">
        <f t="shared" si="13"/>
        <v>*</v>
      </c>
      <c r="J41" s="183" t="str">
        <f t="shared" si="15"/>
        <v xml:space="preserve">-Households with new or upgraded access to sanitation (#)*
</v>
      </c>
      <c r="K41" s="189"/>
      <c r="L41" s="273"/>
      <c r="M41" s="274"/>
      <c r="N41" s="274"/>
    </row>
    <row r="42" spans="2:14" outlineLevel="1" x14ac:dyDescent="0.2">
      <c r="B42" s="10" t="s">
        <v>129</v>
      </c>
      <c r="C42" s="36"/>
      <c r="D42" s="115"/>
      <c r="E42" s="36" t="s">
        <v>96</v>
      </c>
      <c r="F42" s="183">
        <f t="shared" si="16"/>
        <v>1</v>
      </c>
      <c r="G42" s="183" t="str">
        <f t="shared" si="12"/>
        <v>Installed power generation from renewable energy sources (%)</v>
      </c>
      <c r="H42" s="183" t="str">
        <f t="shared" si="10"/>
        <v>-</v>
      </c>
      <c r="I42" s="183" t="str">
        <f t="shared" si="13"/>
        <v>*</v>
      </c>
      <c r="J42" s="183" t="str">
        <f t="shared" si="15"/>
        <v xml:space="preserve">-Installed power generation from renewable energy sources (%)*
</v>
      </c>
      <c r="K42" s="189"/>
      <c r="L42" s="273"/>
      <c r="M42" s="274"/>
      <c r="N42" s="274"/>
    </row>
    <row r="43" spans="2:14" outlineLevel="1" x14ac:dyDescent="0.2">
      <c r="B43" s="10" t="s">
        <v>130</v>
      </c>
      <c r="C43" s="36"/>
      <c r="D43" s="115"/>
      <c r="E43" s="36"/>
      <c r="F43" s="183">
        <f t="shared" si="16"/>
        <v>0</v>
      </c>
      <c r="G43" s="183" t="str">
        <f t="shared" si="12"/>
        <v/>
      </c>
      <c r="H43" s="183" t="str">
        <f t="shared" si="10"/>
        <v/>
      </c>
      <c r="I43" s="183" t="str">
        <f t="shared" si="13"/>
        <v/>
      </c>
      <c r="J43" s="183" t="str">
        <f t="shared" si="15"/>
        <v/>
      </c>
      <c r="K43" s="189"/>
      <c r="L43" s="273"/>
      <c r="M43" s="274"/>
      <c r="N43" s="274"/>
    </row>
    <row r="44" spans="2:14" outlineLevel="1" x14ac:dyDescent="0.2">
      <c r="B44" s="10" t="s">
        <v>131</v>
      </c>
      <c r="C44" s="36"/>
      <c r="D44" s="115"/>
      <c r="E44" s="36"/>
      <c r="F44" s="183">
        <f t="shared" si="16"/>
        <v>0</v>
      </c>
      <c r="G44" s="183" t="str">
        <f t="shared" si="12"/>
        <v/>
      </c>
      <c r="H44" s="183" t="str">
        <f t="shared" si="10"/>
        <v/>
      </c>
      <c r="I44" s="183" t="str">
        <f t="shared" si="13"/>
        <v/>
      </c>
      <c r="J44" s="183" t="str">
        <f t="shared" si="15"/>
        <v/>
      </c>
      <c r="K44" s="189"/>
      <c r="L44" s="273"/>
      <c r="M44" s="274"/>
      <c r="N44" s="274"/>
    </row>
    <row r="45" spans="2:14" outlineLevel="1" x14ac:dyDescent="0.2">
      <c r="B45" s="10" t="s">
        <v>132</v>
      </c>
      <c r="C45" s="36"/>
      <c r="D45" s="115"/>
      <c r="E45" s="36"/>
      <c r="F45" s="183">
        <f t="shared" si="16"/>
        <v>0</v>
      </c>
      <c r="G45" s="183" t="str">
        <f t="shared" si="12"/>
        <v/>
      </c>
      <c r="H45" s="183" t="str">
        <f t="shared" si="10"/>
        <v/>
      </c>
      <c r="I45" s="183" t="str">
        <f t="shared" si="13"/>
        <v/>
      </c>
      <c r="J45" s="183" t="str">
        <f t="shared" si="15"/>
        <v/>
      </c>
      <c r="K45" s="189"/>
      <c r="L45" s="273"/>
      <c r="M45" s="274"/>
      <c r="N45" s="274"/>
    </row>
    <row r="46" spans="2:14" outlineLevel="1" x14ac:dyDescent="0.2">
      <c r="B46" s="10" t="s">
        <v>133</v>
      </c>
      <c r="C46" s="36"/>
      <c r="D46" s="115"/>
      <c r="E46" s="36"/>
      <c r="F46" s="183">
        <f t="shared" si="16"/>
        <v>0</v>
      </c>
      <c r="G46" s="183" t="str">
        <f t="shared" si="12"/>
        <v/>
      </c>
      <c r="H46" s="183" t="str">
        <f t="shared" si="10"/>
        <v/>
      </c>
      <c r="I46" s="183" t="str">
        <f t="shared" si="13"/>
        <v/>
      </c>
      <c r="J46" s="183" t="str">
        <f t="shared" si="15"/>
        <v/>
      </c>
      <c r="K46" s="189"/>
      <c r="L46" s="273"/>
      <c r="M46" s="274"/>
      <c r="N46" s="274"/>
    </row>
    <row r="47" spans="2:14" ht="25.5" outlineLevel="1" x14ac:dyDescent="0.2">
      <c r="B47" s="10" t="s">
        <v>134</v>
      </c>
      <c r="C47" s="36"/>
      <c r="D47" s="115"/>
      <c r="E47" s="36"/>
      <c r="F47" s="183">
        <f t="shared" si="16"/>
        <v>0</v>
      </c>
      <c r="G47" s="183" t="str">
        <f t="shared" si="12"/>
        <v/>
      </c>
      <c r="H47" s="183" t="str">
        <f t="shared" si="10"/>
        <v/>
      </c>
      <c r="I47" s="183" t="str">
        <f t="shared" si="13"/>
        <v/>
      </c>
      <c r="J47" s="183" t="str">
        <f t="shared" si="15"/>
        <v/>
      </c>
      <c r="K47" s="189"/>
      <c r="L47" s="273"/>
      <c r="M47" s="274"/>
      <c r="N47" s="274"/>
    </row>
    <row r="48" spans="2:14" outlineLevel="1" x14ac:dyDescent="0.2">
      <c r="B48" s="13" t="s">
        <v>135</v>
      </c>
      <c r="C48" s="63"/>
      <c r="D48" s="64" t="s">
        <v>108</v>
      </c>
      <c r="E48" s="64" t="s">
        <v>109</v>
      </c>
      <c r="F48" s="183"/>
      <c r="G48" s="183"/>
      <c r="H48" s="183"/>
      <c r="I48" s="183"/>
      <c r="J48" s="183"/>
      <c r="K48" s="189" t="str">
        <f>CONCATENATE(J49,J50,J51,J52,J53,J54,J55,J56,J57,J58,J59,J60,J61,J62,J63,J64,J66,J67,J69,J70,J71,J72,J78,J79,J80,J82,J83,J84,J85,J86,J87,J88,J89,J90,J91,J92,J93,J94,J95,J96,J97,J98,J99,J100,J101,J102,J103,J104)</f>
        <v xml:space="preserve">-Households with wastewater treatment (#)*
</v>
      </c>
      <c r="L48" s="294"/>
      <c r="M48" s="295"/>
      <c r="N48" s="295"/>
    </row>
    <row r="49" spans="2:14" outlineLevel="1" x14ac:dyDescent="0.2">
      <c r="B49" s="10" t="s">
        <v>136</v>
      </c>
      <c r="C49" s="36"/>
      <c r="D49" s="115"/>
      <c r="E49" s="36"/>
      <c r="F49" s="183">
        <f t="shared" si="16"/>
        <v>0</v>
      </c>
      <c r="G49" s="183" t="str">
        <f t="shared" si="12"/>
        <v/>
      </c>
      <c r="H49" s="183" t="str">
        <f t="shared" si="10"/>
        <v/>
      </c>
      <c r="I49" s="183" t="str">
        <f t="shared" si="13"/>
        <v/>
      </c>
      <c r="J49" s="183" t="str">
        <f t="shared" si="15"/>
        <v/>
      </c>
      <c r="K49" s="189"/>
      <c r="L49" s="273"/>
      <c r="M49" s="274"/>
      <c r="N49" s="274"/>
    </row>
    <row r="50" spans="2:14" outlineLevel="1" x14ac:dyDescent="0.2">
      <c r="B50" s="10" t="s">
        <v>137</v>
      </c>
      <c r="C50" s="36"/>
      <c r="D50" s="115"/>
      <c r="E50" s="36"/>
      <c r="F50" s="183">
        <f t="shared" si="16"/>
        <v>0</v>
      </c>
      <c r="G50" s="183" t="str">
        <f t="shared" si="12"/>
        <v/>
      </c>
      <c r="H50" s="183" t="str">
        <f t="shared" si="10"/>
        <v/>
      </c>
      <c r="I50" s="183" t="str">
        <f t="shared" si="13"/>
        <v/>
      </c>
      <c r="J50" s="183" t="str">
        <f t="shared" si="15"/>
        <v/>
      </c>
      <c r="K50" s="189"/>
      <c r="L50" s="273"/>
      <c r="M50" s="274"/>
      <c r="N50" s="274"/>
    </row>
    <row r="51" spans="2:14" outlineLevel="1" x14ac:dyDescent="0.2">
      <c r="B51" s="10" t="s">
        <v>138</v>
      </c>
      <c r="C51" s="36"/>
      <c r="D51" s="115"/>
      <c r="E51" s="36"/>
      <c r="F51" s="183">
        <f t="shared" si="16"/>
        <v>0</v>
      </c>
      <c r="G51" s="183" t="str">
        <f t="shared" si="12"/>
        <v/>
      </c>
      <c r="H51" s="183" t="str">
        <f t="shared" si="10"/>
        <v/>
      </c>
      <c r="I51" s="183" t="str">
        <f t="shared" si="13"/>
        <v/>
      </c>
      <c r="J51" s="183" t="str">
        <f t="shared" si="15"/>
        <v/>
      </c>
      <c r="K51" s="189"/>
      <c r="L51" s="273"/>
      <c r="M51" s="274"/>
      <c r="N51" s="274"/>
    </row>
    <row r="52" spans="2:14" outlineLevel="1" x14ac:dyDescent="0.2">
      <c r="B52" s="10" t="s">
        <v>139</v>
      </c>
      <c r="C52" s="36"/>
      <c r="D52" s="115"/>
      <c r="E52" s="36" t="s">
        <v>96</v>
      </c>
      <c r="F52" s="183">
        <f t="shared" si="16"/>
        <v>1</v>
      </c>
      <c r="G52" s="183" t="str">
        <f t="shared" si="12"/>
        <v>Households with wastewater treatment (#)</v>
      </c>
      <c r="H52" s="183" t="str">
        <f t="shared" si="10"/>
        <v>-</v>
      </c>
      <c r="I52" s="183" t="str">
        <f t="shared" si="13"/>
        <v>*</v>
      </c>
      <c r="J52" s="183" t="str">
        <f t="shared" si="15"/>
        <v xml:space="preserve">-Households with wastewater treatment (#)*
</v>
      </c>
      <c r="K52" s="189"/>
      <c r="L52" s="273"/>
      <c r="M52" s="274"/>
      <c r="N52" s="274"/>
    </row>
    <row r="53" spans="2:14" outlineLevel="1" x14ac:dyDescent="0.2">
      <c r="B53" s="10" t="s">
        <v>140</v>
      </c>
      <c r="C53" s="36"/>
      <c r="D53" s="115"/>
      <c r="E53" s="36"/>
      <c r="F53" s="183">
        <f t="shared" si="16"/>
        <v>0</v>
      </c>
      <c r="G53" s="183" t="str">
        <f t="shared" si="12"/>
        <v/>
      </c>
      <c r="H53" s="183" t="str">
        <f t="shared" si="10"/>
        <v/>
      </c>
      <c r="I53" s="183" t="str">
        <f t="shared" si="13"/>
        <v/>
      </c>
      <c r="J53" s="183" t="str">
        <f t="shared" si="15"/>
        <v/>
      </c>
      <c r="K53" s="189"/>
      <c r="L53" s="273"/>
      <c r="M53" s="274"/>
      <c r="N53" s="274"/>
    </row>
    <row r="54" spans="2:14" outlineLevel="1" x14ac:dyDescent="0.2">
      <c r="B54" s="10" t="s">
        <v>141</v>
      </c>
      <c r="C54" s="36"/>
      <c r="D54" s="115"/>
      <c r="E54" s="36"/>
      <c r="F54" s="183">
        <f t="shared" si="16"/>
        <v>0</v>
      </c>
      <c r="G54" s="183" t="str">
        <f t="shared" si="12"/>
        <v/>
      </c>
      <c r="H54" s="183" t="str">
        <f t="shared" si="10"/>
        <v/>
      </c>
      <c r="I54" s="183" t="str">
        <f t="shared" si="13"/>
        <v/>
      </c>
      <c r="J54" s="183" t="str">
        <f t="shared" si="15"/>
        <v/>
      </c>
      <c r="K54" s="189"/>
      <c r="L54" s="273"/>
      <c r="M54" s="274"/>
      <c r="N54" s="274"/>
    </row>
    <row r="55" spans="2:14" outlineLevel="1" x14ac:dyDescent="0.2">
      <c r="B55" s="10" t="s">
        <v>142</v>
      </c>
      <c r="C55" s="36"/>
      <c r="D55" s="115"/>
      <c r="E55" s="36"/>
      <c r="F55" s="183">
        <f t="shared" si="16"/>
        <v>0</v>
      </c>
      <c r="G55" s="183" t="str">
        <f t="shared" si="12"/>
        <v/>
      </c>
      <c r="H55" s="183" t="str">
        <f t="shared" si="10"/>
        <v/>
      </c>
      <c r="I55" s="183" t="str">
        <f t="shared" si="13"/>
        <v/>
      </c>
      <c r="J55" s="183" t="str">
        <f t="shared" si="15"/>
        <v/>
      </c>
      <c r="K55" s="189"/>
      <c r="L55" s="273"/>
      <c r="M55" s="274"/>
      <c r="N55" s="274"/>
    </row>
    <row r="56" spans="2:14" outlineLevel="1" x14ac:dyDescent="0.2">
      <c r="B56" s="10" t="s">
        <v>143</v>
      </c>
      <c r="C56" s="36"/>
      <c r="D56" s="115"/>
      <c r="E56" s="36"/>
      <c r="F56" s="183">
        <f t="shared" si="16"/>
        <v>0</v>
      </c>
      <c r="G56" s="183" t="str">
        <f t="shared" si="12"/>
        <v/>
      </c>
      <c r="H56" s="183" t="str">
        <f t="shared" si="10"/>
        <v/>
      </c>
      <c r="I56" s="183" t="str">
        <f t="shared" si="13"/>
        <v/>
      </c>
      <c r="J56" s="183" t="str">
        <f t="shared" si="15"/>
        <v/>
      </c>
      <c r="K56" s="189"/>
      <c r="L56" s="273"/>
      <c r="M56" s="274"/>
      <c r="N56" s="274"/>
    </row>
    <row r="57" spans="2:14" outlineLevel="1" x14ac:dyDescent="0.2">
      <c r="B57" s="10" t="s">
        <v>144</v>
      </c>
      <c r="C57" s="36"/>
      <c r="D57" s="115"/>
      <c r="E57" s="36"/>
      <c r="F57" s="183">
        <f t="shared" si="16"/>
        <v>0</v>
      </c>
      <c r="G57" s="183" t="str">
        <f t="shared" si="12"/>
        <v/>
      </c>
      <c r="H57" s="183" t="str">
        <f t="shared" si="10"/>
        <v/>
      </c>
      <c r="I57" s="183" t="str">
        <f t="shared" si="13"/>
        <v/>
      </c>
      <c r="J57" s="183" t="str">
        <f t="shared" si="15"/>
        <v/>
      </c>
      <c r="K57" s="189"/>
      <c r="L57" s="273"/>
      <c r="M57" s="274"/>
      <c r="N57" s="274"/>
    </row>
    <row r="58" spans="2:14" outlineLevel="1" x14ac:dyDescent="0.2">
      <c r="B58" s="10" t="s">
        <v>145</v>
      </c>
      <c r="C58" s="36"/>
      <c r="D58" s="115"/>
      <c r="E58" s="36"/>
      <c r="F58" s="183">
        <f t="shared" si="16"/>
        <v>0</v>
      </c>
      <c r="G58" s="183" t="str">
        <f t="shared" si="12"/>
        <v/>
      </c>
      <c r="H58" s="183" t="str">
        <f t="shared" si="10"/>
        <v/>
      </c>
      <c r="I58" s="183" t="str">
        <f t="shared" si="13"/>
        <v/>
      </c>
      <c r="J58" s="183" t="str">
        <f t="shared" si="15"/>
        <v/>
      </c>
      <c r="K58" s="189"/>
      <c r="L58" s="273"/>
      <c r="M58" s="274"/>
      <c r="N58" s="274"/>
    </row>
    <row r="59" spans="2:14" outlineLevel="1" x14ac:dyDescent="0.2">
      <c r="B59" s="10" t="s">
        <v>146</v>
      </c>
      <c r="C59" s="36"/>
      <c r="D59" s="115"/>
      <c r="E59" s="36"/>
      <c r="F59" s="183">
        <f t="shared" si="16"/>
        <v>0</v>
      </c>
      <c r="G59" s="183" t="str">
        <f t="shared" si="12"/>
        <v/>
      </c>
      <c r="H59" s="183" t="str">
        <f t="shared" si="10"/>
        <v/>
      </c>
      <c r="I59" s="183" t="str">
        <f t="shared" si="13"/>
        <v/>
      </c>
      <c r="J59" s="183" t="str">
        <f t="shared" si="15"/>
        <v/>
      </c>
      <c r="K59" s="189"/>
      <c r="L59" s="273"/>
      <c r="M59" s="274"/>
      <c r="N59" s="274"/>
    </row>
    <row r="60" spans="2:14" outlineLevel="1" x14ac:dyDescent="0.2">
      <c r="B60" s="10" t="s">
        <v>147</v>
      </c>
      <c r="C60" s="36"/>
      <c r="D60" s="115"/>
      <c r="E60" s="36"/>
      <c r="F60" s="183">
        <f t="shared" si="16"/>
        <v>0</v>
      </c>
      <c r="G60" s="183" t="str">
        <f t="shared" si="12"/>
        <v/>
      </c>
      <c r="H60" s="183" t="str">
        <f t="shared" si="10"/>
        <v/>
      </c>
      <c r="I60" s="183" t="str">
        <f t="shared" si="13"/>
        <v/>
      </c>
      <c r="J60" s="183" t="str">
        <f t="shared" si="15"/>
        <v/>
      </c>
      <c r="K60" s="189"/>
      <c r="L60" s="273"/>
      <c r="M60" s="274"/>
      <c r="N60" s="274"/>
    </row>
    <row r="61" spans="2:14" outlineLevel="1" x14ac:dyDescent="0.2">
      <c r="B61" s="10" t="s">
        <v>148</v>
      </c>
      <c r="C61" s="36"/>
      <c r="D61" s="115"/>
      <c r="E61" s="36"/>
      <c r="F61" s="183">
        <f t="shared" si="16"/>
        <v>0</v>
      </c>
      <c r="G61" s="183" t="str">
        <f t="shared" si="12"/>
        <v/>
      </c>
      <c r="H61" s="183" t="str">
        <f t="shared" si="10"/>
        <v/>
      </c>
      <c r="I61" s="183" t="str">
        <f t="shared" si="13"/>
        <v/>
      </c>
      <c r="J61" s="183" t="str">
        <f t="shared" si="15"/>
        <v/>
      </c>
      <c r="K61" s="189"/>
      <c r="L61" s="273"/>
      <c r="M61" s="274"/>
      <c r="N61" s="274"/>
    </row>
    <row r="62" spans="2:14" outlineLevel="1" x14ac:dyDescent="0.2">
      <c r="B62" s="10" t="s">
        <v>149</v>
      </c>
      <c r="C62" s="36"/>
      <c r="D62" s="115"/>
      <c r="E62" s="36"/>
      <c r="F62" s="183">
        <f t="shared" si="16"/>
        <v>0</v>
      </c>
      <c r="G62" s="183" t="str">
        <f t="shared" si="12"/>
        <v/>
      </c>
      <c r="H62" s="183" t="str">
        <f t="shared" si="10"/>
        <v/>
      </c>
      <c r="I62" s="183" t="str">
        <f t="shared" si="13"/>
        <v/>
      </c>
      <c r="J62" s="183" t="str">
        <f t="shared" si="15"/>
        <v/>
      </c>
      <c r="K62" s="189"/>
      <c r="L62" s="273"/>
      <c r="M62" s="274"/>
      <c r="N62" s="274"/>
    </row>
    <row r="63" spans="2:14" outlineLevel="1" x14ac:dyDescent="0.2">
      <c r="B63" s="10" t="s">
        <v>150</v>
      </c>
      <c r="C63" s="36"/>
      <c r="D63" s="115"/>
      <c r="E63" s="36"/>
      <c r="F63" s="183">
        <f t="shared" si="16"/>
        <v>0</v>
      </c>
      <c r="G63" s="183" t="str">
        <f t="shared" si="12"/>
        <v/>
      </c>
      <c r="H63" s="183" t="str">
        <f t="shared" si="10"/>
        <v/>
      </c>
      <c r="I63" s="183" t="str">
        <f t="shared" si="13"/>
        <v/>
      </c>
      <c r="J63" s="183" t="str">
        <f t="shared" si="15"/>
        <v/>
      </c>
      <c r="K63" s="189"/>
      <c r="L63" s="273"/>
      <c r="M63" s="274"/>
      <c r="N63" s="274"/>
    </row>
    <row r="64" spans="2:14" ht="25.5" outlineLevel="1" x14ac:dyDescent="0.2">
      <c r="B64" s="10" t="s">
        <v>151</v>
      </c>
      <c r="C64" s="36"/>
      <c r="D64" s="115"/>
      <c r="E64" s="36"/>
      <c r="F64" s="183">
        <f t="shared" si="16"/>
        <v>0</v>
      </c>
      <c r="G64" s="183" t="str">
        <f t="shared" si="12"/>
        <v/>
      </c>
      <c r="H64" s="183" t="str">
        <f t="shared" si="10"/>
        <v/>
      </c>
      <c r="I64" s="183" t="str">
        <f t="shared" si="13"/>
        <v/>
      </c>
      <c r="J64" s="183" t="str">
        <f t="shared" si="15"/>
        <v/>
      </c>
      <c r="K64" s="189"/>
      <c r="L64" s="273"/>
      <c r="M64" s="274"/>
      <c r="N64" s="274"/>
    </row>
    <row r="65" spans="2:14" outlineLevel="1" x14ac:dyDescent="0.2">
      <c r="B65" s="10" t="s">
        <v>152</v>
      </c>
      <c r="C65" s="36"/>
      <c r="D65" s="115"/>
      <c r="E65" s="36"/>
      <c r="F65" s="183">
        <f t="shared" ref="F65" si="17">IF(E65="Yes",1,0)</f>
        <v>0</v>
      </c>
      <c r="G65" s="183" t="str">
        <f t="shared" ref="G65" si="18">IF(F65=1,B65,"")</f>
        <v/>
      </c>
      <c r="H65" s="183" t="str">
        <f t="shared" ref="H65" si="19">IF(G65&lt;&gt;"","-","")</f>
        <v/>
      </c>
      <c r="I65" s="183" t="str">
        <f t="shared" ref="I65" si="20">IF(E65="Yes","*","")</f>
        <v/>
      </c>
      <c r="J65" s="183" t="str">
        <f t="shared" ref="J65" si="21">IF(G65&lt;&gt;"",CONCATENATE(H65,G65,I65,CHAR(10)),"")</f>
        <v/>
      </c>
      <c r="K65" s="189"/>
      <c r="L65" s="273"/>
      <c r="M65" s="274"/>
      <c r="N65" s="274"/>
    </row>
    <row r="66" spans="2:14" outlineLevel="1" x14ac:dyDescent="0.2">
      <c r="B66" s="10" t="s">
        <v>153</v>
      </c>
      <c r="C66" s="36"/>
      <c r="D66" s="115"/>
      <c r="E66" s="36"/>
      <c r="F66" s="183">
        <f t="shared" si="16"/>
        <v>0</v>
      </c>
      <c r="G66" s="183" t="str">
        <f t="shared" si="12"/>
        <v/>
      </c>
      <c r="H66" s="183" t="str">
        <f t="shared" si="10"/>
        <v/>
      </c>
      <c r="I66" s="183" t="str">
        <f t="shared" si="13"/>
        <v/>
      </c>
      <c r="J66" s="183" t="str">
        <f t="shared" si="15"/>
        <v/>
      </c>
      <c r="K66" s="189"/>
      <c r="L66" s="273"/>
      <c r="M66" s="274"/>
      <c r="N66" s="274"/>
    </row>
    <row r="67" spans="2:14" ht="25.5" outlineLevel="1" x14ac:dyDescent="0.2">
      <c r="B67" s="10" t="s">
        <v>154</v>
      </c>
      <c r="C67" s="36"/>
      <c r="D67" s="115"/>
      <c r="E67" s="36"/>
      <c r="F67" s="183">
        <f t="shared" si="16"/>
        <v>0</v>
      </c>
      <c r="G67" s="183" t="str">
        <f t="shared" si="12"/>
        <v/>
      </c>
      <c r="H67" s="183" t="str">
        <f t="shared" si="10"/>
        <v/>
      </c>
      <c r="I67" s="183" t="str">
        <f t="shared" si="13"/>
        <v/>
      </c>
      <c r="J67" s="183" t="str">
        <f t="shared" si="15"/>
        <v/>
      </c>
      <c r="K67" s="189"/>
      <c r="L67" s="273"/>
      <c r="M67" s="274"/>
      <c r="N67" s="274"/>
    </row>
    <row r="68" spans="2:14" outlineLevel="1" x14ac:dyDescent="0.2">
      <c r="B68" s="10" t="s">
        <v>155</v>
      </c>
      <c r="C68" s="36"/>
      <c r="D68" s="115"/>
      <c r="E68" s="36"/>
      <c r="F68" s="183">
        <f t="shared" ref="F68" si="22">IF(E68="Yes",1,0)</f>
        <v>0</v>
      </c>
      <c r="G68" s="183" t="str">
        <f t="shared" ref="G68" si="23">IF(F68=1,B68,"")</f>
        <v/>
      </c>
      <c r="H68" s="183" t="str">
        <f t="shared" ref="H68" si="24">IF(G68&lt;&gt;"","-","")</f>
        <v/>
      </c>
      <c r="I68" s="183" t="str">
        <f t="shared" ref="I68" si="25">IF(E68="Yes","*","")</f>
        <v/>
      </c>
      <c r="J68" s="183" t="str">
        <f t="shared" ref="J68" si="26">IF(G68&lt;&gt;"",CONCATENATE(H68,G68,I68,CHAR(10)),"")</f>
        <v/>
      </c>
      <c r="K68" s="189"/>
      <c r="L68" s="273"/>
      <c r="M68" s="274"/>
      <c r="N68" s="274"/>
    </row>
    <row r="69" spans="2:14" outlineLevel="1" x14ac:dyDescent="0.2">
      <c r="B69" s="10" t="s">
        <v>156</v>
      </c>
      <c r="C69" s="36"/>
      <c r="D69" s="115"/>
      <c r="E69" s="36"/>
      <c r="F69" s="183">
        <f t="shared" si="16"/>
        <v>0</v>
      </c>
      <c r="G69" s="183" t="str">
        <f t="shared" si="12"/>
        <v/>
      </c>
      <c r="H69" s="183" t="str">
        <f t="shared" si="10"/>
        <v/>
      </c>
      <c r="I69" s="183" t="str">
        <f t="shared" si="13"/>
        <v/>
      </c>
      <c r="J69" s="183" t="str">
        <f t="shared" si="15"/>
        <v/>
      </c>
      <c r="K69" s="189"/>
      <c r="L69" s="273"/>
      <c r="M69" s="274"/>
      <c r="N69" s="274"/>
    </row>
    <row r="70" spans="2:14" outlineLevel="1" x14ac:dyDescent="0.2">
      <c r="B70" s="10" t="s">
        <v>157</v>
      </c>
      <c r="C70" s="36"/>
      <c r="D70" s="115"/>
      <c r="E70" s="36"/>
      <c r="F70" s="183">
        <f t="shared" si="16"/>
        <v>0</v>
      </c>
      <c r="G70" s="183" t="str">
        <f t="shared" si="12"/>
        <v/>
      </c>
      <c r="H70" s="183" t="str">
        <f t="shared" si="10"/>
        <v/>
      </c>
      <c r="I70" s="183" t="str">
        <f t="shared" si="13"/>
        <v/>
      </c>
      <c r="J70" s="183" t="str">
        <f t="shared" si="15"/>
        <v/>
      </c>
      <c r="K70" s="189"/>
      <c r="L70" s="273"/>
      <c r="M70" s="274"/>
      <c r="N70" s="274"/>
    </row>
    <row r="71" spans="2:14" outlineLevel="1" x14ac:dyDescent="0.2">
      <c r="B71" s="10" t="s">
        <v>158</v>
      </c>
      <c r="C71" s="36"/>
      <c r="D71" s="115"/>
      <c r="E71" s="36"/>
      <c r="F71" s="183">
        <f t="shared" si="16"/>
        <v>0</v>
      </c>
      <c r="G71" s="183" t="str">
        <f t="shared" si="12"/>
        <v/>
      </c>
      <c r="H71" s="183" t="str">
        <f t="shared" si="10"/>
        <v/>
      </c>
      <c r="I71" s="183" t="str">
        <f t="shared" si="13"/>
        <v/>
      </c>
      <c r="J71" s="183" t="str">
        <f t="shared" si="15"/>
        <v/>
      </c>
      <c r="K71" s="189"/>
      <c r="L71" s="273"/>
      <c r="M71" s="274"/>
      <c r="N71" s="274"/>
    </row>
    <row r="72" spans="2:14" outlineLevel="1" x14ac:dyDescent="0.2">
      <c r="B72" s="10" t="s">
        <v>159</v>
      </c>
      <c r="C72" s="36"/>
      <c r="D72" s="115"/>
      <c r="E72" s="36"/>
      <c r="F72" s="183">
        <f t="shared" si="16"/>
        <v>0</v>
      </c>
      <c r="G72" s="183" t="str">
        <f t="shared" si="12"/>
        <v/>
      </c>
      <c r="H72" s="183" t="str">
        <f t="shared" si="10"/>
        <v/>
      </c>
      <c r="I72" s="183" t="str">
        <f t="shared" si="13"/>
        <v/>
      </c>
      <c r="J72" s="183" t="str">
        <f t="shared" si="15"/>
        <v/>
      </c>
      <c r="K72" s="189"/>
      <c r="L72" s="273"/>
      <c r="M72" s="274"/>
      <c r="N72" s="274"/>
    </row>
    <row r="73" spans="2:14" outlineLevel="1" x14ac:dyDescent="0.2">
      <c r="B73" s="10" t="s">
        <v>160</v>
      </c>
      <c r="C73" s="36"/>
      <c r="D73" s="115"/>
      <c r="E73" s="36"/>
      <c r="F73" s="183">
        <f t="shared" ref="F73:F77" si="27">IF(E73="Yes",1,0)</f>
        <v>0</v>
      </c>
      <c r="G73" s="183" t="str">
        <f t="shared" ref="G73:G77" si="28">IF(F73=1,B73,"")</f>
        <v/>
      </c>
      <c r="H73" s="183" t="str">
        <f t="shared" ref="H73:H77" si="29">IF(G73&lt;&gt;"","-","")</f>
        <v/>
      </c>
      <c r="I73" s="183" t="str">
        <f t="shared" ref="I73:I77" si="30">IF(E73="Yes","*","")</f>
        <v/>
      </c>
      <c r="J73" s="183" t="str">
        <f t="shared" ref="J73:J77" si="31">IF(G73&lt;&gt;"",CONCATENATE(H73,G73,I73,CHAR(10)),"")</f>
        <v/>
      </c>
      <c r="K73" s="189"/>
      <c r="L73" s="273"/>
      <c r="M73" s="274"/>
      <c r="N73" s="274"/>
    </row>
    <row r="74" spans="2:14" outlineLevel="1" x14ac:dyDescent="0.2">
      <c r="B74" s="10" t="s">
        <v>161</v>
      </c>
      <c r="C74" s="36"/>
      <c r="D74" s="115"/>
      <c r="E74" s="36"/>
      <c r="F74" s="183">
        <f t="shared" si="27"/>
        <v>0</v>
      </c>
      <c r="G74" s="183" t="str">
        <f t="shared" si="28"/>
        <v/>
      </c>
      <c r="H74" s="183" t="str">
        <f t="shared" si="29"/>
        <v/>
      </c>
      <c r="I74" s="183" t="str">
        <f t="shared" si="30"/>
        <v/>
      </c>
      <c r="J74" s="183" t="str">
        <f t="shared" si="31"/>
        <v/>
      </c>
      <c r="K74" s="189"/>
      <c r="L74" s="273"/>
      <c r="M74" s="274"/>
      <c r="N74" s="274"/>
    </row>
    <row r="75" spans="2:14" outlineLevel="1" x14ac:dyDescent="0.2">
      <c r="B75" s="10" t="s">
        <v>162</v>
      </c>
      <c r="C75" s="36"/>
      <c r="D75" s="115"/>
      <c r="E75" s="36"/>
      <c r="F75" s="183">
        <f t="shared" si="27"/>
        <v>0</v>
      </c>
      <c r="G75" s="183" t="str">
        <f t="shared" si="28"/>
        <v/>
      </c>
      <c r="H75" s="183" t="str">
        <f t="shared" si="29"/>
        <v/>
      </c>
      <c r="I75" s="183" t="str">
        <f t="shared" si="30"/>
        <v/>
      </c>
      <c r="J75" s="183" t="str">
        <f t="shared" si="31"/>
        <v/>
      </c>
      <c r="K75" s="189"/>
      <c r="L75" s="273"/>
      <c r="M75" s="274"/>
      <c r="N75" s="274"/>
    </row>
    <row r="76" spans="2:14" outlineLevel="1" x14ac:dyDescent="0.2">
      <c r="B76" s="10" t="s">
        <v>163</v>
      </c>
      <c r="C76" s="36"/>
      <c r="D76" s="115"/>
      <c r="E76" s="36"/>
      <c r="F76" s="183">
        <f t="shared" si="27"/>
        <v>0</v>
      </c>
      <c r="G76" s="183" t="str">
        <f t="shared" si="28"/>
        <v/>
      </c>
      <c r="H76" s="183" t="str">
        <f t="shared" si="29"/>
        <v/>
      </c>
      <c r="I76" s="183" t="str">
        <f t="shared" si="30"/>
        <v/>
      </c>
      <c r="J76" s="183" t="str">
        <f t="shared" si="31"/>
        <v/>
      </c>
      <c r="K76" s="189"/>
      <c r="L76" s="273"/>
      <c r="M76" s="274"/>
      <c r="N76" s="274"/>
    </row>
    <row r="77" spans="2:14" outlineLevel="1" x14ac:dyDescent="0.2">
      <c r="B77" s="10" t="s">
        <v>164</v>
      </c>
      <c r="C77" s="36"/>
      <c r="D77" s="115"/>
      <c r="E77" s="36"/>
      <c r="F77" s="183">
        <f t="shared" si="27"/>
        <v>0</v>
      </c>
      <c r="G77" s="183" t="str">
        <f t="shared" si="28"/>
        <v/>
      </c>
      <c r="H77" s="183" t="str">
        <f t="shared" si="29"/>
        <v/>
      </c>
      <c r="I77" s="183" t="str">
        <f t="shared" si="30"/>
        <v/>
      </c>
      <c r="J77" s="183" t="str">
        <f t="shared" si="31"/>
        <v/>
      </c>
      <c r="K77" s="189"/>
      <c r="L77" s="273"/>
      <c r="M77" s="274"/>
      <c r="N77" s="274"/>
    </row>
    <row r="78" spans="2:14" ht="13.5" outlineLevel="1" thickBot="1" x14ac:dyDescent="0.25">
      <c r="B78" s="81" t="s">
        <v>165</v>
      </c>
      <c r="C78" s="174"/>
      <c r="D78" s="175"/>
      <c r="E78" s="174"/>
      <c r="F78" s="186">
        <f t="shared" si="16"/>
        <v>0</v>
      </c>
      <c r="G78" s="186" t="str">
        <f t="shared" si="12"/>
        <v/>
      </c>
      <c r="H78" s="186" t="str">
        <f t="shared" si="10"/>
        <v/>
      </c>
      <c r="I78" s="186" t="str">
        <f t="shared" si="13"/>
        <v/>
      </c>
      <c r="J78" s="186" t="str">
        <f t="shared" si="15"/>
        <v/>
      </c>
      <c r="K78" s="190"/>
      <c r="L78" s="296"/>
      <c r="M78" s="274"/>
      <c r="N78" s="297"/>
    </row>
    <row r="79" spans="2:14" ht="15.75" customHeight="1" thickBot="1" x14ac:dyDescent="0.25">
      <c r="D79" s="307"/>
      <c r="E79" s="307"/>
    </row>
    <row r="80" spans="2:14" ht="15.75" customHeight="1" x14ac:dyDescent="0.2">
      <c r="B80" s="12" t="s">
        <v>166</v>
      </c>
      <c r="C80" s="65"/>
      <c r="D80" s="66"/>
      <c r="E80" s="66"/>
      <c r="F80" s="176"/>
      <c r="G80" s="176"/>
      <c r="H80" s="176"/>
      <c r="I80" s="176"/>
      <c r="J80" s="176"/>
      <c r="K80" s="176"/>
      <c r="L80" s="298"/>
      <c r="M80" s="299"/>
      <c r="N80" s="299"/>
    </row>
    <row r="81" spans="2:14" ht="15.75" customHeight="1" x14ac:dyDescent="0.2">
      <c r="B81" s="13" t="s">
        <v>167</v>
      </c>
      <c r="C81" s="11"/>
      <c r="D81" s="55"/>
      <c r="E81" s="55"/>
      <c r="L81" s="294"/>
      <c r="M81" s="295"/>
      <c r="N81" s="295"/>
    </row>
    <row r="82" spans="2:14" x14ac:dyDescent="0.2">
      <c r="B82" s="9" t="s">
        <v>168</v>
      </c>
      <c r="C82" s="35" t="s">
        <v>169</v>
      </c>
      <c r="D82" s="56" t="s">
        <v>96</v>
      </c>
      <c r="E82" s="115"/>
      <c r="L82" s="273"/>
      <c r="M82" s="274"/>
      <c r="N82" s="274"/>
    </row>
    <row r="83" spans="2:14" ht="66.75" customHeight="1" x14ac:dyDescent="0.2">
      <c r="B83" s="9" t="s">
        <v>170</v>
      </c>
      <c r="C83" s="35" t="s">
        <v>47</v>
      </c>
      <c r="D83" s="56" t="s">
        <v>96</v>
      </c>
      <c r="E83" s="115"/>
      <c r="L83" s="273"/>
      <c r="M83" s="274"/>
      <c r="N83" s="274"/>
    </row>
    <row r="84" spans="2:14" ht="24" customHeight="1" x14ac:dyDescent="0.2">
      <c r="B84" s="67" t="s">
        <v>171</v>
      </c>
      <c r="C84" s="11"/>
      <c r="D84" s="55"/>
      <c r="E84" s="55"/>
      <c r="L84" s="294"/>
      <c r="M84" s="295"/>
      <c r="N84" s="295"/>
    </row>
    <row r="85" spans="2:14" x14ac:dyDescent="0.2">
      <c r="B85" s="9" t="s">
        <v>172</v>
      </c>
      <c r="C85" s="35" t="s">
        <v>173</v>
      </c>
      <c r="D85" s="56" t="s">
        <v>174</v>
      </c>
      <c r="E85" s="115"/>
      <c r="L85" s="273"/>
      <c r="M85" s="274"/>
      <c r="N85" s="274"/>
    </row>
    <row r="86" spans="2:14" ht="24" customHeight="1" x14ac:dyDescent="0.2">
      <c r="B86" s="13" t="s">
        <v>175</v>
      </c>
      <c r="C86" s="11"/>
      <c r="D86" s="55"/>
      <c r="E86" s="55"/>
      <c r="L86" s="294"/>
      <c r="M86" s="295"/>
      <c r="N86" s="295"/>
    </row>
    <row r="87" spans="2:14" ht="19.5" thickBot="1" x14ac:dyDescent="0.25">
      <c r="B87" s="31" t="s">
        <v>176</v>
      </c>
      <c r="C87" s="300" t="s">
        <v>177</v>
      </c>
      <c r="D87" s="58" t="s">
        <v>96</v>
      </c>
      <c r="E87" s="175"/>
      <c r="F87" s="177"/>
      <c r="G87" s="177"/>
      <c r="H87" s="177"/>
      <c r="I87" s="177"/>
      <c r="J87" s="177"/>
      <c r="K87" s="177"/>
      <c r="L87" s="296"/>
      <c r="M87" s="297"/>
      <c r="N87" s="274"/>
    </row>
  </sheetData>
  <sheetProtection algorithmName="SHA-512" hashValue="UhSkfSbeETCZapBvRdK9WCpNmbR6SYoqVzeTqlcKGOGWMx6Qw8aI4JaZrPpD0cxd0zEUDIGKVc7rsIi7eYbIfA==" saltValue="7NGvLJAv3CJ5xDxVA+KqJg==" spinCount="100000" sheet="1" formatCells="0" formatRows="0" selectLockedCells="1"/>
  <mergeCells count="7">
    <mergeCell ref="B7:E7"/>
    <mergeCell ref="L8:N8"/>
    <mergeCell ref="B2:D2"/>
    <mergeCell ref="B3:D3"/>
    <mergeCell ref="A4:E4"/>
    <mergeCell ref="B5:E5"/>
    <mergeCell ref="B6:E6"/>
  </mergeCells>
  <pageMargins left="0.4765625" right="1.036875" top="1.08" bottom="0.91" header="0.5" footer="0.5"/>
  <pageSetup scale="44" fitToHeight="0" orientation="landscape" r:id="rId1"/>
  <headerFooter alignWithMargins="0">
    <oddHeader xml:space="preserve">&amp;R&amp;"Arial,Bold"&amp;12Annex 2
SG DEM
</oddHeader>
  </headerFooter>
  <colBreaks count="1" manualBreakCount="1">
    <brk id="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'Listas desplegables'!$A$2:$A$3</xm:f>
          </x14:formula1>
          <xm:sqref>D87:E87 D85:E85 D82:E83 D19:D21 E12 D11:D13 D37:D40 D23:D35 D49:E78 E15:E20 E24:E47 D42:D47 D16:D17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2:K82"/>
  <sheetViews>
    <sheetView zoomScale="80" zoomScaleNormal="80" workbookViewId="0">
      <selection activeCell="C19" sqref="C19"/>
    </sheetView>
  </sheetViews>
  <sheetFormatPr defaultColWidth="9.140625" defaultRowHeight="12.75" outlineLevelRow="1" x14ac:dyDescent="0.2"/>
  <cols>
    <col min="1" max="1" width="0.140625" style="2" customWidth="1"/>
    <col min="2" max="2" width="107.140625" style="3" customWidth="1"/>
    <col min="3" max="3" width="34.140625" style="2" customWidth="1"/>
    <col min="4" max="5" width="25.140625" style="15" customWidth="1"/>
    <col min="6" max="8" width="9.140625" style="37" hidden="1" customWidth="1"/>
    <col min="9" max="9" width="32.42578125" style="37" hidden="1" customWidth="1"/>
    <col min="10" max="10" width="21.5703125" style="37" hidden="1" customWidth="1"/>
    <col min="11" max="11" width="9" style="37" customWidth="1"/>
    <col min="12" max="16384" width="9.140625" style="2"/>
  </cols>
  <sheetData>
    <row r="2" spans="1:11" ht="18" x14ac:dyDescent="0.2">
      <c r="B2" s="373" t="s">
        <v>178</v>
      </c>
      <c r="C2" s="373"/>
      <c r="D2" s="373"/>
      <c r="E2" s="305"/>
    </row>
    <row r="3" spans="1:11" ht="20.25" customHeight="1" thickBot="1" x14ac:dyDescent="0.25">
      <c r="B3" s="383" t="s">
        <v>179</v>
      </c>
      <c r="C3" s="383"/>
      <c r="D3" s="383"/>
      <c r="E3" s="305"/>
    </row>
    <row r="4" spans="1:11" ht="18" x14ac:dyDescent="0.2">
      <c r="A4" s="384" t="s">
        <v>82</v>
      </c>
      <c r="B4" s="385"/>
      <c r="C4" s="385"/>
      <c r="D4" s="386"/>
      <c r="E4" s="132"/>
    </row>
    <row r="5" spans="1:11" ht="30.75" customHeight="1" x14ac:dyDescent="0.2">
      <c r="A5" s="4">
        <v>1</v>
      </c>
      <c r="B5" s="387" t="s">
        <v>180</v>
      </c>
      <c r="C5" s="387"/>
      <c r="D5" s="388"/>
      <c r="E5" s="23"/>
    </row>
    <row r="6" spans="1:11" ht="75.75" customHeight="1" thickBot="1" x14ac:dyDescent="0.25">
      <c r="A6" s="21"/>
      <c r="B6" s="381" t="s">
        <v>181</v>
      </c>
      <c r="C6" s="381"/>
      <c r="D6" s="382"/>
      <c r="E6" s="133"/>
    </row>
    <row r="7" spans="1:11" ht="27" customHeight="1" thickBot="1" x14ac:dyDescent="0.25">
      <c r="C7" s="3"/>
      <c r="D7" s="14"/>
      <c r="E7" s="14"/>
    </row>
    <row r="8" spans="1:11" ht="15.75" customHeight="1" thickBot="1" x14ac:dyDescent="0.25">
      <c r="B8" s="59" t="s">
        <v>182</v>
      </c>
      <c r="C8" s="60" t="s">
        <v>86</v>
      </c>
      <c r="D8" s="137" t="s">
        <v>183</v>
      </c>
      <c r="E8" s="130" t="s">
        <v>184</v>
      </c>
      <c r="F8" s="95"/>
      <c r="G8" s="95"/>
      <c r="H8" s="95"/>
      <c r="I8" s="95"/>
      <c r="J8" s="95"/>
      <c r="K8" s="95"/>
    </row>
    <row r="9" spans="1:11" ht="15.75" customHeight="1" x14ac:dyDescent="0.2">
      <c r="B9" s="61" t="s">
        <v>185</v>
      </c>
      <c r="C9" s="62"/>
      <c r="D9" s="138" t="s">
        <v>87</v>
      </c>
      <c r="E9" s="129" t="s">
        <v>87</v>
      </c>
      <c r="F9" s="84"/>
      <c r="G9" s="84"/>
      <c r="H9" s="84"/>
      <c r="I9" s="84"/>
      <c r="J9" s="84"/>
      <c r="K9" s="84"/>
    </row>
    <row r="10" spans="1:11" ht="15.75" customHeight="1" x14ac:dyDescent="0.2">
      <c r="B10" s="13" t="s">
        <v>186</v>
      </c>
      <c r="C10" s="46"/>
      <c r="D10" s="139"/>
      <c r="E10" s="46"/>
      <c r="F10" s="86"/>
      <c r="G10" s="86"/>
      <c r="H10" s="86"/>
      <c r="I10" s="86"/>
      <c r="J10" s="86"/>
      <c r="K10" s="86"/>
    </row>
    <row r="11" spans="1:11" ht="15.75" customHeight="1" x14ac:dyDescent="0.2">
      <c r="B11" s="8" t="s">
        <v>187</v>
      </c>
      <c r="C11" s="7"/>
      <c r="D11" s="140" t="str">
        <f>'DEM (Strategic Priorities)'!D11</f>
        <v>Yes</v>
      </c>
      <c r="E11" s="54"/>
      <c r="F11" s="86">
        <f t="shared" ref="F11:F13" si="0">IF(D11="Yes",1,0)</f>
        <v>1</v>
      </c>
      <c r="G11" s="86" t="str">
        <f>IF(F11&lt;&gt;0,B11,"")</f>
        <v>Inclusión Social e Igualdad</v>
      </c>
      <c r="H11" s="86" t="str">
        <f>IF(G11&lt;&gt;"","-","")</f>
        <v>-</v>
      </c>
      <c r="I11" s="86" t="str">
        <f>IF(G11&lt;&gt;"",CONCATENATE(H11,G11,CHAR(10)),"")</f>
        <v xml:space="preserve">-Inclusión Social e Igualdad
</v>
      </c>
      <c r="J11" s="86" t="str">
        <f>CONCATENATE(I11,I12,I13,I15,I16,I17)</f>
        <v xml:space="preserve">-Inclusión Social e Igualdad
-Productividad e Innovación
-Cambio Climático y Sostenibilidad Ambiental
-Capacidad Institucional y Estado de Derecho
</v>
      </c>
      <c r="K11" s="86"/>
    </row>
    <row r="12" spans="1:11" ht="22.5" customHeight="1" outlineLevel="1" x14ac:dyDescent="0.2">
      <c r="B12" s="8" t="s">
        <v>188</v>
      </c>
      <c r="C12" s="7"/>
      <c r="D12" s="140" t="str">
        <f>'DEM (Strategic Priorities)'!D12</f>
        <v>Yes</v>
      </c>
      <c r="E12" s="54"/>
      <c r="F12" s="86">
        <f t="shared" si="0"/>
        <v>1</v>
      </c>
      <c r="G12" s="86" t="str">
        <f>IF(F12&lt;&gt;0,B12,"")</f>
        <v>Productividad e Innovación</v>
      </c>
      <c r="H12" s="86" t="str">
        <f>IF(G12&lt;&gt;"","-","")</f>
        <v>-</v>
      </c>
      <c r="I12" s="86" t="str">
        <f>IF(G12&lt;&gt;"",CONCATENATE(H12,G12,CHAR(10)),"")</f>
        <v xml:space="preserve">-Productividad e Innovación
</v>
      </c>
      <c r="J12" s="86"/>
      <c r="K12" s="86"/>
    </row>
    <row r="13" spans="1:11" ht="15.75" customHeight="1" x14ac:dyDescent="0.2">
      <c r="B13" s="8" t="s">
        <v>189</v>
      </c>
      <c r="C13" s="7"/>
      <c r="D13" s="140">
        <f>'DEM (Strategic Priorities)'!D13</f>
        <v>0</v>
      </c>
      <c r="E13" s="54"/>
      <c r="F13" s="86">
        <f t="shared" si="0"/>
        <v>0</v>
      </c>
      <c r="G13" s="86" t="str">
        <f>IF(F13&lt;&gt;0,B13,"")</f>
        <v/>
      </c>
      <c r="H13" s="86" t="str">
        <f>IF(G13&lt;&gt;"","-","")</f>
        <v/>
      </c>
      <c r="I13" s="86" t="str">
        <f>IF(G13&lt;&gt;"",CONCATENATE(H13,G13,CHAR(10)),"")</f>
        <v/>
      </c>
      <c r="J13" s="86"/>
      <c r="K13" s="86"/>
    </row>
    <row r="14" spans="1:11" ht="15.75" customHeight="1" x14ac:dyDescent="0.2">
      <c r="B14" s="13" t="s">
        <v>190</v>
      </c>
      <c r="C14" s="46"/>
      <c r="D14" s="46"/>
      <c r="E14" s="46"/>
      <c r="F14" s="86"/>
      <c r="G14" s="86"/>
      <c r="H14" s="86"/>
      <c r="I14" s="86"/>
      <c r="J14" s="86"/>
      <c r="K14" s="86"/>
    </row>
    <row r="15" spans="1:11" ht="21.75" customHeight="1" x14ac:dyDescent="0.2">
      <c r="B15" s="8" t="s">
        <v>191</v>
      </c>
      <c r="C15" s="7"/>
      <c r="D15" s="140" t="str">
        <f>'DEM (Strategic Priorities)'!D15</f>
        <v/>
      </c>
      <c r="E15" s="54"/>
      <c r="F15" s="86">
        <f t="shared" ref="F15:F17" si="1">IF(D15="Yes",1,0)</f>
        <v>0</v>
      </c>
      <c r="G15" s="86" t="str">
        <f t="shared" ref="G15:G17" si="2">IF(F15&lt;&gt;0,B15,"")</f>
        <v/>
      </c>
      <c r="H15" s="86" t="str">
        <f t="shared" ref="H15:H17" si="3">IF(G15&lt;&gt;"","-","")</f>
        <v/>
      </c>
      <c r="I15" s="86" t="str">
        <f t="shared" ref="I15:I17" si="4">IF(G15&lt;&gt;"",CONCATENATE(H15,G15,CHAR(10)),"")</f>
        <v/>
      </c>
      <c r="J15" s="86"/>
      <c r="K15" s="86"/>
    </row>
    <row r="16" spans="1:11" ht="21.75" customHeight="1" x14ac:dyDescent="0.2">
      <c r="B16" s="8" t="s">
        <v>192</v>
      </c>
      <c r="C16" s="7"/>
      <c r="D16" s="140" t="str">
        <f>'DEM (Strategic Priorities)'!D18</f>
        <v>Yes</v>
      </c>
      <c r="E16" s="54"/>
      <c r="F16" s="86">
        <f t="shared" si="1"/>
        <v>1</v>
      </c>
      <c r="G16" s="86" t="str">
        <f t="shared" si="2"/>
        <v>Cambio Climático y Sostenibilidad Ambiental</v>
      </c>
      <c r="H16" s="86" t="str">
        <f t="shared" si="3"/>
        <v>-</v>
      </c>
      <c r="I16" s="86" t="str">
        <f t="shared" si="4"/>
        <v xml:space="preserve">-Cambio Climático y Sostenibilidad Ambiental
</v>
      </c>
      <c r="J16" s="86"/>
      <c r="K16" s="86"/>
    </row>
    <row r="17" spans="2:11" ht="15.75" customHeight="1" outlineLevel="1" x14ac:dyDescent="0.2">
      <c r="B17" s="8" t="s">
        <v>193</v>
      </c>
      <c r="C17" s="7"/>
      <c r="D17" s="140" t="str">
        <f>'DEM (Strategic Priorities)'!D21</f>
        <v>Yes</v>
      </c>
      <c r="E17" s="54"/>
      <c r="F17" s="86">
        <f t="shared" si="1"/>
        <v>1</v>
      </c>
      <c r="G17" s="86" t="str">
        <f t="shared" si="2"/>
        <v>Capacidad Institucional y Estado de Derecho</v>
      </c>
      <c r="H17" s="86" t="str">
        <f t="shared" si="3"/>
        <v>-</v>
      </c>
      <c r="I17" s="86" t="str">
        <f t="shared" si="4"/>
        <v xml:space="preserve">-Capacidad Institucional y Estado de Derecho
</v>
      </c>
      <c r="J17" s="86"/>
      <c r="K17" s="86"/>
    </row>
    <row r="18" spans="2:11" ht="15.75" customHeight="1" outlineLevel="1" x14ac:dyDescent="0.2">
      <c r="B18" s="13" t="s">
        <v>194</v>
      </c>
      <c r="C18" s="63"/>
      <c r="D18" s="142"/>
      <c r="E18" s="64"/>
      <c r="F18" s="86"/>
      <c r="G18" s="86"/>
      <c r="H18" s="86"/>
      <c r="I18" s="86"/>
      <c r="J18" s="86"/>
      <c r="K18" s="86" t="str">
        <f>CONCATENATE(J19,J20,J21,J22,J23,J24,J25,J26,J27,J28,J29,J30,J31,J32,J33,J34,J35,J36,J37,J38,J39,J40,J41,J42,J43,J44,J45,J46,J47,J48,J49,J50,J51,J52,J53,J54,J55,J56,J57,J58,J59,J60,J61,J62,J63,J64,J65,J66,J67,J68,J69,J70,J71,J72,J73)</f>
        <v xml:space="preserve">-Hogares con acceso nuevo o mejorado a agua potable (#)*
-Hogares con acceso nuevo o mejorado a saneamiento  (#)*
-Capacidad de generación de energía instalada de fuentes de energía renovable (%)*
-Hogares con tratamiento de agua residuales (#)*
</v>
      </c>
    </row>
    <row r="19" spans="2:11" ht="34.5" customHeight="1" outlineLevel="1" x14ac:dyDescent="0.2">
      <c r="B19" s="10" t="s">
        <v>195</v>
      </c>
      <c r="C19" s="36"/>
      <c r="D19" s="141">
        <f>'DEM (Strategic Priorities)'!D23</f>
        <v>0</v>
      </c>
      <c r="E19" s="141">
        <f>'DEM (Strategic Priorities)'!E23</f>
        <v>0</v>
      </c>
      <c r="F19" s="86">
        <f t="shared" ref="F19:F25" si="5">IF(D19="Yes",1,0)</f>
        <v>0</v>
      </c>
      <c r="G19" s="86" t="str">
        <f>IF(F19=1,B19,"")</f>
        <v/>
      </c>
      <c r="H19" s="86" t="str">
        <f t="shared" ref="H19:H43" si="6">IF(G19&lt;&gt;"","-","")</f>
        <v/>
      </c>
      <c r="I19" s="131" t="str">
        <f>IF(E19="Yes","*","")</f>
        <v/>
      </c>
      <c r="J19" s="86" t="str">
        <f t="shared" ref="J19:J22" si="7">IF(G19&lt;&gt;"",CONCATENATE(H19,G19,I19,CHAR(10)),"")</f>
        <v/>
      </c>
      <c r="K19" s="131"/>
    </row>
    <row r="20" spans="2:11" ht="24.75" customHeight="1" outlineLevel="1" x14ac:dyDescent="0.2">
      <c r="B20" s="10" t="s">
        <v>196</v>
      </c>
      <c r="C20" s="36"/>
      <c r="D20" s="141">
        <f>'DEM (Strategic Priorities)'!D24</f>
        <v>0</v>
      </c>
      <c r="E20" s="141">
        <f>'DEM (Strategic Priorities)'!E24</f>
        <v>0</v>
      </c>
      <c r="F20" s="86">
        <f t="shared" si="5"/>
        <v>0</v>
      </c>
      <c r="G20" s="86" t="str">
        <f t="shared" ref="G20:G43" si="8">IF(F20=1,B20,"")</f>
        <v/>
      </c>
      <c r="H20" s="86" t="str">
        <f t="shared" si="6"/>
        <v/>
      </c>
      <c r="I20" s="131" t="str">
        <f t="shared" ref="I20:I43" si="9">IF(E20="Yes","*","")</f>
        <v/>
      </c>
      <c r="J20" s="86" t="str">
        <f t="shared" si="7"/>
        <v/>
      </c>
      <c r="K20" s="86"/>
    </row>
    <row r="21" spans="2:11" ht="15.75" customHeight="1" outlineLevel="1" x14ac:dyDescent="0.2">
      <c r="B21" s="10" t="s">
        <v>197</v>
      </c>
      <c r="C21" s="36"/>
      <c r="D21" s="141">
        <f>'DEM (Strategic Priorities)'!D25</f>
        <v>0</v>
      </c>
      <c r="E21" s="57">
        <f>'DEM (Strategic Priorities)'!E25</f>
        <v>0</v>
      </c>
      <c r="F21" s="86">
        <f>IF(E21="Yes",1,0)</f>
        <v>0</v>
      </c>
      <c r="G21" s="86" t="str">
        <f t="shared" si="8"/>
        <v/>
      </c>
      <c r="H21" s="86" t="str">
        <f t="shared" si="6"/>
        <v/>
      </c>
      <c r="I21" s="131" t="str">
        <f t="shared" si="9"/>
        <v/>
      </c>
      <c r="J21" s="86" t="str">
        <f t="shared" si="7"/>
        <v/>
      </c>
      <c r="K21" s="86"/>
    </row>
    <row r="22" spans="2:11" ht="15.75" customHeight="1" outlineLevel="1" x14ac:dyDescent="0.2">
      <c r="B22" s="10" t="s">
        <v>198</v>
      </c>
      <c r="C22" s="36"/>
      <c r="D22" s="141">
        <f>'DEM (Strategic Priorities)'!D26</f>
        <v>0</v>
      </c>
      <c r="E22" s="57">
        <f>'DEM (Strategic Priorities)'!E26</f>
        <v>0</v>
      </c>
      <c r="F22" s="86">
        <f t="shared" ref="F22:F23" si="10">IF(E22="Yes",1,0)</f>
        <v>0</v>
      </c>
      <c r="G22" s="86" t="str">
        <f t="shared" si="8"/>
        <v/>
      </c>
      <c r="H22" s="86" t="str">
        <f t="shared" si="6"/>
        <v/>
      </c>
      <c r="I22" s="131" t="str">
        <f t="shared" si="9"/>
        <v/>
      </c>
      <c r="J22" s="86" t="str">
        <f t="shared" si="7"/>
        <v/>
      </c>
      <c r="K22" s="86"/>
    </row>
    <row r="23" spans="2:11" ht="15.75" customHeight="1" outlineLevel="1" x14ac:dyDescent="0.2">
      <c r="B23" s="10" t="s">
        <v>199</v>
      </c>
      <c r="C23" s="36"/>
      <c r="D23" s="141">
        <f>'DEM (Strategic Priorities)'!D27</f>
        <v>0</v>
      </c>
      <c r="E23" s="57">
        <f>'DEM (Strategic Priorities)'!E27</f>
        <v>0</v>
      </c>
      <c r="F23" s="86">
        <f t="shared" si="10"/>
        <v>0</v>
      </c>
      <c r="G23" s="86" t="str">
        <f t="shared" si="8"/>
        <v/>
      </c>
      <c r="H23" s="86" t="str">
        <f t="shared" si="6"/>
        <v/>
      </c>
      <c r="I23" s="131" t="str">
        <f t="shared" si="9"/>
        <v/>
      </c>
      <c r="J23" s="86" t="str">
        <f>IF(G23&lt;&gt;"",CONCATENATE(H23,G23,I23,CHAR(10)),"")</f>
        <v/>
      </c>
      <c r="K23" s="86"/>
    </row>
    <row r="24" spans="2:11" ht="15.75" customHeight="1" outlineLevel="1" x14ac:dyDescent="0.2">
      <c r="B24" s="10" t="s">
        <v>200</v>
      </c>
      <c r="C24" s="36"/>
      <c r="D24" s="141">
        <f>'DEM (Strategic Priorities)'!D28</f>
        <v>0</v>
      </c>
      <c r="E24" s="57">
        <f>'DEM (Strategic Priorities)'!E28</f>
        <v>0</v>
      </c>
      <c r="F24" s="86">
        <f t="shared" si="5"/>
        <v>0</v>
      </c>
      <c r="G24" s="86" t="str">
        <f t="shared" si="8"/>
        <v/>
      </c>
      <c r="H24" s="86" t="str">
        <f t="shared" si="6"/>
        <v/>
      </c>
      <c r="I24" s="131" t="str">
        <f t="shared" si="9"/>
        <v/>
      </c>
      <c r="J24" s="86" t="str">
        <f t="shared" ref="J24:J43" si="11">IF(G24&lt;&gt;"",CONCATENATE(H24,G24,I24,CHAR(10)),"")</f>
        <v/>
      </c>
      <c r="K24" s="86"/>
    </row>
    <row r="25" spans="2:11" ht="15.75" customHeight="1" outlineLevel="1" x14ac:dyDescent="0.2">
      <c r="B25" s="10" t="s">
        <v>201</v>
      </c>
      <c r="C25" s="36"/>
      <c r="D25" s="141">
        <f>'DEM (Strategic Priorities)'!D29</f>
        <v>0</v>
      </c>
      <c r="E25" s="57">
        <f>'DEM (Strategic Priorities)'!E29</f>
        <v>0</v>
      </c>
      <c r="F25" s="86">
        <f t="shared" si="5"/>
        <v>0</v>
      </c>
      <c r="G25" s="86" t="str">
        <f t="shared" si="8"/>
        <v/>
      </c>
      <c r="H25" s="86" t="str">
        <f t="shared" si="6"/>
        <v/>
      </c>
      <c r="I25" s="131" t="str">
        <f t="shared" si="9"/>
        <v/>
      </c>
      <c r="J25" s="86" t="str">
        <f t="shared" si="11"/>
        <v/>
      </c>
      <c r="K25" s="86"/>
    </row>
    <row r="26" spans="2:11" ht="30" customHeight="1" outlineLevel="1" x14ac:dyDescent="0.2">
      <c r="B26" s="10" t="s">
        <v>202</v>
      </c>
      <c r="C26" s="36"/>
      <c r="D26" s="143">
        <f>'DEM (Strategic Priorities)'!D30</f>
        <v>0</v>
      </c>
      <c r="E26" s="57">
        <f>'DEM (Strategic Priorities)'!E30</f>
        <v>0</v>
      </c>
      <c r="F26" s="86">
        <f t="shared" ref="F26:F43" si="12">IF(E26="Yes",1,0)</f>
        <v>0</v>
      </c>
      <c r="G26" s="86" t="str">
        <f t="shared" si="8"/>
        <v/>
      </c>
      <c r="H26" s="86" t="str">
        <f t="shared" si="6"/>
        <v/>
      </c>
      <c r="I26" s="131" t="str">
        <f t="shared" si="9"/>
        <v/>
      </c>
      <c r="J26" s="86" t="str">
        <f t="shared" si="11"/>
        <v/>
      </c>
      <c r="K26" s="86"/>
    </row>
    <row r="27" spans="2:11" ht="15.75" customHeight="1" outlineLevel="1" x14ac:dyDescent="0.2">
      <c r="B27" s="10" t="s">
        <v>203</v>
      </c>
      <c r="C27" s="36"/>
      <c r="D27" s="143">
        <f>'DEM (Strategic Priorities)'!D31</f>
        <v>0</v>
      </c>
      <c r="E27" s="57">
        <f>'DEM (Strategic Priorities)'!E31</f>
        <v>0</v>
      </c>
      <c r="F27" s="86">
        <f t="shared" si="12"/>
        <v>0</v>
      </c>
      <c r="G27" s="86" t="str">
        <f t="shared" si="8"/>
        <v/>
      </c>
      <c r="H27" s="86" t="str">
        <f t="shared" si="6"/>
        <v/>
      </c>
      <c r="I27" s="131" t="str">
        <f t="shared" si="9"/>
        <v/>
      </c>
      <c r="J27" s="86" t="str">
        <f t="shared" si="11"/>
        <v/>
      </c>
      <c r="K27" s="86"/>
    </row>
    <row r="28" spans="2:11" ht="15.75" customHeight="1" outlineLevel="1" x14ac:dyDescent="0.2">
      <c r="B28" s="10" t="s">
        <v>204</v>
      </c>
      <c r="C28" s="36"/>
      <c r="D28" s="143">
        <f>'DEM (Strategic Priorities)'!D32</f>
        <v>0</v>
      </c>
      <c r="E28" s="57">
        <f>'DEM (Strategic Priorities)'!E32</f>
        <v>0</v>
      </c>
      <c r="F28" s="86">
        <f t="shared" si="12"/>
        <v>0</v>
      </c>
      <c r="G28" s="86" t="str">
        <f t="shared" si="8"/>
        <v/>
      </c>
      <c r="H28" s="86" t="str">
        <f t="shared" si="6"/>
        <v/>
      </c>
      <c r="I28" s="131" t="str">
        <f t="shared" si="9"/>
        <v/>
      </c>
      <c r="J28" s="86" t="str">
        <f t="shared" si="11"/>
        <v/>
      </c>
      <c r="K28" s="86"/>
    </row>
    <row r="29" spans="2:11" ht="15.75" customHeight="1" outlineLevel="1" x14ac:dyDescent="0.2">
      <c r="B29" s="10" t="s">
        <v>205</v>
      </c>
      <c r="C29" s="36"/>
      <c r="D29" s="143">
        <f>'DEM (Strategic Priorities)'!D33</f>
        <v>0</v>
      </c>
      <c r="E29" s="57">
        <f>'DEM (Strategic Priorities)'!E33</f>
        <v>0</v>
      </c>
      <c r="F29" s="86">
        <f t="shared" si="12"/>
        <v>0</v>
      </c>
      <c r="G29" s="86" t="str">
        <f t="shared" si="8"/>
        <v/>
      </c>
      <c r="H29" s="86" t="str">
        <f t="shared" si="6"/>
        <v/>
      </c>
      <c r="I29" s="131" t="str">
        <f t="shared" si="9"/>
        <v/>
      </c>
      <c r="J29" s="86" t="str">
        <f t="shared" si="11"/>
        <v/>
      </c>
      <c r="K29" s="86"/>
    </row>
    <row r="30" spans="2:11" ht="27" customHeight="1" outlineLevel="1" x14ac:dyDescent="0.2">
      <c r="B30" s="10" t="s">
        <v>206</v>
      </c>
      <c r="C30" s="36"/>
      <c r="D30" s="143">
        <f>'DEM (Strategic Priorities)'!D34</f>
        <v>0</v>
      </c>
      <c r="E30" s="57">
        <f>'DEM (Strategic Priorities)'!E34</f>
        <v>0</v>
      </c>
      <c r="F30" s="86">
        <f t="shared" si="12"/>
        <v>0</v>
      </c>
      <c r="G30" s="86" t="str">
        <f t="shared" si="8"/>
        <v/>
      </c>
      <c r="H30" s="86" t="str">
        <f t="shared" si="6"/>
        <v/>
      </c>
      <c r="I30" s="131" t="str">
        <f t="shared" si="9"/>
        <v/>
      </c>
      <c r="J30" s="86" t="str">
        <f t="shared" si="11"/>
        <v/>
      </c>
      <c r="K30" s="86"/>
    </row>
    <row r="31" spans="2:11" ht="15.75" customHeight="1" outlineLevel="1" x14ac:dyDescent="0.2">
      <c r="B31" s="10" t="s">
        <v>207</v>
      </c>
      <c r="C31" s="36"/>
      <c r="D31" s="143">
        <f>'DEM (Strategic Priorities)'!D35</f>
        <v>0</v>
      </c>
      <c r="E31" s="57">
        <f>'DEM (Strategic Priorities)'!E35</f>
        <v>0</v>
      </c>
      <c r="F31" s="86">
        <f t="shared" si="12"/>
        <v>0</v>
      </c>
      <c r="G31" s="86" t="str">
        <f t="shared" si="8"/>
        <v/>
      </c>
      <c r="H31" s="86" t="str">
        <f t="shared" si="6"/>
        <v/>
      </c>
      <c r="I31" s="131" t="str">
        <f t="shared" si="9"/>
        <v/>
      </c>
      <c r="J31" s="86" t="str">
        <f t="shared" si="11"/>
        <v/>
      </c>
      <c r="K31" s="86"/>
    </row>
    <row r="32" spans="2:11" ht="15.75" customHeight="1" outlineLevel="1" x14ac:dyDescent="0.2">
      <c r="B32" s="10" t="s">
        <v>208</v>
      </c>
      <c r="C32" s="36"/>
      <c r="D32" s="143">
        <f>'DEM (Strategic Priorities)'!D36</f>
        <v>0</v>
      </c>
      <c r="E32" s="57">
        <f>'DEM (Strategic Priorities)'!E36</f>
        <v>0</v>
      </c>
      <c r="F32" s="86">
        <f t="shared" si="12"/>
        <v>0</v>
      </c>
      <c r="G32" s="86" t="str">
        <f t="shared" si="8"/>
        <v/>
      </c>
      <c r="H32" s="86" t="str">
        <f t="shared" si="6"/>
        <v/>
      </c>
      <c r="I32" s="131" t="str">
        <f t="shared" si="9"/>
        <v/>
      </c>
      <c r="J32" s="86" t="str">
        <f t="shared" si="11"/>
        <v/>
      </c>
      <c r="K32" s="86"/>
    </row>
    <row r="33" spans="2:11" ht="15.75" customHeight="1" outlineLevel="1" x14ac:dyDescent="0.2">
      <c r="B33" s="10" t="s">
        <v>209</v>
      </c>
      <c r="C33" s="36"/>
      <c r="D33" s="143">
        <f>'DEM (Strategic Priorities)'!D37</f>
        <v>0</v>
      </c>
      <c r="E33" s="57">
        <f>'DEM (Strategic Priorities)'!E37</f>
        <v>0</v>
      </c>
      <c r="F33" s="86">
        <f t="shared" si="12"/>
        <v>0</v>
      </c>
      <c r="G33" s="86" t="str">
        <f t="shared" si="8"/>
        <v/>
      </c>
      <c r="H33" s="86" t="str">
        <f t="shared" si="6"/>
        <v/>
      </c>
      <c r="I33" s="131" t="str">
        <f t="shared" si="9"/>
        <v/>
      </c>
      <c r="J33" s="86" t="str">
        <f t="shared" si="11"/>
        <v/>
      </c>
      <c r="K33" s="86"/>
    </row>
    <row r="34" spans="2:11" ht="15.75" customHeight="1" outlineLevel="1" x14ac:dyDescent="0.2">
      <c r="B34" s="10" t="s">
        <v>210</v>
      </c>
      <c r="C34" s="36"/>
      <c r="D34" s="143">
        <f>'DEM (Strategic Priorities)'!D38</f>
        <v>0</v>
      </c>
      <c r="E34" s="57">
        <f>'DEM (Strategic Priorities)'!E38</f>
        <v>0</v>
      </c>
      <c r="F34" s="86">
        <f t="shared" si="12"/>
        <v>0</v>
      </c>
      <c r="G34" s="86" t="str">
        <f t="shared" si="8"/>
        <v/>
      </c>
      <c r="H34" s="86" t="str">
        <f t="shared" si="6"/>
        <v/>
      </c>
      <c r="I34" s="131" t="str">
        <f t="shared" si="9"/>
        <v/>
      </c>
      <c r="J34" s="86" t="str">
        <f t="shared" si="11"/>
        <v/>
      </c>
      <c r="K34" s="86"/>
    </row>
    <row r="35" spans="2:11" ht="15.75" customHeight="1" x14ac:dyDescent="0.2">
      <c r="B35" s="10" t="s">
        <v>211</v>
      </c>
      <c r="C35" s="36"/>
      <c r="D35" s="143">
        <f>'DEM (Strategic Priorities)'!D39</f>
        <v>0</v>
      </c>
      <c r="E35" s="57">
        <f>'DEM (Strategic Priorities)'!E39</f>
        <v>0</v>
      </c>
      <c r="F35" s="86">
        <f t="shared" si="12"/>
        <v>0</v>
      </c>
      <c r="G35" s="86" t="str">
        <f t="shared" si="8"/>
        <v/>
      </c>
      <c r="H35" s="86" t="str">
        <f t="shared" si="6"/>
        <v/>
      </c>
      <c r="I35" s="131" t="str">
        <f t="shared" si="9"/>
        <v/>
      </c>
      <c r="J35" s="86" t="str">
        <f t="shared" si="11"/>
        <v/>
      </c>
      <c r="K35" s="86"/>
    </row>
    <row r="36" spans="2:11" ht="15.75" customHeight="1" outlineLevel="1" x14ac:dyDescent="0.2">
      <c r="B36" s="10" t="s">
        <v>212</v>
      </c>
      <c r="C36" s="36"/>
      <c r="D36" s="143">
        <f>'DEM (Strategic Priorities)'!D40</f>
        <v>0</v>
      </c>
      <c r="E36" s="57" t="str">
        <f>'DEM (Strategic Priorities)'!E40</f>
        <v>Yes</v>
      </c>
      <c r="F36" s="86">
        <f t="shared" si="12"/>
        <v>1</v>
      </c>
      <c r="G36" s="86" t="str">
        <f t="shared" si="8"/>
        <v>Hogares con acceso nuevo o mejorado a agua potable (#)</v>
      </c>
      <c r="H36" s="86" t="str">
        <f t="shared" si="6"/>
        <v>-</v>
      </c>
      <c r="I36" s="131" t="str">
        <f t="shared" si="9"/>
        <v>*</v>
      </c>
      <c r="J36" s="86" t="str">
        <f t="shared" si="11"/>
        <v xml:space="preserve">-Hogares con acceso nuevo o mejorado a agua potable (#)*
</v>
      </c>
      <c r="K36" s="86"/>
    </row>
    <row r="37" spans="2:11" ht="27.75" customHeight="1" outlineLevel="1" x14ac:dyDescent="0.2">
      <c r="B37" s="10" t="s">
        <v>213</v>
      </c>
      <c r="C37" s="36"/>
      <c r="D37" s="143">
        <f>'DEM (Strategic Priorities)'!D41</f>
        <v>0</v>
      </c>
      <c r="E37" s="57" t="str">
        <f>'DEM (Strategic Priorities)'!E41</f>
        <v>Yes</v>
      </c>
      <c r="F37" s="86">
        <f t="shared" si="12"/>
        <v>1</v>
      </c>
      <c r="G37" s="86" t="str">
        <f t="shared" si="8"/>
        <v>Hogares con acceso nuevo o mejorado a saneamiento  (#)</v>
      </c>
      <c r="H37" s="86" t="str">
        <f t="shared" si="6"/>
        <v>-</v>
      </c>
      <c r="I37" s="131" t="str">
        <f t="shared" si="9"/>
        <v>*</v>
      </c>
      <c r="J37" s="86" t="str">
        <f t="shared" si="11"/>
        <v xml:space="preserve">-Hogares con acceso nuevo o mejorado a saneamiento  (#)*
</v>
      </c>
      <c r="K37" s="86"/>
    </row>
    <row r="38" spans="2:11" ht="27" customHeight="1" outlineLevel="1" x14ac:dyDescent="0.2">
      <c r="B38" s="10" t="s">
        <v>214</v>
      </c>
      <c r="C38" s="36"/>
      <c r="D38" s="143">
        <f>'DEM (Strategic Priorities)'!D42</f>
        <v>0</v>
      </c>
      <c r="E38" s="57" t="str">
        <f>'DEM (Strategic Priorities)'!E42</f>
        <v>Yes</v>
      </c>
      <c r="F38" s="86">
        <f t="shared" si="12"/>
        <v>1</v>
      </c>
      <c r="G38" s="86" t="str">
        <f t="shared" si="8"/>
        <v>Capacidad de generación de energía instalada de fuentes de energía renovable (%)</v>
      </c>
      <c r="H38" s="86" t="str">
        <f t="shared" si="6"/>
        <v>-</v>
      </c>
      <c r="I38" s="131" t="str">
        <f t="shared" si="9"/>
        <v>*</v>
      </c>
      <c r="J38" s="86" t="str">
        <f t="shared" si="11"/>
        <v xml:space="preserve">-Capacidad de generación de energía instalada de fuentes de energía renovable (%)*
</v>
      </c>
      <c r="K38" s="86"/>
    </row>
    <row r="39" spans="2:11" ht="15.75" customHeight="1" outlineLevel="1" x14ac:dyDescent="0.2">
      <c r="B39" s="10" t="s">
        <v>215</v>
      </c>
      <c r="C39" s="36"/>
      <c r="D39" s="143">
        <f>'DEM (Strategic Priorities)'!D43</f>
        <v>0</v>
      </c>
      <c r="E39" s="57">
        <f>'DEM (Strategic Priorities)'!E43</f>
        <v>0</v>
      </c>
      <c r="F39" s="86">
        <f t="shared" si="12"/>
        <v>0</v>
      </c>
      <c r="G39" s="86" t="str">
        <f t="shared" si="8"/>
        <v/>
      </c>
      <c r="H39" s="86" t="str">
        <f t="shared" si="6"/>
        <v/>
      </c>
      <c r="I39" s="131" t="str">
        <f t="shared" si="9"/>
        <v/>
      </c>
      <c r="J39" s="86" t="str">
        <f t="shared" si="11"/>
        <v/>
      </c>
      <c r="K39" s="86"/>
    </row>
    <row r="40" spans="2:11" ht="28.5" customHeight="1" outlineLevel="1" x14ac:dyDescent="0.2">
      <c r="B40" s="10" t="s">
        <v>216</v>
      </c>
      <c r="C40" s="36"/>
      <c r="D40" s="143">
        <f>'DEM (Strategic Priorities)'!D44</f>
        <v>0</v>
      </c>
      <c r="E40" s="57">
        <f>'DEM (Strategic Priorities)'!E44</f>
        <v>0</v>
      </c>
      <c r="F40" s="86">
        <f t="shared" si="12"/>
        <v>0</v>
      </c>
      <c r="G40" s="86" t="str">
        <f t="shared" si="8"/>
        <v/>
      </c>
      <c r="H40" s="86" t="str">
        <f t="shared" si="6"/>
        <v/>
      </c>
      <c r="I40" s="131" t="str">
        <f t="shared" si="9"/>
        <v/>
      </c>
      <c r="J40" s="86" t="str">
        <f t="shared" si="11"/>
        <v/>
      </c>
      <c r="K40" s="86"/>
    </row>
    <row r="41" spans="2:11" ht="15.75" customHeight="1" x14ac:dyDescent="0.2">
      <c r="B41" s="10" t="s">
        <v>217</v>
      </c>
      <c r="C41" s="36"/>
      <c r="D41" s="143">
        <f>'DEM (Strategic Priorities)'!D45</f>
        <v>0</v>
      </c>
      <c r="E41" s="57">
        <f>'DEM (Strategic Priorities)'!E45</f>
        <v>0</v>
      </c>
      <c r="F41" s="86">
        <f t="shared" si="12"/>
        <v>0</v>
      </c>
      <c r="G41" s="86" t="str">
        <f t="shared" si="8"/>
        <v/>
      </c>
      <c r="H41" s="86" t="str">
        <f t="shared" si="6"/>
        <v/>
      </c>
      <c r="I41" s="131" t="str">
        <f t="shared" si="9"/>
        <v/>
      </c>
      <c r="J41" s="86" t="str">
        <f t="shared" si="11"/>
        <v/>
      </c>
      <c r="K41" s="86"/>
    </row>
    <row r="42" spans="2:11" ht="15.75" customHeight="1" x14ac:dyDescent="0.2">
      <c r="B42" s="10" t="s">
        <v>218</v>
      </c>
      <c r="C42" s="36"/>
      <c r="D42" s="143">
        <f>'DEM (Strategic Priorities)'!D46</f>
        <v>0</v>
      </c>
      <c r="E42" s="57">
        <f>'DEM (Strategic Priorities)'!E46</f>
        <v>0</v>
      </c>
      <c r="F42" s="86">
        <f t="shared" si="12"/>
        <v>0</v>
      </c>
      <c r="G42" s="86" t="str">
        <f t="shared" si="8"/>
        <v/>
      </c>
      <c r="H42" s="86" t="str">
        <f t="shared" si="6"/>
        <v/>
      </c>
      <c r="I42" s="131" t="str">
        <f t="shared" si="9"/>
        <v/>
      </c>
      <c r="J42" s="86" t="str">
        <f t="shared" si="11"/>
        <v/>
      </c>
      <c r="K42" s="86"/>
    </row>
    <row r="43" spans="2:11" ht="27.75" customHeight="1" x14ac:dyDescent="0.2">
      <c r="B43" s="10" t="s">
        <v>219</v>
      </c>
      <c r="C43" s="36"/>
      <c r="D43" s="143">
        <f>'DEM (Strategic Priorities)'!D47</f>
        <v>0</v>
      </c>
      <c r="E43" s="57">
        <f>'DEM (Strategic Priorities)'!E47</f>
        <v>0</v>
      </c>
      <c r="F43" s="86">
        <f t="shared" si="12"/>
        <v>0</v>
      </c>
      <c r="G43" s="86" t="str">
        <f t="shared" si="8"/>
        <v/>
      </c>
      <c r="H43" s="86" t="str">
        <f t="shared" si="6"/>
        <v/>
      </c>
      <c r="I43" s="131" t="str">
        <f t="shared" si="9"/>
        <v/>
      </c>
      <c r="J43" s="86" t="str">
        <f t="shared" si="11"/>
        <v/>
      </c>
      <c r="K43" s="86"/>
    </row>
    <row r="44" spans="2:11" ht="15.75" customHeight="1" x14ac:dyDescent="0.2">
      <c r="B44" s="185" t="s">
        <v>220</v>
      </c>
      <c r="C44" s="36"/>
      <c r="D44" s="143">
        <f>'DEM (Strategic Priorities)'!D49</f>
        <v>0</v>
      </c>
      <c r="E44" s="57">
        <f>'DEM (Strategic Priorities)'!E49</f>
        <v>0</v>
      </c>
      <c r="F44" s="86">
        <f t="shared" ref="F44:F73" si="13">IF(E44="Yes",1,0)</f>
        <v>0</v>
      </c>
      <c r="G44" s="86" t="str">
        <f t="shared" ref="G44:G73" si="14">IF(F44=1,B44,"")</f>
        <v/>
      </c>
      <c r="H44" s="86" t="str">
        <f t="shared" ref="H44:H73" si="15">IF(G44&lt;&gt;"","-","")</f>
        <v/>
      </c>
      <c r="I44" s="131" t="str">
        <f t="shared" ref="I44:I73" si="16">IF(E44="Yes","*","")</f>
        <v/>
      </c>
      <c r="J44" s="86" t="str">
        <f t="shared" ref="J44:J73" si="17">IF(G44&lt;&gt;"",CONCATENATE(H44,G44,I44,CHAR(10)),"")</f>
        <v/>
      </c>
      <c r="K44" s="86"/>
    </row>
    <row r="45" spans="2:11" ht="15.75" customHeight="1" x14ac:dyDescent="0.2">
      <c r="B45" s="10" t="s">
        <v>221</v>
      </c>
      <c r="C45" s="36"/>
      <c r="D45" s="143">
        <f>'DEM (Strategic Priorities)'!D50</f>
        <v>0</v>
      </c>
      <c r="E45" s="57">
        <f>'DEM (Strategic Priorities)'!E50</f>
        <v>0</v>
      </c>
      <c r="F45" s="86">
        <f t="shared" si="13"/>
        <v>0</v>
      </c>
      <c r="G45" s="86" t="str">
        <f t="shared" si="14"/>
        <v/>
      </c>
      <c r="H45" s="86" t="str">
        <f t="shared" si="15"/>
        <v/>
      </c>
      <c r="I45" s="131" t="str">
        <f t="shared" si="16"/>
        <v/>
      </c>
      <c r="J45" s="86" t="str">
        <f t="shared" si="17"/>
        <v/>
      </c>
      <c r="K45" s="86"/>
    </row>
    <row r="46" spans="2:11" ht="15.75" customHeight="1" x14ac:dyDescent="0.2">
      <c r="B46" s="10" t="s">
        <v>222</v>
      </c>
      <c r="C46" s="36"/>
      <c r="D46" s="143">
        <f>'DEM (Strategic Priorities)'!D51</f>
        <v>0</v>
      </c>
      <c r="E46" s="57">
        <f>'DEM (Strategic Priorities)'!E51</f>
        <v>0</v>
      </c>
      <c r="F46" s="86">
        <f t="shared" si="13"/>
        <v>0</v>
      </c>
      <c r="G46" s="86" t="str">
        <f t="shared" si="14"/>
        <v/>
      </c>
      <c r="H46" s="86" t="str">
        <f t="shared" si="15"/>
        <v/>
      </c>
      <c r="I46" s="131" t="str">
        <f t="shared" si="16"/>
        <v/>
      </c>
      <c r="J46" s="86" t="str">
        <f t="shared" si="17"/>
        <v/>
      </c>
      <c r="K46" s="86"/>
    </row>
    <row r="47" spans="2:11" ht="15.75" customHeight="1" x14ac:dyDescent="0.2">
      <c r="B47" s="10" t="s">
        <v>223</v>
      </c>
      <c r="C47" s="36"/>
      <c r="D47" s="143">
        <f>'DEM (Strategic Priorities)'!D52</f>
        <v>0</v>
      </c>
      <c r="E47" s="57" t="str">
        <f>'DEM (Strategic Priorities)'!E52</f>
        <v>Yes</v>
      </c>
      <c r="F47" s="86">
        <f t="shared" si="13"/>
        <v>1</v>
      </c>
      <c r="G47" s="86" t="str">
        <f t="shared" si="14"/>
        <v>Hogares con tratamiento de agua residuales (#)</v>
      </c>
      <c r="H47" s="86" t="str">
        <f t="shared" si="15"/>
        <v>-</v>
      </c>
      <c r="I47" s="131" t="str">
        <f t="shared" si="16"/>
        <v>*</v>
      </c>
      <c r="J47" s="86" t="str">
        <f t="shared" si="17"/>
        <v xml:space="preserve">-Hogares con tratamiento de agua residuales (#)*
</v>
      </c>
      <c r="K47" s="86"/>
    </row>
    <row r="48" spans="2:11" ht="15.75" customHeight="1" x14ac:dyDescent="0.2">
      <c r="B48" s="10" t="s">
        <v>224</v>
      </c>
      <c r="C48" s="36"/>
      <c r="D48" s="143">
        <f>'DEM (Strategic Priorities)'!D53</f>
        <v>0</v>
      </c>
      <c r="E48" s="57">
        <f>'DEM (Strategic Priorities)'!E53</f>
        <v>0</v>
      </c>
      <c r="F48" s="86">
        <f t="shared" si="13"/>
        <v>0</v>
      </c>
      <c r="G48" s="86" t="str">
        <f t="shared" si="14"/>
        <v/>
      </c>
      <c r="H48" s="86" t="str">
        <f t="shared" si="15"/>
        <v/>
      </c>
      <c r="I48" s="131" t="str">
        <f t="shared" si="16"/>
        <v/>
      </c>
      <c r="J48" s="86" t="str">
        <f t="shared" si="17"/>
        <v/>
      </c>
      <c r="K48" s="86"/>
    </row>
    <row r="49" spans="2:11" ht="15.75" customHeight="1" x14ac:dyDescent="0.2">
      <c r="B49" s="10" t="s">
        <v>225</v>
      </c>
      <c r="C49" s="36"/>
      <c r="D49" s="143">
        <f>'DEM (Strategic Priorities)'!D54</f>
        <v>0</v>
      </c>
      <c r="E49" s="57">
        <f>'DEM (Strategic Priorities)'!E54</f>
        <v>0</v>
      </c>
      <c r="F49" s="86">
        <f t="shared" si="13"/>
        <v>0</v>
      </c>
      <c r="G49" s="86" t="str">
        <f t="shared" si="14"/>
        <v/>
      </c>
      <c r="H49" s="86" t="str">
        <f t="shared" si="15"/>
        <v/>
      </c>
      <c r="I49" s="131" t="str">
        <f t="shared" si="16"/>
        <v/>
      </c>
      <c r="J49" s="86" t="str">
        <f t="shared" si="17"/>
        <v/>
      </c>
      <c r="K49" s="86"/>
    </row>
    <row r="50" spans="2:11" ht="15.75" customHeight="1" x14ac:dyDescent="0.2">
      <c r="B50" s="10" t="s">
        <v>226</v>
      </c>
      <c r="C50" s="36"/>
      <c r="D50" s="143">
        <f>'DEM (Strategic Priorities)'!D55</f>
        <v>0</v>
      </c>
      <c r="E50" s="57">
        <f>'DEM (Strategic Priorities)'!E55</f>
        <v>0</v>
      </c>
      <c r="F50" s="86">
        <f t="shared" si="13"/>
        <v>0</v>
      </c>
      <c r="G50" s="86" t="str">
        <f t="shared" si="14"/>
        <v/>
      </c>
      <c r="H50" s="86" t="str">
        <f t="shared" si="15"/>
        <v/>
      </c>
      <c r="I50" s="131" t="str">
        <f t="shared" si="16"/>
        <v/>
      </c>
      <c r="J50" s="86" t="str">
        <f t="shared" si="17"/>
        <v/>
      </c>
      <c r="K50" s="86"/>
    </row>
    <row r="51" spans="2:11" ht="15.75" customHeight="1" x14ac:dyDescent="0.2">
      <c r="B51" s="10" t="s">
        <v>227</v>
      </c>
      <c r="C51" s="36"/>
      <c r="D51" s="143">
        <f>'DEM (Strategic Priorities)'!D56</f>
        <v>0</v>
      </c>
      <c r="E51" s="57">
        <f>'DEM (Strategic Priorities)'!E56</f>
        <v>0</v>
      </c>
      <c r="F51" s="86">
        <f t="shared" si="13"/>
        <v>0</v>
      </c>
      <c r="G51" s="86" t="str">
        <f t="shared" si="14"/>
        <v/>
      </c>
      <c r="H51" s="86" t="str">
        <f t="shared" si="15"/>
        <v/>
      </c>
      <c r="I51" s="131" t="str">
        <f t="shared" si="16"/>
        <v/>
      </c>
      <c r="J51" s="86" t="str">
        <f t="shared" si="17"/>
        <v/>
      </c>
      <c r="K51" s="86"/>
    </row>
    <row r="52" spans="2:11" ht="15.75" customHeight="1" x14ac:dyDescent="0.2">
      <c r="B52" s="10" t="s">
        <v>228</v>
      </c>
      <c r="C52" s="36"/>
      <c r="D52" s="143">
        <f>'DEM (Strategic Priorities)'!D57</f>
        <v>0</v>
      </c>
      <c r="E52" s="57">
        <f>'DEM (Strategic Priorities)'!E57</f>
        <v>0</v>
      </c>
      <c r="F52" s="86">
        <f t="shared" si="13"/>
        <v>0</v>
      </c>
      <c r="G52" s="86" t="str">
        <f t="shared" si="14"/>
        <v/>
      </c>
      <c r="H52" s="86" t="str">
        <f t="shared" si="15"/>
        <v/>
      </c>
      <c r="I52" s="131" t="str">
        <f t="shared" si="16"/>
        <v/>
      </c>
      <c r="J52" s="86" t="str">
        <f t="shared" si="17"/>
        <v/>
      </c>
      <c r="K52" s="86"/>
    </row>
    <row r="53" spans="2:11" ht="15.75" customHeight="1" x14ac:dyDescent="0.2">
      <c r="B53" s="10" t="s">
        <v>229</v>
      </c>
      <c r="C53" s="36"/>
      <c r="D53" s="143">
        <f>'DEM (Strategic Priorities)'!D58</f>
        <v>0</v>
      </c>
      <c r="E53" s="57">
        <f>'DEM (Strategic Priorities)'!E58</f>
        <v>0</v>
      </c>
      <c r="F53" s="86">
        <f t="shared" si="13"/>
        <v>0</v>
      </c>
      <c r="G53" s="86" t="str">
        <f t="shared" si="14"/>
        <v/>
      </c>
      <c r="H53" s="86" t="str">
        <f t="shared" si="15"/>
        <v/>
      </c>
      <c r="I53" s="131" t="str">
        <f t="shared" si="16"/>
        <v/>
      </c>
      <c r="J53" s="86" t="str">
        <f t="shared" si="17"/>
        <v/>
      </c>
      <c r="K53" s="86"/>
    </row>
    <row r="54" spans="2:11" ht="15.75" customHeight="1" x14ac:dyDescent="0.2">
      <c r="B54" s="10" t="s">
        <v>230</v>
      </c>
      <c r="C54" s="36"/>
      <c r="D54" s="143">
        <f>'DEM (Strategic Priorities)'!D59</f>
        <v>0</v>
      </c>
      <c r="E54" s="57">
        <f>'DEM (Strategic Priorities)'!E59</f>
        <v>0</v>
      </c>
      <c r="F54" s="86">
        <f t="shared" si="13"/>
        <v>0</v>
      </c>
      <c r="G54" s="86" t="str">
        <f t="shared" si="14"/>
        <v/>
      </c>
      <c r="H54" s="86" t="str">
        <f t="shared" si="15"/>
        <v/>
      </c>
      <c r="I54" s="131" t="str">
        <f t="shared" si="16"/>
        <v/>
      </c>
      <c r="J54" s="86" t="str">
        <f t="shared" si="17"/>
        <v/>
      </c>
      <c r="K54" s="86"/>
    </row>
    <row r="55" spans="2:11" ht="15.75" customHeight="1" x14ac:dyDescent="0.2">
      <c r="B55" s="10" t="s">
        <v>231</v>
      </c>
      <c r="C55" s="36"/>
      <c r="D55" s="143">
        <f>'DEM (Strategic Priorities)'!D60</f>
        <v>0</v>
      </c>
      <c r="E55" s="57">
        <f>'DEM (Strategic Priorities)'!E60</f>
        <v>0</v>
      </c>
      <c r="F55" s="86">
        <f t="shared" si="13"/>
        <v>0</v>
      </c>
      <c r="G55" s="86" t="str">
        <f t="shared" si="14"/>
        <v/>
      </c>
      <c r="H55" s="86" t="str">
        <f t="shared" si="15"/>
        <v/>
      </c>
      <c r="I55" s="131" t="str">
        <f t="shared" si="16"/>
        <v/>
      </c>
      <c r="J55" s="86" t="str">
        <f t="shared" si="17"/>
        <v/>
      </c>
      <c r="K55" s="86"/>
    </row>
    <row r="56" spans="2:11" ht="15.75" customHeight="1" x14ac:dyDescent="0.2">
      <c r="B56" s="10" t="s">
        <v>232</v>
      </c>
      <c r="C56" s="36"/>
      <c r="D56" s="143">
        <f>'DEM (Strategic Priorities)'!D61</f>
        <v>0</v>
      </c>
      <c r="E56" s="57">
        <f>'DEM (Strategic Priorities)'!E61</f>
        <v>0</v>
      </c>
      <c r="F56" s="86">
        <f t="shared" si="13"/>
        <v>0</v>
      </c>
      <c r="G56" s="86" t="str">
        <f t="shared" si="14"/>
        <v/>
      </c>
      <c r="H56" s="86" t="str">
        <f t="shared" si="15"/>
        <v/>
      </c>
      <c r="I56" s="131" t="str">
        <f t="shared" si="16"/>
        <v/>
      </c>
      <c r="J56" s="86" t="str">
        <f t="shared" si="17"/>
        <v/>
      </c>
      <c r="K56" s="86"/>
    </row>
    <row r="57" spans="2:11" ht="25.5" x14ac:dyDescent="0.2">
      <c r="B57" s="10" t="s">
        <v>233</v>
      </c>
      <c r="C57" s="36"/>
      <c r="D57" s="143">
        <f>'DEM (Strategic Priorities)'!D62</f>
        <v>0</v>
      </c>
      <c r="E57" s="57">
        <f>'DEM (Strategic Priorities)'!E62</f>
        <v>0</v>
      </c>
      <c r="F57" s="86">
        <f t="shared" si="13"/>
        <v>0</v>
      </c>
      <c r="G57" s="86" t="str">
        <f t="shared" si="14"/>
        <v/>
      </c>
      <c r="H57" s="86" t="str">
        <f t="shared" si="15"/>
        <v/>
      </c>
      <c r="I57" s="131" t="str">
        <f t="shared" si="16"/>
        <v/>
      </c>
      <c r="J57" s="86" t="str">
        <f t="shared" si="17"/>
        <v/>
      </c>
      <c r="K57" s="86"/>
    </row>
    <row r="58" spans="2:11" x14ac:dyDescent="0.2">
      <c r="B58" s="10" t="s">
        <v>234</v>
      </c>
      <c r="C58" s="36"/>
      <c r="D58" s="143">
        <f>'DEM (Strategic Priorities)'!D63</f>
        <v>0</v>
      </c>
      <c r="E58" s="57">
        <f>'DEM (Strategic Priorities)'!E63</f>
        <v>0</v>
      </c>
      <c r="F58" s="86">
        <f t="shared" si="13"/>
        <v>0</v>
      </c>
      <c r="G58" s="86" t="str">
        <f t="shared" si="14"/>
        <v/>
      </c>
      <c r="H58" s="86" t="str">
        <f t="shared" si="15"/>
        <v/>
      </c>
      <c r="I58" s="131" t="str">
        <f t="shared" si="16"/>
        <v/>
      </c>
      <c r="J58" s="86" t="str">
        <f t="shared" si="17"/>
        <v/>
      </c>
      <c r="K58" s="86"/>
    </row>
    <row r="59" spans="2:11" ht="25.5" x14ac:dyDescent="0.2">
      <c r="B59" s="10" t="s">
        <v>235</v>
      </c>
      <c r="C59" s="36"/>
      <c r="D59" s="143">
        <f>'DEM (Strategic Priorities)'!D64</f>
        <v>0</v>
      </c>
      <c r="E59" s="57">
        <f>'DEM (Strategic Priorities)'!E64</f>
        <v>0</v>
      </c>
      <c r="F59" s="86">
        <f t="shared" si="13"/>
        <v>0</v>
      </c>
      <c r="G59" s="86" t="str">
        <f t="shared" si="14"/>
        <v/>
      </c>
      <c r="H59" s="86" t="str">
        <f t="shared" si="15"/>
        <v/>
      </c>
      <c r="I59" s="131" t="str">
        <f t="shared" si="16"/>
        <v/>
      </c>
      <c r="J59" s="86" t="str">
        <f t="shared" si="17"/>
        <v/>
      </c>
      <c r="K59" s="86"/>
    </row>
    <row r="60" spans="2:11" x14ac:dyDescent="0.2">
      <c r="B60" s="199" t="s">
        <v>236</v>
      </c>
      <c r="C60" s="201"/>
      <c r="D60" s="202">
        <f>'DEM (Strategic Priorities)'!D65</f>
        <v>0</v>
      </c>
      <c r="E60" s="203">
        <f>'DEM (Strategic Priorities)'!E65</f>
        <v>0</v>
      </c>
      <c r="F60" s="86">
        <f t="shared" ref="F60" si="18">IF(E60="Yes",1,0)</f>
        <v>0</v>
      </c>
      <c r="G60" s="86" t="str">
        <f t="shared" ref="G60" si="19">IF(F60=1,B60,"")</f>
        <v/>
      </c>
      <c r="H60" s="86" t="str">
        <f t="shared" ref="H60" si="20">IF(G60&lt;&gt;"","-","")</f>
        <v/>
      </c>
      <c r="I60" s="131" t="str">
        <f t="shared" ref="I60" si="21">IF(E60="Yes","*","")</f>
        <v/>
      </c>
      <c r="J60" s="86" t="str">
        <f t="shared" ref="J60" si="22">IF(G60&lt;&gt;"",CONCATENATE(H60,G60,I60,CHAR(10)),"")</f>
        <v/>
      </c>
      <c r="K60" s="86"/>
    </row>
    <row r="61" spans="2:11" x14ac:dyDescent="0.2">
      <c r="B61" s="10" t="s">
        <v>237</v>
      </c>
      <c r="C61" s="36"/>
      <c r="D61" s="143">
        <f>'DEM (Strategic Priorities)'!D66</f>
        <v>0</v>
      </c>
      <c r="E61" s="57">
        <f>'DEM (Strategic Priorities)'!E66</f>
        <v>0</v>
      </c>
      <c r="F61" s="86">
        <f t="shared" si="13"/>
        <v>0</v>
      </c>
      <c r="G61" s="86" t="str">
        <f t="shared" si="14"/>
        <v/>
      </c>
      <c r="H61" s="86" t="str">
        <f t="shared" si="15"/>
        <v/>
      </c>
      <c r="I61" s="131" t="str">
        <f t="shared" si="16"/>
        <v/>
      </c>
      <c r="J61" s="86" t="str">
        <f t="shared" si="17"/>
        <v/>
      </c>
      <c r="K61" s="86"/>
    </row>
    <row r="62" spans="2:11" ht="25.5" x14ac:dyDescent="0.2">
      <c r="B62" s="10" t="s">
        <v>238</v>
      </c>
      <c r="C62" s="36"/>
      <c r="D62" s="143">
        <f>'DEM (Strategic Priorities)'!D67</f>
        <v>0</v>
      </c>
      <c r="E62" s="57">
        <f>'DEM (Strategic Priorities)'!E67</f>
        <v>0</v>
      </c>
      <c r="F62" s="86">
        <f t="shared" si="13"/>
        <v>0</v>
      </c>
      <c r="G62" s="86" t="str">
        <f t="shared" si="14"/>
        <v/>
      </c>
      <c r="H62" s="86" t="str">
        <f t="shared" si="15"/>
        <v/>
      </c>
      <c r="I62" s="131" t="str">
        <f t="shared" si="16"/>
        <v/>
      </c>
      <c r="J62" s="86" t="str">
        <f t="shared" si="17"/>
        <v/>
      </c>
      <c r="K62" s="86"/>
    </row>
    <row r="63" spans="2:11" x14ac:dyDescent="0.2">
      <c r="B63" s="199" t="s">
        <v>239</v>
      </c>
      <c r="C63" s="201"/>
      <c r="D63" s="202">
        <f>'DEM (Strategic Priorities)'!D68</f>
        <v>0</v>
      </c>
      <c r="E63" s="203">
        <f>'DEM (Strategic Priorities)'!E68</f>
        <v>0</v>
      </c>
      <c r="F63" s="86">
        <f t="shared" ref="F63" si="23">IF(E63="Yes",1,0)</f>
        <v>0</v>
      </c>
      <c r="G63" s="86" t="str">
        <f t="shared" ref="G63" si="24">IF(F63=1,B63,"")</f>
        <v/>
      </c>
      <c r="H63" s="86" t="str">
        <f t="shared" ref="H63" si="25">IF(G63&lt;&gt;"","-","")</f>
        <v/>
      </c>
      <c r="I63" s="131" t="str">
        <f t="shared" ref="I63" si="26">IF(E63="Yes","*","")</f>
        <v/>
      </c>
      <c r="J63" s="86" t="str">
        <f t="shared" ref="J63" si="27">IF(G63&lt;&gt;"",CONCATENATE(H63,G63,I63,CHAR(10)),"")</f>
        <v/>
      </c>
      <c r="K63" s="86"/>
    </row>
    <row r="64" spans="2:11" ht="15.75" customHeight="1" x14ac:dyDescent="0.2">
      <c r="B64" s="10" t="s">
        <v>240</v>
      </c>
      <c r="C64" s="36"/>
      <c r="D64" s="143">
        <f>'DEM (Strategic Priorities)'!D69</f>
        <v>0</v>
      </c>
      <c r="E64" s="57">
        <f>'DEM (Strategic Priorities)'!E69</f>
        <v>0</v>
      </c>
      <c r="F64" s="86">
        <f t="shared" si="13"/>
        <v>0</v>
      </c>
      <c r="G64" s="86" t="str">
        <f t="shared" si="14"/>
        <v/>
      </c>
      <c r="H64" s="86" t="str">
        <f t="shared" si="15"/>
        <v/>
      </c>
      <c r="I64" s="131" t="str">
        <f t="shared" si="16"/>
        <v/>
      </c>
      <c r="J64" s="86" t="str">
        <f t="shared" si="17"/>
        <v/>
      </c>
      <c r="K64" s="86"/>
    </row>
    <row r="65" spans="2:11" ht="15.75" customHeight="1" x14ac:dyDescent="0.2">
      <c r="B65" s="10" t="s">
        <v>241</v>
      </c>
      <c r="C65" s="36"/>
      <c r="D65" s="143">
        <f>'DEM (Strategic Priorities)'!D70</f>
        <v>0</v>
      </c>
      <c r="E65" s="57">
        <f>'DEM (Strategic Priorities)'!E70</f>
        <v>0</v>
      </c>
      <c r="F65" s="86">
        <f t="shared" si="13"/>
        <v>0</v>
      </c>
      <c r="G65" s="86" t="str">
        <f t="shared" si="14"/>
        <v/>
      </c>
      <c r="H65" s="86" t="str">
        <f t="shared" si="15"/>
        <v/>
      </c>
      <c r="I65" s="131" t="str">
        <f t="shared" si="16"/>
        <v/>
      </c>
      <c r="J65" s="86" t="str">
        <f t="shared" si="17"/>
        <v/>
      </c>
      <c r="K65" s="86"/>
    </row>
    <row r="66" spans="2:11" ht="15.75" customHeight="1" x14ac:dyDescent="0.2">
      <c r="B66" s="10" t="s">
        <v>242</v>
      </c>
      <c r="C66" s="36"/>
      <c r="D66" s="143">
        <f>'DEM (Strategic Priorities)'!D71</f>
        <v>0</v>
      </c>
      <c r="E66" s="57">
        <f>'DEM (Strategic Priorities)'!E71</f>
        <v>0</v>
      </c>
      <c r="F66" s="86">
        <f t="shared" si="13"/>
        <v>0</v>
      </c>
      <c r="G66" s="86" t="str">
        <f t="shared" si="14"/>
        <v/>
      </c>
      <c r="H66" s="86" t="str">
        <f t="shared" si="15"/>
        <v/>
      </c>
      <c r="I66" s="131" t="str">
        <f t="shared" si="16"/>
        <v/>
      </c>
      <c r="J66" s="86" t="str">
        <f t="shared" si="17"/>
        <v/>
      </c>
      <c r="K66" s="86"/>
    </row>
    <row r="67" spans="2:11" ht="15.75" customHeight="1" x14ac:dyDescent="0.2">
      <c r="B67" s="199" t="s">
        <v>243</v>
      </c>
      <c r="C67" s="201"/>
      <c r="D67" s="202">
        <f>'DEM (Strategic Priorities)'!D72</f>
        <v>0</v>
      </c>
      <c r="E67" s="203">
        <f>'DEM (Strategic Priorities)'!E72</f>
        <v>0</v>
      </c>
      <c r="F67" s="86">
        <f t="shared" si="13"/>
        <v>0</v>
      </c>
      <c r="G67" s="86" t="str">
        <f t="shared" si="14"/>
        <v/>
      </c>
      <c r="H67" s="86" t="str">
        <f t="shared" si="15"/>
        <v/>
      </c>
      <c r="I67" s="131" t="str">
        <f t="shared" si="16"/>
        <v/>
      </c>
      <c r="J67" s="86" t="str">
        <f t="shared" si="17"/>
        <v/>
      </c>
      <c r="K67" s="86"/>
    </row>
    <row r="68" spans="2:11" ht="15.75" customHeight="1" x14ac:dyDescent="0.2">
      <c r="B68" s="199" t="s">
        <v>244</v>
      </c>
      <c r="C68" s="201"/>
      <c r="D68" s="202">
        <f>'DEM (Strategic Priorities)'!D73</f>
        <v>0</v>
      </c>
      <c r="E68" s="203">
        <f>'DEM (Strategic Priorities)'!E73</f>
        <v>0</v>
      </c>
      <c r="F68" s="86">
        <f t="shared" ref="F68:F72" si="28">IF(E68="Yes",1,0)</f>
        <v>0</v>
      </c>
      <c r="G68" s="86" t="str">
        <f t="shared" ref="G68:G72" si="29">IF(F68=1,B68,"")</f>
        <v/>
      </c>
      <c r="H68" s="86" t="str">
        <f t="shared" ref="H68:H72" si="30">IF(G68&lt;&gt;"","-","")</f>
        <v/>
      </c>
      <c r="I68" s="131" t="str">
        <f t="shared" ref="I68:I72" si="31">IF(E68="Yes","*","")</f>
        <v/>
      </c>
      <c r="J68" s="86" t="str">
        <f t="shared" ref="J68:J72" si="32">IF(G68&lt;&gt;"",CONCATENATE(H68,G68,I68,CHAR(10)),"")</f>
        <v/>
      </c>
      <c r="K68" s="86"/>
    </row>
    <row r="69" spans="2:11" ht="15.75" customHeight="1" x14ac:dyDescent="0.2">
      <c r="B69" s="199" t="s">
        <v>245</v>
      </c>
      <c r="C69" s="201"/>
      <c r="D69" s="202">
        <f>'DEM (Strategic Priorities)'!D74</f>
        <v>0</v>
      </c>
      <c r="E69" s="203">
        <f>'DEM (Strategic Priorities)'!E74</f>
        <v>0</v>
      </c>
      <c r="F69" s="86">
        <f t="shared" si="28"/>
        <v>0</v>
      </c>
      <c r="G69" s="86" t="str">
        <f t="shared" si="29"/>
        <v/>
      </c>
      <c r="H69" s="86" t="str">
        <f t="shared" si="30"/>
        <v/>
      </c>
      <c r="I69" s="131" t="str">
        <f t="shared" si="31"/>
        <v/>
      </c>
      <c r="J69" s="86" t="str">
        <f t="shared" si="32"/>
        <v/>
      </c>
      <c r="K69" s="86"/>
    </row>
    <row r="70" spans="2:11" ht="15.75" customHeight="1" x14ac:dyDescent="0.2">
      <c r="B70" s="199" t="s">
        <v>246</v>
      </c>
      <c r="C70" s="201"/>
      <c r="D70" s="202">
        <f>'DEM (Strategic Priorities)'!D75</f>
        <v>0</v>
      </c>
      <c r="E70" s="203">
        <f>'DEM (Strategic Priorities)'!E75</f>
        <v>0</v>
      </c>
      <c r="F70" s="86">
        <f t="shared" si="28"/>
        <v>0</v>
      </c>
      <c r="G70" s="86" t="str">
        <f t="shared" si="29"/>
        <v/>
      </c>
      <c r="H70" s="86" t="str">
        <f t="shared" si="30"/>
        <v/>
      </c>
      <c r="I70" s="131" t="str">
        <f t="shared" si="31"/>
        <v/>
      </c>
      <c r="J70" s="86" t="str">
        <f t="shared" si="32"/>
        <v/>
      </c>
      <c r="K70" s="86"/>
    </row>
    <row r="71" spans="2:11" ht="15.75" customHeight="1" x14ac:dyDescent="0.2">
      <c r="B71" s="199" t="s">
        <v>247</v>
      </c>
      <c r="C71" s="201"/>
      <c r="D71" s="202">
        <f>'DEM (Strategic Priorities)'!D76</f>
        <v>0</v>
      </c>
      <c r="E71" s="203">
        <f>'DEM (Strategic Priorities)'!E76</f>
        <v>0</v>
      </c>
      <c r="F71" s="86">
        <f t="shared" si="28"/>
        <v>0</v>
      </c>
      <c r="G71" s="86" t="str">
        <f t="shared" si="29"/>
        <v/>
      </c>
      <c r="H71" s="86" t="str">
        <f t="shared" si="30"/>
        <v/>
      </c>
      <c r="I71" s="131" t="str">
        <f t="shared" si="31"/>
        <v/>
      </c>
      <c r="J71" s="86" t="str">
        <f t="shared" si="32"/>
        <v/>
      </c>
      <c r="K71" s="86"/>
    </row>
    <row r="72" spans="2:11" ht="15.75" customHeight="1" x14ac:dyDescent="0.2">
      <c r="B72" s="199" t="s">
        <v>248</v>
      </c>
      <c r="C72" s="201"/>
      <c r="D72" s="202">
        <f>'DEM (Strategic Priorities)'!D77</f>
        <v>0</v>
      </c>
      <c r="E72" s="203">
        <f>'DEM (Strategic Priorities)'!E77</f>
        <v>0</v>
      </c>
      <c r="F72" s="86">
        <f t="shared" si="28"/>
        <v>0</v>
      </c>
      <c r="G72" s="86" t="str">
        <f t="shared" si="29"/>
        <v/>
      </c>
      <c r="H72" s="86" t="str">
        <f t="shared" si="30"/>
        <v/>
      </c>
      <c r="I72" s="131" t="str">
        <f t="shared" si="31"/>
        <v/>
      </c>
      <c r="J72" s="86" t="str">
        <f t="shared" si="32"/>
        <v/>
      </c>
      <c r="K72" s="86"/>
    </row>
    <row r="73" spans="2:11" ht="15.75" customHeight="1" x14ac:dyDescent="0.2">
      <c r="B73" s="10" t="s">
        <v>249</v>
      </c>
      <c r="C73" s="36"/>
      <c r="D73" s="143">
        <f>'DEM (Strategic Priorities)'!D78</f>
        <v>0</v>
      </c>
      <c r="E73" s="57">
        <f>'DEM (Strategic Priorities)'!E78</f>
        <v>0</v>
      </c>
      <c r="F73" s="86">
        <f t="shared" si="13"/>
        <v>0</v>
      </c>
      <c r="G73" s="86" t="str">
        <f t="shared" si="14"/>
        <v/>
      </c>
      <c r="H73" s="86" t="str">
        <f t="shared" si="15"/>
        <v/>
      </c>
      <c r="I73" s="131" t="str">
        <f t="shared" si="16"/>
        <v/>
      </c>
      <c r="J73" s="86" t="str">
        <f t="shared" si="17"/>
        <v/>
      </c>
      <c r="K73" s="86"/>
    </row>
    <row r="74" spans="2:11" ht="35.25" customHeight="1" thickBot="1" x14ac:dyDescent="0.25">
      <c r="D74" s="307"/>
      <c r="E74" s="307"/>
      <c r="F74" s="84"/>
      <c r="G74" s="84"/>
      <c r="H74" s="84"/>
      <c r="I74" s="84"/>
      <c r="J74" s="84"/>
      <c r="K74" s="84"/>
    </row>
    <row r="75" spans="2:11" ht="43.5" customHeight="1" x14ac:dyDescent="0.2">
      <c r="B75" s="12" t="s">
        <v>250</v>
      </c>
      <c r="C75" s="65"/>
      <c r="D75" s="129"/>
      <c r="E75" s="135"/>
      <c r="F75" s="84"/>
      <c r="G75" s="84"/>
      <c r="H75" s="84"/>
      <c r="I75" s="84"/>
      <c r="J75" s="84"/>
      <c r="K75" s="84"/>
    </row>
    <row r="76" spans="2:11" ht="24" customHeight="1" x14ac:dyDescent="0.2">
      <c r="B76" s="13" t="s">
        <v>167</v>
      </c>
      <c r="C76" s="11"/>
      <c r="D76" s="55"/>
      <c r="E76" s="136"/>
      <c r="F76" s="84"/>
      <c r="G76" s="84"/>
      <c r="H76" s="84"/>
      <c r="I76" s="84"/>
      <c r="J76" s="84"/>
      <c r="K76" s="84"/>
    </row>
    <row r="77" spans="2:11" ht="28.5" customHeight="1" x14ac:dyDescent="0.2">
      <c r="B77" s="9" t="s">
        <v>251</v>
      </c>
      <c r="C77" s="35" t="s">
        <v>252</v>
      </c>
      <c r="D77" s="56"/>
      <c r="E77" s="134"/>
      <c r="F77" s="84"/>
      <c r="G77" s="84"/>
      <c r="H77" s="84"/>
      <c r="I77" s="84"/>
      <c r="J77" s="84"/>
      <c r="K77" s="84"/>
    </row>
    <row r="78" spans="2:11" ht="24" customHeight="1" x14ac:dyDescent="0.2">
      <c r="B78" s="9" t="s">
        <v>253</v>
      </c>
      <c r="C78" s="35" t="s">
        <v>254</v>
      </c>
      <c r="D78" s="56"/>
      <c r="E78" s="134"/>
      <c r="F78" s="84"/>
      <c r="G78" s="84"/>
      <c r="H78" s="84"/>
      <c r="I78" s="84"/>
      <c r="J78" s="84"/>
      <c r="K78" s="84"/>
    </row>
    <row r="79" spans="2:11" ht="28.5" customHeight="1" x14ac:dyDescent="0.2">
      <c r="B79" s="67" t="s">
        <v>171</v>
      </c>
      <c r="C79" s="11"/>
      <c r="D79" s="55"/>
      <c r="E79" s="136"/>
      <c r="F79" s="84"/>
      <c r="G79" s="84"/>
      <c r="H79" s="84"/>
      <c r="I79" s="84"/>
      <c r="J79" s="84"/>
      <c r="K79" s="84"/>
    </row>
    <row r="80" spans="2:11" ht="25.5" x14ac:dyDescent="0.2">
      <c r="B80" s="9" t="s">
        <v>172</v>
      </c>
      <c r="C80" s="35" t="s">
        <v>255</v>
      </c>
      <c r="D80" s="56"/>
      <c r="E80" s="134"/>
      <c r="F80" s="84"/>
      <c r="G80" s="84"/>
      <c r="H80" s="84"/>
      <c r="I80" s="84"/>
      <c r="J80" s="84"/>
      <c r="K80" s="84"/>
    </row>
    <row r="81" spans="2:11" x14ac:dyDescent="0.2">
      <c r="B81" s="13" t="s">
        <v>256</v>
      </c>
      <c r="C81" s="11"/>
      <c r="D81" s="55"/>
      <c r="E81" s="136"/>
      <c r="F81" s="84"/>
      <c r="G81" s="84"/>
      <c r="H81" s="84"/>
      <c r="I81" s="84"/>
      <c r="J81" s="84"/>
      <c r="K81" s="84"/>
    </row>
    <row r="82" spans="2:11" ht="26.25" thickBot="1" x14ac:dyDescent="0.25">
      <c r="B82" s="31" t="s">
        <v>176</v>
      </c>
      <c r="C82" s="34" t="s">
        <v>257</v>
      </c>
      <c r="D82" s="56"/>
      <c r="E82" s="134"/>
      <c r="F82" s="84"/>
      <c r="G82" s="84"/>
      <c r="H82" s="84"/>
      <c r="I82" s="84"/>
      <c r="J82" s="84"/>
      <c r="K82" s="84"/>
    </row>
  </sheetData>
  <sheetProtection algorithmName="SHA-512" hashValue="zOHYclDFLzSbGowJwkliJZRzlriQ7ZvE2mbYqxcKFNrwgelquxwA8rQMkHKgO8vNGFpwUwqoiYno7oiKScjqXQ==" saltValue="ze5OAHBc4yAXnt+DDjs3Lg==" spinCount="100000" sheet="1" objects="1" scenarios="1" formatCells="0" formatColumns="0" formatRows="0" selectLockedCells="1"/>
  <mergeCells count="5">
    <mergeCell ref="B6:D6"/>
    <mergeCell ref="B2:D2"/>
    <mergeCell ref="B3:D3"/>
    <mergeCell ref="A4:D4"/>
    <mergeCell ref="B5:D5"/>
  </mergeCells>
  <pageMargins left="0.4765625" right="1.036875" top="1.08" bottom="0.91" header="0.5" footer="0.5"/>
  <pageSetup scale="61" fitToHeight="0" orientation="landscape" r:id="rId1"/>
  <headerFooter alignWithMargins="0">
    <oddHeader xml:space="preserve">&amp;R&amp;"Arial,Bold"&amp;12Annex 2
SG DEM
</oddHeader>
  </headerFooter>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AM115"/>
  <sheetViews>
    <sheetView topLeftCell="B46" zoomScale="70" zoomScaleNormal="70" zoomScaleSheetLayoutView="70" workbookViewId="0">
      <selection activeCell="D60" sqref="D60"/>
    </sheetView>
  </sheetViews>
  <sheetFormatPr defaultColWidth="9.140625" defaultRowHeight="12.75" x14ac:dyDescent="0.2"/>
  <cols>
    <col min="1" max="1" width="0.140625" style="2" customWidth="1"/>
    <col min="2" max="2" width="139.140625" style="3" customWidth="1"/>
    <col min="3" max="3" width="55.140625" style="3" customWidth="1"/>
    <col min="4" max="4" width="16.85546875" style="15" customWidth="1"/>
    <col min="5" max="5" width="11.5703125" style="221" hidden="1" customWidth="1"/>
    <col min="6" max="6" width="12.85546875" style="261" hidden="1" customWidth="1"/>
    <col min="7" max="7" width="14.85546875" style="6" customWidth="1"/>
    <col min="8" max="8" width="11" style="84" hidden="1" customWidth="1"/>
    <col min="9" max="9" width="62" style="270" customWidth="1"/>
    <col min="10" max="10" width="60.140625" style="270" customWidth="1"/>
    <col min="11" max="11" width="51.140625" style="270" customWidth="1"/>
    <col min="12" max="39" width="9.140625" style="37"/>
    <col min="40" max="16384" width="9.140625" style="2"/>
  </cols>
  <sheetData>
    <row r="1" spans="1:11" ht="13.5" thickBot="1" x14ac:dyDescent="0.25">
      <c r="B1" s="263"/>
      <c r="C1" s="264"/>
      <c r="D1" s="265"/>
    </row>
    <row r="2" spans="1:11" ht="18" x14ac:dyDescent="0.2">
      <c r="A2" s="268"/>
      <c r="B2" s="374" t="s">
        <v>80</v>
      </c>
      <c r="C2" s="375"/>
      <c r="D2" s="376"/>
      <c r="E2" s="219"/>
      <c r="F2" s="219"/>
      <c r="G2" s="218"/>
    </row>
    <row r="3" spans="1:11" ht="18.75" thickBot="1" x14ac:dyDescent="0.25">
      <c r="A3" s="269"/>
      <c r="B3" s="400" t="s">
        <v>258</v>
      </c>
      <c r="C3" s="383"/>
      <c r="D3" s="401"/>
      <c r="E3" s="219"/>
      <c r="F3" s="219"/>
      <c r="G3" s="218"/>
    </row>
    <row r="4" spans="1:11" ht="18" x14ac:dyDescent="0.2">
      <c r="A4" s="16" t="s">
        <v>259</v>
      </c>
      <c r="B4" s="266"/>
      <c r="C4" s="132"/>
      <c r="D4" s="267"/>
      <c r="E4" s="262"/>
      <c r="F4" s="262"/>
      <c r="G4" s="132"/>
    </row>
    <row r="5" spans="1:11" ht="23.25" customHeight="1" x14ac:dyDescent="0.2">
      <c r="A5" s="16"/>
      <c r="B5" s="402" t="s">
        <v>260</v>
      </c>
      <c r="C5" s="403"/>
      <c r="D5" s="404"/>
      <c r="E5" s="95"/>
      <c r="F5" s="95"/>
      <c r="G5" s="24"/>
    </row>
    <row r="6" spans="1:11" ht="32.25" customHeight="1" x14ac:dyDescent="0.2">
      <c r="A6" s="4">
        <v>1</v>
      </c>
      <c r="B6" s="405" t="s">
        <v>261</v>
      </c>
      <c r="C6" s="377"/>
      <c r="D6" s="378"/>
      <c r="E6" s="220"/>
      <c r="F6" s="220"/>
      <c r="G6" s="23"/>
    </row>
    <row r="7" spans="1:11" ht="35.25" customHeight="1" thickBot="1" x14ac:dyDescent="0.25">
      <c r="A7" s="21">
        <v>2</v>
      </c>
      <c r="B7" s="406" t="s">
        <v>262</v>
      </c>
      <c r="C7" s="407"/>
      <c r="D7" s="408"/>
      <c r="E7" s="220"/>
      <c r="F7" s="220"/>
      <c r="G7" s="23"/>
    </row>
    <row r="8" spans="1:11" ht="21" customHeight="1" thickBot="1" x14ac:dyDescent="0.25">
      <c r="A8" s="19"/>
      <c r="B8" s="23"/>
      <c r="C8" s="23"/>
      <c r="D8" s="23"/>
      <c r="E8" s="220"/>
      <c r="F8" s="220"/>
      <c r="G8" s="23"/>
    </row>
    <row r="9" spans="1:11" ht="15.75" customHeight="1" x14ac:dyDescent="0.2">
      <c r="B9" s="395" t="s">
        <v>85</v>
      </c>
      <c r="C9" s="397" t="s">
        <v>86</v>
      </c>
      <c r="D9" s="397" t="s">
        <v>263</v>
      </c>
      <c r="F9" s="222"/>
      <c r="G9" s="389" t="s">
        <v>264</v>
      </c>
      <c r="H9" s="222"/>
      <c r="I9" s="391" t="s">
        <v>88</v>
      </c>
      <c r="J9" s="392"/>
      <c r="K9" s="392"/>
    </row>
    <row r="10" spans="1:11" ht="21.75" customHeight="1" x14ac:dyDescent="0.2">
      <c r="B10" s="396"/>
      <c r="C10" s="399"/>
      <c r="D10" s="398"/>
      <c r="E10" s="223"/>
      <c r="F10" s="223"/>
      <c r="G10" s="390"/>
      <c r="H10" s="210"/>
      <c r="I10" s="393"/>
      <c r="J10" s="394"/>
      <c r="K10" s="394"/>
    </row>
    <row r="11" spans="1:11" ht="21" customHeight="1" x14ac:dyDescent="0.2">
      <c r="B11" s="159" t="s">
        <v>265</v>
      </c>
      <c r="C11" s="88"/>
      <c r="D11" s="172"/>
      <c r="E11" s="224">
        <v>1</v>
      </c>
      <c r="F11" s="225">
        <v>10</v>
      </c>
      <c r="G11" s="173">
        <f>SUM(G12,G19,G24)</f>
        <v>7</v>
      </c>
      <c r="H11" s="210"/>
      <c r="I11" s="289" t="s">
        <v>90</v>
      </c>
      <c r="J11" s="290" t="s">
        <v>266</v>
      </c>
      <c r="K11" s="290" t="s">
        <v>92</v>
      </c>
    </row>
    <row r="12" spans="1:11" ht="21" customHeight="1" x14ac:dyDescent="0.2">
      <c r="B12" s="105" t="s">
        <v>267</v>
      </c>
      <c r="C12" s="89"/>
      <c r="D12" s="106"/>
      <c r="E12" s="226">
        <v>0.3</v>
      </c>
      <c r="F12" s="227">
        <v>3</v>
      </c>
      <c r="G12" s="107">
        <f>SUM(G13:G18)</f>
        <v>3</v>
      </c>
      <c r="H12" s="210"/>
      <c r="I12" s="271"/>
      <c r="J12" s="272"/>
      <c r="K12" s="272"/>
    </row>
    <row r="13" spans="1:11" ht="15" x14ac:dyDescent="0.2">
      <c r="B13" s="22" t="s">
        <v>268</v>
      </c>
      <c r="C13" s="90" t="s">
        <v>269</v>
      </c>
      <c r="D13" s="71" t="s">
        <v>96</v>
      </c>
      <c r="E13" s="228">
        <v>0.15</v>
      </c>
      <c r="F13" s="229">
        <v>0.45</v>
      </c>
      <c r="G13" s="108">
        <f>IF(D13="Yes",F13,0)</f>
        <v>0.45</v>
      </c>
      <c r="H13" s="210"/>
      <c r="I13" s="273"/>
      <c r="J13" s="274"/>
      <c r="K13" s="274"/>
    </row>
    <row r="14" spans="1:11" ht="15" x14ac:dyDescent="0.2">
      <c r="B14" s="22" t="s">
        <v>270</v>
      </c>
      <c r="C14" s="90" t="s">
        <v>271</v>
      </c>
      <c r="D14" s="71" t="s">
        <v>96</v>
      </c>
      <c r="E14" s="228">
        <v>0.2</v>
      </c>
      <c r="F14" s="229">
        <v>0.6</v>
      </c>
      <c r="G14" s="108">
        <f t="shared" ref="G14:G17" si="0">IF(D14="Yes",F14,0)</f>
        <v>0.6</v>
      </c>
      <c r="H14" s="210"/>
      <c r="I14" s="273"/>
      <c r="J14" s="274"/>
      <c r="K14" s="274"/>
    </row>
    <row r="15" spans="1:11" ht="15" x14ac:dyDescent="0.2">
      <c r="B15" s="22" t="s">
        <v>272</v>
      </c>
      <c r="C15" s="90" t="s">
        <v>269</v>
      </c>
      <c r="D15" s="71" t="s">
        <v>96</v>
      </c>
      <c r="E15" s="228">
        <v>0.15</v>
      </c>
      <c r="F15" s="229">
        <v>0.45</v>
      </c>
      <c r="G15" s="108">
        <f t="shared" si="0"/>
        <v>0.45</v>
      </c>
      <c r="H15" s="211"/>
      <c r="I15" s="273"/>
      <c r="J15" s="274"/>
      <c r="K15" s="274"/>
    </row>
    <row r="16" spans="1:11" ht="15" x14ac:dyDescent="0.2">
      <c r="B16" s="22" t="s">
        <v>273</v>
      </c>
      <c r="C16" s="90" t="s">
        <v>269</v>
      </c>
      <c r="D16" s="71" t="s">
        <v>96</v>
      </c>
      <c r="E16" s="228">
        <v>0.2</v>
      </c>
      <c r="F16" s="229">
        <v>0.6</v>
      </c>
      <c r="G16" s="108">
        <f>IF(D16="Yes",F16,0)</f>
        <v>0.6</v>
      </c>
      <c r="H16" s="210"/>
      <c r="I16" s="273"/>
      <c r="J16" s="274"/>
      <c r="K16" s="274"/>
    </row>
    <row r="17" spans="2:11" ht="15" x14ac:dyDescent="0.2">
      <c r="B17" s="22" t="s">
        <v>274</v>
      </c>
      <c r="C17" s="90" t="s">
        <v>269</v>
      </c>
      <c r="D17" s="71" t="s">
        <v>96</v>
      </c>
      <c r="E17" s="228">
        <v>0.2</v>
      </c>
      <c r="F17" s="229">
        <v>0.6</v>
      </c>
      <c r="G17" s="108">
        <f t="shared" si="0"/>
        <v>0.6</v>
      </c>
      <c r="H17" s="210"/>
      <c r="I17" s="273"/>
      <c r="J17" s="274"/>
      <c r="K17" s="274"/>
    </row>
    <row r="18" spans="2:11" ht="15" x14ac:dyDescent="0.2">
      <c r="B18" s="22" t="s">
        <v>275</v>
      </c>
      <c r="C18" s="90" t="s">
        <v>269</v>
      </c>
      <c r="D18" s="71" t="s">
        <v>96</v>
      </c>
      <c r="E18" s="228">
        <v>0.1</v>
      </c>
      <c r="F18" s="229">
        <v>0.3</v>
      </c>
      <c r="G18" s="108">
        <f>IF(D18="Yes",F18,0)</f>
        <v>0.3</v>
      </c>
      <c r="H18" s="210"/>
      <c r="I18" s="273"/>
      <c r="J18" s="274"/>
      <c r="K18" s="274"/>
    </row>
    <row r="19" spans="2:11" ht="21" customHeight="1" x14ac:dyDescent="0.2">
      <c r="B19" s="105" t="s">
        <v>276</v>
      </c>
      <c r="C19" s="89"/>
      <c r="D19" s="106"/>
      <c r="E19" s="226">
        <v>0.4</v>
      </c>
      <c r="F19" s="227">
        <v>4</v>
      </c>
      <c r="G19" s="107">
        <f>SUM(G20+H23)</f>
        <v>4</v>
      </c>
      <c r="H19" s="212">
        <f>IF(AND(G22=0,G21&gt;0),1,IF(AND(G22&gt;0,G21&gt;0),2,IF(AND(G22=0,G21=0),3,0)))</f>
        <v>2</v>
      </c>
      <c r="I19" s="271"/>
      <c r="J19" s="272"/>
      <c r="K19" s="272"/>
    </row>
    <row r="20" spans="2:11" ht="15" x14ac:dyDescent="0.2">
      <c r="B20" s="22" t="s">
        <v>277</v>
      </c>
      <c r="C20" s="33" t="s">
        <v>278</v>
      </c>
      <c r="D20" s="71" t="s">
        <v>96</v>
      </c>
      <c r="E20" s="228">
        <v>0.43</v>
      </c>
      <c r="F20" s="230">
        <v>1.72</v>
      </c>
      <c r="G20" s="204">
        <f>IF(D20="Yes",F20,0)</f>
        <v>1.72</v>
      </c>
      <c r="H20" s="210"/>
      <c r="I20" s="273"/>
      <c r="J20" s="274"/>
      <c r="K20" s="274"/>
    </row>
    <row r="21" spans="2:11" ht="15" x14ac:dyDescent="0.2">
      <c r="B21" s="22" t="s">
        <v>279</v>
      </c>
      <c r="C21" s="90" t="s">
        <v>280</v>
      </c>
      <c r="D21" s="71" t="s">
        <v>96</v>
      </c>
      <c r="E21" s="228">
        <v>0.47</v>
      </c>
      <c r="F21" s="230">
        <v>1.88</v>
      </c>
      <c r="G21" s="204">
        <f>IF(D21="Yes",F21,0)</f>
        <v>1.88</v>
      </c>
      <c r="H21" s="210"/>
      <c r="I21" s="273"/>
      <c r="J21" s="274"/>
      <c r="K21" s="274"/>
    </row>
    <row r="22" spans="2:11" ht="15" x14ac:dyDescent="0.2">
      <c r="B22" s="22" t="s">
        <v>281</v>
      </c>
      <c r="C22" s="90" t="s">
        <v>280</v>
      </c>
      <c r="D22" s="71" t="s">
        <v>96</v>
      </c>
      <c r="E22" s="228">
        <v>0.1</v>
      </c>
      <c r="F22" s="230">
        <f>IF(AND(D21="yes", D22="yes"), 0.4, 0)</f>
        <v>0.4</v>
      </c>
      <c r="G22" s="204">
        <f>IF(D22="Yes",F22,0)</f>
        <v>0.4</v>
      </c>
      <c r="H22" s="210"/>
      <c r="I22" s="273"/>
      <c r="J22" s="274"/>
      <c r="K22" s="274"/>
    </row>
    <row r="23" spans="2:11" ht="28.5" x14ac:dyDescent="0.2">
      <c r="B23" s="22" t="s">
        <v>282</v>
      </c>
      <c r="C23" s="33"/>
      <c r="D23" s="71" t="s">
        <v>174</v>
      </c>
      <c r="E23" s="228">
        <v>0.56999999999999995</v>
      </c>
      <c r="F23" s="230">
        <f>IF(AND(G21=0,D23="Yes"),2.28,IF(AND(G21&gt;0,D23="Yes"),2.28,0))</f>
        <v>0</v>
      </c>
      <c r="G23" s="204">
        <f>IF(D23="Yes",F23,0)</f>
        <v>0</v>
      </c>
      <c r="H23" s="212">
        <f>IF(AND(H19=1,G23=0),G21,IF(AND(H19=1,G23&gt;0),G23,IF(H19=2,G21+G22,IF(AND(H19=3,G23&gt;0),2.28,0))))</f>
        <v>2.2799999999999998</v>
      </c>
      <c r="I23" s="273"/>
      <c r="J23" s="274"/>
      <c r="K23" s="274"/>
    </row>
    <row r="24" spans="2:11" ht="21" customHeight="1" x14ac:dyDescent="0.2">
      <c r="B24" s="105" t="s">
        <v>283</v>
      </c>
      <c r="C24" s="89"/>
      <c r="D24" s="106"/>
      <c r="E24" s="226">
        <v>0.3</v>
      </c>
      <c r="F24" s="227">
        <v>3</v>
      </c>
      <c r="G24" s="107">
        <f>SUM(G25+G30+G34)</f>
        <v>0</v>
      </c>
      <c r="H24" s="213"/>
      <c r="I24" s="271"/>
      <c r="J24" s="272"/>
      <c r="K24" s="272"/>
    </row>
    <row r="25" spans="2:11" ht="21" customHeight="1" x14ac:dyDescent="0.2">
      <c r="B25" s="109" t="s">
        <v>284</v>
      </c>
      <c r="C25" s="110"/>
      <c r="D25" s="111"/>
      <c r="E25" s="231">
        <v>0.3</v>
      </c>
      <c r="F25" s="232">
        <v>0.9</v>
      </c>
      <c r="G25" s="112">
        <f>G26</f>
        <v>0</v>
      </c>
      <c r="H25" s="210"/>
      <c r="I25" s="275"/>
      <c r="J25" s="276"/>
      <c r="K25" s="276"/>
    </row>
    <row r="26" spans="2:11" ht="15" x14ac:dyDescent="0.2">
      <c r="B26" s="22" t="s">
        <v>285</v>
      </c>
      <c r="C26" s="33"/>
      <c r="D26" s="71"/>
      <c r="E26" s="228">
        <v>1</v>
      </c>
      <c r="F26" s="230">
        <v>0.9</v>
      </c>
      <c r="G26" s="108">
        <f>IF(D26="Yes",F26,0)</f>
        <v>0</v>
      </c>
      <c r="H26" s="210"/>
      <c r="I26" s="273"/>
      <c r="J26" s="277"/>
      <c r="K26" s="277"/>
    </row>
    <row r="27" spans="2:11" ht="30" x14ac:dyDescent="0.2">
      <c r="B27" s="109" t="s">
        <v>286</v>
      </c>
      <c r="C27" s="113"/>
      <c r="D27" s="113"/>
      <c r="E27" s="233"/>
      <c r="F27" s="233"/>
      <c r="G27" s="114"/>
      <c r="H27" s="210"/>
      <c r="I27" s="275"/>
      <c r="J27" s="276"/>
      <c r="K27" s="276"/>
    </row>
    <row r="28" spans="2:11" ht="15" x14ac:dyDescent="0.2">
      <c r="B28" s="22" t="s">
        <v>287</v>
      </c>
      <c r="C28" s="32"/>
      <c r="D28" s="71"/>
      <c r="E28" s="146"/>
      <c r="F28" s="146"/>
      <c r="G28" s="116"/>
      <c r="H28" s="210"/>
      <c r="I28" s="273"/>
      <c r="J28" s="274"/>
      <c r="K28" s="274"/>
    </row>
    <row r="29" spans="2:11" ht="28.5" x14ac:dyDescent="0.2">
      <c r="B29" s="22" t="s">
        <v>288</v>
      </c>
      <c r="C29" s="33"/>
      <c r="D29" s="71"/>
      <c r="E29" s="146"/>
      <c r="F29" s="146"/>
      <c r="G29" s="116"/>
      <c r="H29" s="210"/>
      <c r="I29" s="273"/>
      <c r="J29" s="274"/>
      <c r="K29" s="274"/>
    </row>
    <row r="30" spans="2:11" ht="21" customHeight="1" x14ac:dyDescent="0.2">
      <c r="B30" s="109" t="s">
        <v>289</v>
      </c>
      <c r="C30" s="110"/>
      <c r="D30" s="111"/>
      <c r="E30" s="231">
        <v>0.35</v>
      </c>
      <c r="F30" s="234">
        <v>1.05</v>
      </c>
      <c r="G30" s="112">
        <f>SUM(G31:G33)</f>
        <v>0</v>
      </c>
      <c r="H30" s="210"/>
      <c r="I30" s="275"/>
      <c r="J30" s="276"/>
      <c r="K30" s="276"/>
    </row>
    <row r="31" spans="2:11" ht="15" x14ac:dyDescent="0.2">
      <c r="B31" s="22" t="s">
        <v>290</v>
      </c>
      <c r="C31" s="33"/>
      <c r="D31" s="71"/>
      <c r="E31" s="228">
        <v>0.28999999999999998</v>
      </c>
      <c r="F31" s="235">
        <v>0.30449999999999999</v>
      </c>
      <c r="G31" s="108">
        <f>IF(D31="Yes",F31,0)</f>
        <v>0</v>
      </c>
      <c r="H31" s="210"/>
      <c r="I31" s="273"/>
      <c r="J31" s="274"/>
      <c r="K31" s="274"/>
    </row>
    <row r="32" spans="2:11" ht="15" x14ac:dyDescent="0.2">
      <c r="B32" s="22" t="s">
        <v>291</v>
      </c>
      <c r="C32" s="33"/>
      <c r="D32" s="71"/>
      <c r="E32" s="228">
        <v>0.47</v>
      </c>
      <c r="F32" s="235">
        <v>0.49349999999999999</v>
      </c>
      <c r="G32" s="108">
        <f>IF(D32="Yes",F32,0)</f>
        <v>0</v>
      </c>
      <c r="H32" s="210"/>
      <c r="I32" s="273"/>
      <c r="J32" s="274"/>
      <c r="K32" s="274"/>
    </row>
    <row r="33" spans="2:11" ht="29.25" thickBot="1" x14ac:dyDescent="0.25">
      <c r="B33" s="161" t="s">
        <v>292</v>
      </c>
      <c r="C33" s="33"/>
      <c r="D33" s="71"/>
      <c r="E33" s="228">
        <v>0.24</v>
      </c>
      <c r="F33" s="235">
        <v>0.252</v>
      </c>
      <c r="G33" s="108">
        <f>IF(D33="Yes",F33,0)</f>
        <v>0</v>
      </c>
      <c r="H33" s="210"/>
      <c r="I33" s="273"/>
      <c r="J33" s="274"/>
      <c r="K33" s="274"/>
    </row>
    <row r="34" spans="2:11" ht="21" customHeight="1" x14ac:dyDescent="0.2">
      <c r="B34" s="109" t="s">
        <v>293</v>
      </c>
      <c r="C34" s="110"/>
      <c r="D34" s="111"/>
      <c r="E34" s="236">
        <v>0.35</v>
      </c>
      <c r="F34" s="234">
        <v>1.05</v>
      </c>
      <c r="G34" s="112">
        <f>SUM(G35:G37)</f>
        <v>0</v>
      </c>
      <c r="H34" s="210"/>
      <c r="I34" s="275"/>
      <c r="J34" s="276"/>
      <c r="K34" s="276"/>
    </row>
    <row r="35" spans="2:11" ht="15" x14ac:dyDescent="0.2">
      <c r="B35" s="22" t="s">
        <v>294</v>
      </c>
      <c r="C35" s="33"/>
      <c r="D35" s="71"/>
      <c r="E35" s="228">
        <v>0.28999999999999998</v>
      </c>
      <c r="F35" s="235">
        <v>0.30449999999999999</v>
      </c>
      <c r="G35" s="108">
        <f>IF(D35="Yes",F35,0)</f>
        <v>0</v>
      </c>
      <c r="H35" s="210"/>
      <c r="I35" s="273"/>
      <c r="J35" s="274"/>
      <c r="K35" s="274"/>
    </row>
    <row r="36" spans="2:11" ht="15" x14ac:dyDescent="0.2">
      <c r="B36" s="22" t="s">
        <v>295</v>
      </c>
      <c r="C36" s="33"/>
      <c r="D36" s="71"/>
      <c r="E36" s="228">
        <v>0.47</v>
      </c>
      <c r="F36" s="235">
        <v>0.49349999999999999</v>
      </c>
      <c r="G36" s="108">
        <f t="shared" ref="G36:G37" si="1">IF(D36="Yes",F36,0)</f>
        <v>0</v>
      </c>
      <c r="H36" s="210"/>
      <c r="I36" s="273"/>
      <c r="J36" s="274"/>
      <c r="K36" s="274"/>
    </row>
    <row r="37" spans="2:11" ht="29.25" thickBot="1" x14ac:dyDescent="0.25">
      <c r="B37" s="161" t="s">
        <v>296</v>
      </c>
      <c r="C37" s="33"/>
      <c r="D37" s="71"/>
      <c r="E37" s="228">
        <v>0.24</v>
      </c>
      <c r="F37" s="235">
        <v>0.252</v>
      </c>
      <c r="G37" s="108">
        <f t="shared" si="1"/>
        <v>0</v>
      </c>
      <c r="H37" s="210"/>
      <c r="I37" s="273"/>
      <c r="J37" s="274"/>
      <c r="K37" s="274"/>
    </row>
    <row r="38" spans="2:11" ht="21" customHeight="1" x14ac:dyDescent="0.2">
      <c r="B38" s="180" t="s">
        <v>297</v>
      </c>
      <c r="C38" s="181"/>
      <c r="D38" s="178"/>
      <c r="E38" s="237">
        <v>1</v>
      </c>
      <c r="F38" s="238">
        <v>10</v>
      </c>
      <c r="G38" s="179">
        <f>MAX(G41,G48)</f>
        <v>10</v>
      </c>
      <c r="H38" s="214"/>
      <c r="I38" s="278"/>
      <c r="J38" s="279"/>
      <c r="K38" s="279"/>
    </row>
    <row r="39" spans="2:11" ht="21" customHeight="1" x14ac:dyDescent="0.2">
      <c r="B39" s="117" t="s">
        <v>298</v>
      </c>
      <c r="C39" s="118"/>
      <c r="D39" s="106"/>
      <c r="E39" s="237"/>
      <c r="F39" s="238"/>
      <c r="G39" s="119"/>
      <c r="H39" s="214"/>
      <c r="I39" s="271"/>
      <c r="J39" s="272"/>
      <c r="K39" s="272"/>
    </row>
    <row r="40" spans="2:11" ht="15" x14ac:dyDescent="0.2">
      <c r="B40" s="22" t="s">
        <v>299</v>
      </c>
      <c r="C40" s="33"/>
      <c r="D40" s="71" t="s">
        <v>174</v>
      </c>
      <c r="E40" s="239"/>
      <c r="F40" s="240">
        <f>IF(D40="Yes",1,0)</f>
        <v>0</v>
      </c>
      <c r="G40" s="116"/>
      <c r="H40" s="214"/>
      <c r="I40" s="280"/>
      <c r="J40" s="280"/>
      <c r="K40" s="280"/>
    </row>
    <row r="41" spans="2:11" ht="21" customHeight="1" x14ac:dyDescent="0.2">
      <c r="B41" s="117" t="s">
        <v>300</v>
      </c>
      <c r="C41" s="205"/>
      <c r="D41" s="106"/>
      <c r="E41" s="241">
        <v>1</v>
      </c>
      <c r="F41" s="242">
        <v>10</v>
      </c>
      <c r="G41" s="119">
        <f>SUM(G42:G46)</f>
        <v>10</v>
      </c>
      <c r="H41" s="215">
        <f>IF(AND(G41&gt;=G48),1,IF(AND(G48&gt;G41),2,0))</f>
        <v>1</v>
      </c>
      <c r="I41" s="271"/>
      <c r="J41" s="272"/>
      <c r="K41" s="272"/>
    </row>
    <row r="42" spans="2:11" ht="15" x14ac:dyDescent="0.2">
      <c r="B42" s="22" t="s">
        <v>301</v>
      </c>
      <c r="C42" s="293"/>
      <c r="D42" s="71" t="s">
        <v>96</v>
      </c>
      <c r="E42" s="243">
        <v>0.3</v>
      </c>
      <c r="F42" s="244">
        <v>3</v>
      </c>
      <c r="G42" s="120">
        <f>IF(D42="Yes",F42,0)</f>
        <v>3</v>
      </c>
      <c r="H42" s="210"/>
      <c r="I42" s="273"/>
      <c r="J42" s="274"/>
      <c r="K42" s="274"/>
    </row>
    <row r="43" spans="2:11" ht="15" x14ac:dyDescent="0.2">
      <c r="B43" s="22" t="s">
        <v>302</v>
      </c>
      <c r="C43" s="33"/>
      <c r="D43" s="71" t="s">
        <v>96</v>
      </c>
      <c r="E43" s="243">
        <v>0.3</v>
      </c>
      <c r="F43" s="244">
        <v>3</v>
      </c>
      <c r="G43" s="120">
        <f t="shared" ref="G43:G45" si="2">IF(D43="Yes",F43,0)</f>
        <v>3</v>
      </c>
      <c r="H43" s="210"/>
      <c r="I43" s="273"/>
      <c r="J43" s="274"/>
      <c r="K43" s="274"/>
    </row>
    <row r="44" spans="2:11" ht="15" x14ac:dyDescent="0.2">
      <c r="B44" s="22" t="s">
        <v>303</v>
      </c>
      <c r="C44" s="33"/>
      <c r="D44" s="71" t="s">
        <v>96</v>
      </c>
      <c r="E44" s="243">
        <v>0.1</v>
      </c>
      <c r="F44" s="244">
        <v>1</v>
      </c>
      <c r="G44" s="120">
        <f t="shared" si="2"/>
        <v>1</v>
      </c>
      <c r="H44" s="210"/>
      <c r="I44" s="273"/>
      <c r="J44" s="274"/>
      <c r="K44" s="274"/>
    </row>
    <row r="45" spans="2:11" ht="15" x14ac:dyDescent="0.2">
      <c r="B45" s="22" t="s">
        <v>304</v>
      </c>
      <c r="C45" s="33"/>
      <c r="D45" s="71" t="s">
        <v>96</v>
      </c>
      <c r="E45" s="243">
        <v>0.2</v>
      </c>
      <c r="F45" s="244">
        <v>2</v>
      </c>
      <c r="G45" s="120">
        <f t="shared" si="2"/>
        <v>2</v>
      </c>
      <c r="H45" s="210"/>
      <c r="I45" s="273"/>
      <c r="J45" s="274"/>
      <c r="K45" s="274"/>
    </row>
    <row r="46" spans="2:11" ht="15" x14ac:dyDescent="0.2">
      <c r="B46" s="22" t="s">
        <v>305</v>
      </c>
      <c r="C46" s="33"/>
      <c r="D46" s="71" t="s">
        <v>96</v>
      </c>
      <c r="E46" s="243">
        <v>0.1</v>
      </c>
      <c r="F46" s="244">
        <v>1</v>
      </c>
      <c r="G46" s="120">
        <f>IF(D46="Yes",F46,0)</f>
        <v>1</v>
      </c>
      <c r="H46" s="210"/>
      <c r="I46" s="273"/>
      <c r="J46" s="274"/>
      <c r="K46" s="274"/>
    </row>
    <row r="48" spans="2:11" ht="21" customHeight="1" x14ac:dyDescent="0.2">
      <c r="B48" s="117" t="s">
        <v>306</v>
      </c>
      <c r="C48" s="118"/>
      <c r="D48" s="106"/>
      <c r="E48" s="241">
        <v>1</v>
      </c>
      <c r="F48" s="242">
        <v>10</v>
      </c>
      <c r="G48" s="119">
        <f>SUM(G49:G53)</f>
        <v>0</v>
      </c>
      <c r="H48" s="210"/>
      <c r="I48" s="271"/>
      <c r="J48" s="272"/>
      <c r="K48" s="272"/>
    </row>
    <row r="49" spans="2:11" ht="15" x14ac:dyDescent="0.2">
      <c r="B49" s="22" t="s">
        <v>307</v>
      </c>
      <c r="C49" s="33"/>
      <c r="D49" s="71"/>
      <c r="E49" s="245">
        <v>0.215</v>
      </c>
      <c r="F49" s="246">
        <v>2.15</v>
      </c>
      <c r="G49" s="120">
        <f>IF(D49="Yes",F49,0)</f>
        <v>0</v>
      </c>
      <c r="H49" s="210"/>
      <c r="I49" s="273"/>
      <c r="J49" s="274"/>
      <c r="K49" s="274"/>
    </row>
    <row r="50" spans="2:11" ht="15" x14ac:dyDescent="0.2">
      <c r="B50" s="22" t="s">
        <v>308</v>
      </c>
      <c r="C50" s="33"/>
      <c r="D50" s="71"/>
      <c r="E50" s="245">
        <v>0.33</v>
      </c>
      <c r="F50" s="246">
        <v>3.3</v>
      </c>
      <c r="G50" s="120">
        <f t="shared" ref="G50:G53" si="3">IF(D50="Yes",F50,0)</f>
        <v>0</v>
      </c>
      <c r="H50" s="210"/>
      <c r="I50" s="273"/>
      <c r="J50" s="274"/>
      <c r="K50" s="274"/>
    </row>
    <row r="51" spans="2:11" ht="15" x14ac:dyDescent="0.2">
      <c r="B51" s="22" t="s">
        <v>309</v>
      </c>
      <c r="C51" s="33"/>
      <c r="D51" s="71"/>
      <c r="E51" s="245">
        <v>0.1</v>
      </c>
      <c r="F51" s="246">
        <v>1</v>
      </c>
      <c r="G51" s="120">
        <f t="shared" si="3"/>
        <v>0</v>
      </c>
      <c r="H51" s="210"/>
      <c r="I51" s="273"/>
      <c r="J51" s="274"/>
      <c r="K51" s="274"/>
    </row>
    <row r="52" spans="2:11" ht="15" x14ac:dyDescent="0.2">
      <c r="B52" s="22" t="s">
        <v>310</v>
      </c>
      <c r="C52" s="33"/>
      <c r="D52" s="71"/>
      <c r="E52" s="245">
        <v>0.215</v>
      </c>
      <c r="F52" s="246">
        <v>2.15</v>
      </c>
      <c r="G52" s="120">
        <f t="shared" si="3"/>
        <v>0</v>
      </c>
      <c r="H52" s="210"/>
      <c r="I52" s="273"/>
      <c r="J52" s="274"/>
      <c r="K52" s="274"/>
    </row>
    <row r="53" spans="2:11" ht="15.75" thickBot="1" x14ac:dyDescent="0.25">
      <c r="B53" s="22" t="s">
        <v>311</v>
      </c>
      <c r="C53" s="33"/>
      <c r="D53" s="71"/>
      <c r="E53" s="245">
        <v>0.14000000000000001</v>
      </c>
      <c r="F53" s="246">
        <v>1.4</v>
      </c>
      <c r="G53" s="120">
        <f t="shared" si="3"/>
        <v>0</v>
      </c>
      <c r="H53" s="210"/>
      <c r="I53" s="273"/>
      <c r="J53" s="274"/>
      <c r="K53" s="274"/>
    </row>
    <row r="54" spans="2:11" ht="21" customHeight="1" x14ac:dyDescent="0.2">
      <c r="B54" s="101" t="s">
        <v>312</v>
      </c>
      <c r="C54" s="102"/>
      <c r="D54" s="103"/>
      <c r="E54" s="247">
        <v>1</v>
      </c>
      <c r="F54" s="248">
        <v>10</v>
      </c>
      <c r="G54" s="104">
        <f>G61+G55</f>
        <v>3.4249999999999998</v>
      </c>
      <c r="H54" s="216"/>
      <c r="I54" s="281"/>
      <c r="J54" s="282"/>
      <c r="K54" s="282"/>
    </row>
    <row r="55" spans="2:11" ht="21" customHeight="1" x14ac:dyDescent="0.2">
      <c r="B55" s="105" t="s">
        <v>313</v>
      </c>
      <c r="C55" s="106"/>
      <c r="D55" s="106"/>
      <c r="E55" s="249">
        <v>0.25</v>
      </c>
      <c r="F55" s="250">
        <v>2.5</v>
      </c>
      <c r="G55" s="119">
        <f>SUM(G56:G60)</f>
        <v>1.075</v>
      </c>
      <c r="H55" s="210"/>
      <c r="I55" s="271"/>
      <c r="J55" s="272"/>
      <c r="K55" s="272"/>
    </row>
    <row r="56" spans="2:11" ht="15" x14ac:dyDescent="0.2">
      <c r="B56" s="22" t="s">
        <v>314</v>
      </c>
      <c r="C56" s="70"/>
      <c r="D56" s="71" t="s">
        <v>96</v>
      </c>
      <c r="E56" s="228">
        <v>0.28999999999999998</v>
      </c>
      <c r="F56" s="251">
        <v>0.72499999999999998</v>
      </c>
      <c r="G56" s="108">
        <f>IF(D56="Yes",F56,0)</f>
        <v>0.72499999999999998</v>
      </c>
      <c r="H56" s="210"/>
      <c r="I56" s="273"/>
      <c r="J56" s="274"/>
      <c r="K56" s="274"/>
    </row>
    <row r="57" spans="2:11" ht="15" x14ac:dyDescent="0.2">
      <c r="B57" s="22" t="s">
        <v>315</v>
      </c>
      <c r="C57" s="70"/>
      <c r="D57" s="71"/>
      <c r="E57" s="228">
        <v>0.14000000000000001</v>
      </c>
      <c r="F57" s="251">
        <v>0.35</v>
      </c>
      <c r="G57" s="108">
        <f>IF(D57="Yes",F57,0)</f>
        <v>0</v>
      </c>
      <c r="H57" s="210"/>
      <c r="I57" s="283"/>
      <c r="J57" s="274"/>
      <c r="K57" s="274"/>
    </row>
    <row r="58" spans="2:11" ht="28.5" x14ac:dyDescent="0.2">
      <c r="B58" s="22" t="s">
        <v>316</v>
      </c>
      <c r="C58" s="70"/>
      <c r="D58" s="71"/>
      <c r="E58" s="228">
        <v>0.28999999999999998</v>
      </c>
      <c r="F58" s="251">
        <v>0.72499999999999998</v>
      </c>
      <c r="G58" s="108">
        <f>IF(D58="Yes",F58,0)</f>
        <v>0</v>
      </c>
      <c r="H58" s="210"/>
      <c r="I58" s="283"/>
      <c r="J58" s="284"/>
      <c r="K58" s="284"/>
    </row>
    <row r="59" spans="2:11" ht="42.75" x14ac:dyDescent="0.2">
      <c r="B59" s="22" t="s">
        <v>317</v>
      </c>
      <c r="C59" s="70"/>
      <c r="D59" s="71"/>
      <c r="E59" s="228">
        <v>0.14000000000000001</v>
      </c>
      <c r="F59" s="251">
        <v>0.35</v>
      </c>
      <c r="G59" s="108">
        <f t="shared" ref="G59:G60" si="4">IF(D59="Yes",F59,0)</f>
        <v>0</v>
      </c>
      <c r="H59" s="210"/>
      <c r="I59" s="283"/>
      <c r="J59" s="274"/>
      <c r="K59" s="274"/>
    </row>
    <row r="60" spans="2:11" ht="15" x14ac:dyDescent="0.2">
      <c r="B60" s="22" t="s">
        <v>318</v>
      </c>
      <c r="C60" s="70"/>
      <c r="D60" s="71" t="s">
        <v>96</v>
      </c>
      <c r="E60" s="228">
        <v>0.14000000000000001</v>
      </c>
      <c r="F60" s="251">
        <v>0.35</v>
      </c>
      <c r="G60" s="108">
        <f t="shared" si="4"/>
        <v>0.35</v>
      </c>
      <c r="H60" s="210"/>
      <c r="I60" s="283"/>
      <c r="J60" s="274"/>
      <c r="K60" s="274"/>
    </row>
    <row r="61" spans="2:11" ht="21" customHeight="1" x14ac:dyDescent="0.2">
      <c r="B61" s="105" t="s">
        <v>319</v>
      </c>
      <c r="C61" s="106"/>
      <c r="D61" s="106"/>
      <c r="E61" s="249">
        <v>0.75</v>
      </c>
      <c r="F61" s="250">
        <v>7.5</v>
      </c>
      <c r="G61" s="119">
        <f>MAX(G62,G83)</f>
        <v>2.35</v>
      </c>
      <c r="H61" s="210"/>
      <c r="I61" s="271"/>
      <c r="J61" s="272"/>
      <c r="K61" s="272"/>
    </row>
    <row r="62" spans="2:11" ht="21" customHeight="1" x14ac:dyDescent="0.2">
      <c r="B62" s="109" t="s">
        <v>320</v>
      </c>
      <c r="C62" s="111"/>
      <c r="D62" s="111"/>
      <c r="E62" s="236">
        <v>1</v>
      </c>
      <c r="F62" s="252">
        <v>7.5</v>
      </c>
      <c r="G62" s="121">
        <f>SUM(G69+G76)</f>
        <v>0</v>
      </c>
      <c r="H62" s="210"/>
      <c r="I62" s="275"/>
      <c r="J62" s="276"/>
      <c r="K62" s="276"/>
    </row>
    <row r="63" spans="2:11" ht="15" x14ac:dyDescent="0.2">
      <c r="B63" s="122" t="s">
        <v>321</v>
      </c>
      <c r="C63" s="123"/>
      <c r="D63" s="123"/>
      <c r="E63" s="253"/>
      <c r="F63" s="253"/>
      <c r="G63" s="123"/>
      <c r="H63" s="210"/>
      <c r="I63" s="285"/>
      <c r="J63" s="286"/>
      <c r="K63" s="286"/>
    </row>
    <row r="64" spans="2:11" ht="15" x14ac:dyDescent="0.2">
      <c r="B64" s="22" t="s">
        <v>322</v>
      </c>
      <c r="C64" s="70"/>
      <c r="D64" s="71"/>
      <c r="E64" s="228"/>
      <c r="F64" s="146"/>
      <c r="G64" s="115"/>
      <c r="H64" s="210"/>
      <c r="I64" s="273"/>
      <c r="J64" s="274"/>
      <c r="K64" s="274"/>
    </row>
    <row r="65" spans="2:39" ht="15" x14ac:dyDescent="0.2">
      <c r="B65" s="22" t="s">
        <v>323</v>
      </c>
      <c r="C65" s="70"/>
      <c r="D65" s="71"/>
      <c r="E65" s="228"/>
      <c r="F65" s="146"/>
      <c r="G65" s="115"/>
      <c r="H65" s="210"/>
      <c r="I65" s="273"/>
      <c r="J65" s="274"/>
      <c r="K65" s="274"/>
    </row>
    <row r="66" spans="2:39" ht="15" x14ac:dyDescent="0.2">
      <c r="B66" s="22" t="s">
        <v>324</v>
      </c>
      <c r="C66" s="70"/>
      <c r="D66" s="71"/>
      <c r="E66" s="228"/>
      <c r="F66" s="146"/>
      <c r="G66" s="115"/>
      <c r="H66" s="210"/>
      <c r="I66" s="273"/>
      <c r="J66" s="274"/>
      <c r="K66" s="274"/>
    </row>
    <row r="67" spans="2:39" ht="15" x14ac:dyDescent="0.2">
      <c r="B67" s="22" t="s">
        <v>325</v>
      </c>
      <c r="C67" s="70"/>
      <c r="D67" s="71"/>
      <c r="E67" s="228"/>
      <c r="F67" s="146"/>
      <c r="G67" s="115"/>
      <c r="H67" s="210"/>
      <c r="I67" s="273"/>
      <c r="J67" s="274"/>
      <c r="K67" s="274"/>
    </row>
    <row r="68" spans="2:39" ht="28.5" x14ac:dyDescent="0.2">
      <c r="B68" s="22" t="s">
        <v>326</v>
      </c>
      <c r="C68" s="70"/>
      <c r="D68" s="71"/>
      <c r="E68" s="228"/>
      <c r="F68" s="146"/>
      <c r="G68" s="115"/>
      <c r="H68" s="210"/>
      <c r="I68" s="273"/>
      <c r="J68" s="274"/>
      <c r="K68" s="274"/>
    </row>
    <row r="69" spans="2:39" ht="15.75" customHeight="1" x14ac:dyDescent="0.2">
      <c r="B69" s="198" t="s">
        <v>327</v>
      </c>
      <c r="C69" s="123"/>
      <c r="D69" s="123"/>
      <c r="E69" s="254">
        <v>0.4</v>
      </c>
      <c r="F69" s="255">
        <v>3</v>
      </c>
      <c r="G69" s="124">
        <f>MAX(G70,G71,G72,G73,G74,G75)</f>
        <v>0</v>
      </c>
      <c r="H69" s="210"/>
      <c r="I69" s="285"/>
      <c r="J69" s="286"/>
      <c r="K69" s="286"/>
    </row>
    <row r="70" spans="2:39" ht="15" x14ac:dyDescent="0.2">
      <c r="B70" s="125" t="s">
        <v>328</v>
      </c>
      <c r="C70" s="126"/>
      <c r="D70" s="71"/>
      <c r="E70" s="228"/>
      <c r="F70" s="251">
        <v>3</v>
      </c>
      <c r="G70" s="108">
        <f t="shared" ref="G70:G75" si="5">IF(D70="Yes",F70,0)</f>
        <v>0</v>
      </c>
      <c r="H70" s="210"/>
      <c r="I70" s="287"/>
      <c r="J70" s="274"/>
      <c r="K70" s="274"/>
    </row>
    <row r="71" spans="2:39" s="5" customFormat="1" ht="15" x14ac:dyDescent="0.2">
      <c r="B71" s="125" t="s">
        <v>329</v>
      </c>
      <c r="C71" s="126"/>
      <c r="D71" s="71"/>
      <c r="E71" s="228"/>
      <c r="F71" s="251">
        <v>3</v>
      </c>
      <c r="G71" s="108">
        <f t="shared" si="5"/>
        <v>0</v>
      </c>
      <c r="H71" s="210"/>
      <c r="I71" s="273"/>
      <c r="J71" s="288"/>
      <c r="K71" s="28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row>
    <row r="72" spans="2:39" s="5" customFormat="1" ht="15" x14ac:dyDescent="0.2">
      <c r="B72" s="125" t="s">
        <v>330</v>
      </c>
      <c r="C72" s="126"/>
      <c r="D72" s="71"/>
      <c r="E72" s="228"/>
      <c r="F72" s="251">
        <v>3</v>
      </c>
      <c r="G72" s="108">
        <f t="shared" si="5"/>
        <v>0</v>
      </c>
      <c r="H72" s="210"/>
      <c r="I72" s="273"/>
      <c r="J72" s="288"/>
      <c r="K72" s="28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row>
    <row r="73" spans="2:39" ht="15" x14ac:dyDescent="0.2">
      <c r="B73" s="125" t="s">
        <v>331</v>
      </c>
      <c r="C73" s="126"/>
      <c r="D73" s="71"/>
      <c r="E73" s="228"/>
      <c r="F73" s="251">
        <v>3</v>
      </c>
      <c r="G73" s="108">
        <f t="shared" si="5"/>
        <v>0</v>
      </c>
      <c r="H73" s="210"/>
      <c r="I73" s="273"/>
      <c r="J73" s="274"/>
      <c r="K73" s="274"/>
    </row>
    <row r="74" spans="2:39" ht="15" x14ac:dyDescent="0.2">
      <c r="B74" s="125" t="s">
        <v>332</v>
      </c>
      <c r="C74" s="126"/>
      <c r="D74" s="71"/>
      <c r="E74" s="228"/>
      <c r="F74" s="251">
        <v>3</v>
      </c>
      <c r="G74" s="108">
        <f t="shared" si="5"/>
        <v>0</v>
      </c>
      <c r="H74" s="210"/>
      <c r="I74" s="273"/>
      <c r="J74" s="274"/>
      <c r="K74" s="274"/>
    </row>
    <row r="75" spans="2:39" ht="15" x14ac:dyDescent="0.2">
      <c r="B75" s="125" t="s">
        <v>333</v>
      </c>
      <c r="C75" s="126"/>
      <c r="D75" s="71"/>
      <c r="E75" s="228"/>
      <c r="F75" s="251">
        <v>3</v>
      </c>
      <c r="G75" s="108">
        <f t="shared" si="5"/>
        <v>0</v>
      </c>
      <c r="H75" s="210"/>
      <c r="I75" s="273"/>
      <c r="J75" s="274"/>
      <c r="K75" s="274"/>
    </row>
    <row r="76" spans="2:39" ht="15" x14ac:dyDescent="0.2">
      <c r="B76" s="122" t="s">
        <v>334</v>
      </c>
      <c r="C76" s="123"/>
      <c r="D76" s="123"/>
      <c r="E76" s="254">
        <v>0.6</v>
      </c>
      <c r="F76" s="255">
        <v>4.5</v>
      </c>
      <c r="G76" s="124">
        <f>SUM(G77:G82)</f>
        <v>0</v>
      </c>
      <c r="H76" s="210"/>
      <c r="I76" s="285"/>
      <c r="J76" s="286"/>
      <c r="K76" s="286"/>
    </row>
    <row r="77" spans="2:39" ht="15" x14ac:dyDescent="0.2">
      <c r="B77" s="22" t="s">
        <v>335</v>
      </c>
      <c r="C77" s="70"/>
      <c r="D77" s="71"/>
      <c r="E77" s="228">
        <v>0.3</v>
      </c>
      <c r="F77" s="251">
        <v>1.35</v>
      </c>
      <c r="G77" s="108">
        <f t="shared" ref="G77:G82" si="6">IF(D77="Yes",F77,0)</f>
        <v>0</v>
      </c>
      <c r="H77" s="210"/>
      <c r="I77" s="273"/>
      <c r="J77" s="274"/>
      <c r="K77" s="274"/>
    </row>
    <row r="78" spans="2:39" ht="15" x14ac:dyDescent="0.2">
      <c r="B78" s="125" t="s">
        <v>336</v>
      </c>
      <c r="C78" s="126"/>
      <c r="D78" s="71"/>
      <c r="E78" s="228">
        <v>0.3</v>
      </c>
      <c r="F78" s="251">
        <v>1.35</v>
      </c>
      <c r="G78" s="108">
        <f t="shared" si="6"/>
        <v>0</v>
      </c>
      <c r="H78" s="210"/>
      <c r="I78" s="273"/>
      <c r="J78" s="274"/>
      <c r="K78" s="274"/>
    </row>
    <row r="79" spans="2:39" ht="15" x14ac:dyDescent="0.2">
      <c r="B79" s="127" t="s">
        <v>337</v>
      </c>
      <c r="C79" s="126"/>
      <c r="D79" s="71"/>
      <c r="E79" s="228">
        <v>0.15</v>
      </c>
      <c r="F79" s="251">
        <v>0.67500000000000004</v>
      </c>
      <c r="G79" s="108">
        <f t="shared" si="6"/>
        <v>0</v>
      </c>
      <c r="H79" s="210"/>
      <c r="I79" s="273"/>
      <c r="J79" s="274"/>
      <c r="K79" s="274"/>
    </row>
    <row r="80" spans="2:39" ht="15" x14ac:dyDescent="0.2">
      <c r="B80" s="22" t="s">
        <v>338</v>
      </c>
      <c r="C80" s="70"/>
      <c r="D80" s="71"/>
      <c r="E80" s="228">
        <v>0.1</v>
      </c>
      <c r="F80" s="251">
        <v>0.45</v>
      </c>
      <c r="G80" s="108">
        <f t="shared" si="6"/>
        <v>0</v>
      </c>
      <c r="H80" s="210"/>
      <c r="J80" s="274"/>
      <c r="K80" s="274"/>
    </row>
    <row r="81" spans="2:39" ht="15.75" thickBot="1" x14ac:dyDescent="0.25">
      <c r="B81" s="22" t="s">
        <v>339</v>
      </c>
      <c r="C81" s="70"/>
      <c r="D81" s="71"/>
      <c r="E81" s="228">
        <v>0</v>
      </c>
      <c r="F81" s="146"/>
      <c r="G81" s="115"/>
      <c r="H81" s="217"/>
      <c r="I81" s="273"/>
      <c r="J81" s="274"/>
      <c r="K81" s="274"/>
    </row>
    <row r="82" spans="2:39" ht="15" x14ac:dyDescent="0.2">
      <c r="B82" s="23" t="s">
        <v>340</v>
      </c>
      <c r="C82" s="70"/>
      <c r="D82" s="71"/>
      <c r="E82" s="256">
        <v>0.15</v>
      </c>
      <c r="F82" s="257">
        <v>0.67500000000000004</v>
      </c>
      <c r="G82" s="108">
        <f t="shared" si="6"/>
        <v>0</v>
      </c>
      <c r="I82" s="273"/>
      <c r="J82" s="274"/>
      <c r="K82" s="274"/>
    </row>
    <row r="83" spans="2:39" ht="21" customHeight="1" x14ac:dyDescent="0.2">
      <c r="B83" s="109" t="s">
        <v>341</v>
      </c>
      <c r="C83" s="111"/>
      <c r="D83" s="111"/>
      <c r="E83" s="236">
        <v>1</v>
      </c>
      <c r="F83" s="252">
        <v>6</v>
      </c>
      <c r="G83" s="112">
        <f>SUM(G84+G90)</f>
        <v>2.35</v>
      </c>
      <c r="H83" s="210"/>
      <c r="I83" s="275"/>
      <c r="J83" s="276"/>
      <c r="K83" s="276"/>
    </row>
    <row r="84" spans="2:39" ht="15.75" customHeight="1" x14ac:dyDescent="0.2">
      <c r="B84" s="198" t="s">
        <v>327</v>
      </c>
      <c r="C84" s="123"/>
      <c r="D84" s="123"/>
      <c r="E84" s="254">
        <v>0.4</v>
      </c>
      <c r="F84" s="258">
        <v>2.4</v>
      </c>
      <c r="G84" s="124">
        <f>MAX(G85:G89)</f>
        <v>2.35</v>
      </c>
      <c r="H84" s="210"/>
      <c r="I84" s="285"/>
      <c r="J84" s="286"/>
      <c r="K84" s="286"/>
    </row>
    <row r="85" spans="2:39" ht="15" x14ac:dyDescent="0.2">
      <c r="B85" s="125" t="s">
        <v>342</v>
      </c>
      <c r="C85" s="126"/>
      <c r="D85" s="71"/>
      <c r="E85" s="228"/>
      <c r="F85" s="251">
        <v>2.35</v>
      </c>
      <c r="G85" s="108">
        <f>IF(D85="Yes",F85,0)</f>
        <v>0</v>
      </c>
      <c r="H85" s="210"/>
      <c r="I85" s="287"/>
      <c r="J85" s="274"/>
      <c r="K85" s="274"/>
    </row>
    <row r="86" spans="2:39" s="5" customFormat="1" ht="15" x14ac:dyDescent="0.2">
      <c r="B86" s="125" t="s">
        <v>343</v>
      </c>
      <c r="C86" s="126"/>
      <c r="D86" s="71" t="s">
        <v>96</v>
      </c>
      <c r="E86" s="228"/>
      <c r="F86" s="251">
        <v>2.35</v>
      </c>
      <c r="G86" s="108">
        <f>IF(D86="Yes",F86,0)</f>
        <v>2.35</v>
      </c>
      <c r="H86" s="210"/>
      <c r="I86" s="273"/>
      <c r="J86" s="288"/>
      <c r="K86" s="28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row>
    <row r="87" spans="2:39" s="5" customFormat="1" ht="15" x14ac:dyDescent="0.2">
      <c r="B87" s="125" t="s">
        <v>344</v>
      </c>
      <c r="C87" s="126"/>
      <c r="D87" s="71" t="s">
        <v>96</v>
      </c>
      <c r="E87" s="228"/>
      <c r="F87" s="251">
        <v>0.9</v>
      </c>
      <c r="G87" s="108">
        <f>IF(D87="Yes",F87,0)</f>
        <v>0.9</v>
      </c>
      <c r="H87" s="210"/>
      <c r="I87" s="273"/>
      <c r="J87" s="288"/>
      <c r="K87" s="28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row>
    <row r="88" spans="2:39" ht="15" x14ac:dyDescent="0.2">
      <c r="B88" s="125" t="s">
        <v>345</v>
      </c>
      <c r="C88" s="126"/>
      <c r="D88" s="71"/>
      <c r="E88" s="228"/>
      <c r="F88" s="251">
        <v>0.9</v>
      </c>
      <c r="G88" s="108">
        <f>IF(D88="Yes",F88,0)</f>
        <v>0</v>
      </c>
      <c r="H88" s="210"/>
      <c r="I88" s="273"/>
      <c r="J88" s="274"/>
      <c r="K88" s="274"/>
    </row>
    <row r="89" spans="2:39" ht="15" x14ac:dyDescent="0.2">
      <c r="B89" s="125" t="s">
        <v>346</v>
      </c>
      <c r="C89" s="126"/>
      <c r="D89" s="71"/>
      <c r="E89" s="228"/>
      <c r="F89" s="251">
        <v>0.9</v>
      </c>
      <c r="G89" s="108">
        <f>IF(D89="Yes",F89,0)</f>
        <v>0</v>
      </c>
      <c r="H89" s="210"/>
      <c r="I89" s="273"/>
      <c r="J89" s="274"/>
      <c r="K89" s="274"/>
    </row>
    <row r="90" spans="2:39" ht="15" x14ac:dyDescent="0.2">
      <c r="B90" s="122" t="s">
        <v>334</v>
      </c>
      <c r="C90" s="123"/>
      <c r="D90" s="123"/>
      <c r="E90" s="254">
        <v>0.6</v>
      </c>
      <c r="F90" s="258">
        <v>3.6</v>
      </c>
      <c r="G90" s="200">
        <f>SUM(G91:G94)</f>
        <v>0</v>
      </c>
      <c r="H90" s="210"/>
      <c r="I90" s="285"/>
      <c r="J90" s="286"/>
      <c r="K90" s="286"/>
    </row>
    <row r="91" spans="2:39" ht="15" x14ac:dyDescent="0.2">
      <c r="B91" s="22" t="s">
        <v>347</v>
      </c>
      <c r="C91" s="70"/>
      <c r="D91" s="71"/>
      <c r="E91" s="228">
        <v>0.35</v>
      </c>
      <c r="F91" s="235">
        <v>1.26</v>
      </c>
      <c r="G91" s="108">
        <f>IF(D91="Yes",F91,0)</f>
        <v>0</v>
      </c>
      <c r="H91" s="210"/>
      <c r="I91" s="273"/>
      <c r="J91" s="274"/>
      <c r="K91" s="274"/>
    </row>
    <row r="92" spans="2:39" ht="15" x14ac:dyDescent="0.2">
      <c r="B92" s="127" t="s">
        <v>348</v>
      </c>
      <c r="C92" s="126"/>
      <c r="D92" s="71"/>
      <c r="E92" s="228">
        <v>0.35</v>
      </c>
      <c r="F92" s="235">
        <v>1.26</v>
      </c>
      <c r="G92" s="108">
        <f t="shared" ref="G92:G94" si="7">IF(D92="Yes",F92,0)</f>
        <v>0</v>
      </c>
      <c r="H92" s="210"/>
      <c r="I92" s="273"/>
      <c r="J92" s="274"/>
      <c r="K92" s="274"/>
    </row>
    <row r="93" spans="2:39" ht="15" x14ac:dyDescent="0.2">
      <c r="B93" s="127" t="s">
        <v>349</v>
      </c>
      <c r="C93" s="126"/>
      <c r="D93" s="71"/>
      <c r="E93" s="228">
        <v>0.15</v>
      </c>
      <c r="F93" s="235">
        <v>0.54</v>
      </c>
      <c r="G93" s="108">
        <f t="shared" si="7"/>
        <v>0</v>
      </c>
      <c r="H93" s="210"/>
      <c r="I93" s="273"/>
      <c r="J93" s="274"/>
      <c r="K93" s="274"/>
    </row>
    <row r="94" spans="2:39" ht="15" x14ac:dyDescent="0.2">
      <c r="B94" s="22" t="s">
        <v>340</v>
      </c>
      <c r="C94" s="70"/>
      <c r="D94" s="71"/>
      <c r="E94" s="228">
        <v>0.15</v>
      </c>
      <c r="F94" s="235">
        <v>0.54</v>
      </c>
      <c r="G94" s="108">
        <f t="shared" si="7"/>
        <v>0</v>
      </c>
      <c r="H94" s="210"/>
      <c r="I94" s="273"/>
      <c r="J94" s="274"/>
      <c r="K94" s="274"/>
    </row>
    <row r="95" spans="2:39" x14ac:dyDescent="0.2">
      <c r="D95" s="17"/>
      <c r="E95" s="259"/>
      <c r="F95" s="260"/>
      <c r="G95" s="18"/>
    </row>
    <row r="96" spans="2:39" x14ac:dyDescent="0.2">
      <c r="D96" s="17"/>
      <c r="E96" s="259"/>
      <c r="F96" s="260"/>
      <c r="G96" s="18"/>
    </row>
    <row r="97" spans="4:7" x14ac:dyDescent="0.2">
      <c r="D97" s="17"/>
      <c r="E97" s="259"/>
      <c r="F97" s="260"/>
      <c r="G97" s="18"/>
    </row>
    <row r="98" spans="4:7" x14ac:dyDescent="0.2">
      <c r="D98" s="17"/>
      <c r="E98" s="259"/>
      <c r="F98" s="260"/>
      <c r="G98" s="18"/>
    </row>
    <row r="99" spans="4:7" x14ac:dyDescent="0.2">
      <c r="D99" s="17"/>
      <c r="E99" s="259"/>
      <c r="F99" s="260"/>
      <c r="G99" s="18"/>
    </row>
    <row r="100" spans="4:7" x14ac:dyDescent="0.2">
      <c r="D100" s="17"/>
      <c r="E100" s="259"/>
      <c r="F100" s="260"/>
      <c r="G100" s="18"/>
    </row>
    <row r="101" spans="4:7" x14ac:dyDescent="0.2">
      <c r="D101" s="17"/>
      <c r="E101" s="259"/>
      <c r="F101" s="260"/>
      <c r="G101" s="18"/>
    </row>
    <row r="102" spans="4:7" x14ac:dyDescent="0.2">
      <c r="D102" s="17"/>
      <c r="E102" s="259"/>
      <c r="F102" s="260"/>
      <c r="G102" s="18"/>
    </row>
    <row r="103" spans="4:7" x14ac:dyDescent="0.2">
      <c r="D103" s="17"/>
      <c r="E103" s="259"/>
      <c r="F103" s="260"/>
      <c r="G103" s="18"/>
    </row>
    <row r="104" spans="4:7" x14ac:dyDescent="0.2">
      <c r="D104" s="17"/>
      <c r="E104" s="259"/>
      <c r="F104" s="260"/>
      <c r="G104" s="18"/>
    </row>
    <row r="105" spans="4:7" x14ac:dyDescent="0.2">
      <c r="D105" s="17"/>
      <c r="E105" s="259"/>
      <c r="F105" s="260"/>
      <c r="G105" s="18"/>
    </row>
    <row r="106" spans="4:7" x14ac:dyDescent="0.2">
      <c r="D106" s="17"/>
      <c r="E106" s="259"/>
      <c r="F106" s="260"/>
      <c r="G106" s="18"/>
    </row>
    <row r="107" spans="4:7" x14ac:dyDescent="0.2">
      <c r="D107" s="17"/>
      <c r="E107" s="259"/>
      <c r="F107" s="260"/>
      <c r="G107" s="18"/>
    </row>
    <row r="108" spans="4:7" x14ac:dyDescent="0.2">
      <c r="D108" s="17"/>
      <c r="E108" s="259"/>
      <c r="F108" s="260"/>
      <c r="G108" s="18"/>
    </row>
    <row r="109" spans="4:7" x14ac:dyDescent="0.2">
      <c r="D109" s="17"/>
      <c r="E109" s="259"/>
      <c r="F109" s="260"/>
      <c r="G109" s="18"/>
    </row>
    <row r="110" spans="4:7" x14ac:dyDescent="0.2">
      <c r="D110" s="17"/>
      <c r="E110" s="259"/>
      <c r="F110" s="260"/>
      <c r="G110" s="18"/>
    </row>
    <row r="111" spans="4:7" x14ac:dyDescent="0.2">
      <c r="D111" s="17"/>
      <c r="E111" s="259"/>
      <c r="F111" s="260"/>
      <c r="G111" s="18"/>
    </row>
    <row r="112" spans="4:7" x14ac:dyDescent="0.2">
      <c r="D112" s="17"/>
      <c r="E112" s="259"/>
      <c r="F112" s="260"/>
      <c r="G112" s="18"/>
    </row>
    <row r="113" spans="4:7" x14ac:dyDescent="0.2">
      <c r="D113" s="17"/>
      <c r="E113" s="259"/>
      <c r="F113" s="260"/>
      <c r="G113" s="18"/>
    </row>
    <row r="114" spans="4:7" x14ac:dyDescent="0.2">
      <c r="D114" s="17"/>
      <c r="E114" s="259"/>
      <c r="F114" s="260"/>
      <c r="G114" s="18"/>
    </row>
    <row r="115" spans="4:7" x14ac:dyDescent="0.2">
      <c r="D115" s="17"/>
      <c r="E115" s="259"/>
      <c r="F115" s="260"/>
      <c r="G115" s="18"/>
    </row>
  </sheetData>
  <sheetProtection algorithmName="SHA-512" hashValue="qE8g0tjbcGAY1kiAsPu3AMzs8XHA8kkHfiGaNCIrhA0dcKxvkgdmk4augfcUxeJuDMn1XaCQ587RMF0AtLBhvg==" saltValue="i1AGxUuV0iLMWXZE3oNngQ==" spinCount="100000" sheet="1" formatCells="0" formatRows="0" selectLockedCells="1"/>
  <mergeCells count="10">
    <mergeCell ref="B2:D2"/>
    <mergeCell ref="B3:D3"/>
    <mergeCell ref="B5:D5"/>
    <mergeCell ref="B6:D6"/>
    <mergeCell ref="B7:D7"/>
    <mergeCell ref="G9:G10"/>
    <mergeCell ref="I9:K10"/>
    <mergeCell ref="B9:B10"/>
    <mergeCell ref="D9:D10"/>
    <mergeCell ref="C9:C10"/>
  </mergeCells>
  <pageMargins left="0.4765625" right="1.036875" top="1.08" bottom="0.91" header="0.5" footer="0.5"/>
  <pageSetup scale="26" fitToHeight="0" orientation="landscape" r:id="rId1"/>
  <headerFooter alignWithMargins="0">
    <oddHeader xml:space="preserve">&amp;R&amp;"Arial,Bold"&amp;12Annex 2
SG DEM
</oddHeader>
  </headerFooter>
  <colBreaks count="1" manualBreakCount="1">
    <brk id="1" max="1048575" man="1"/>
  </colBreaks>
  <ignoredErrors>
    <ignoredError sqref="G48 G34"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'Listas desplegables'!$A$2:$A$3</xm:f>
          </x14:formula1>
          <xm:sqref>D26 D28:D29 D31:D33 D35:D37 D77:D82 D49:D53 D40 D56:D60 D13:D18 D20:D23 D42:D46 D64:D68 D70:D75 D91:D94 D85:D89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fitToPage="1"/>
  </sheetPr>
  <dimension ref="A2:AA20"/>
  <sheetViews>
    <sheetView zoomScale="70" zoomScaleNormal="70" workbookViewId="0">
      <selection activeCell="D12" sqref="D12"/>
    </sheetView>
  </sheetViews>
  <sheetFormatPr defaultColWidth="9.140625" defaultRowHeight="12.75" x14ac:dyDescent="0.2"/>
  <cols>
    <col min="1" max="1" width="2.42578125" style="2" customWidth="1"/>
    <col min="2" max="2" width="82.85546875" style="3" customWidth="1"/>
    <col min="3" max="3" width="68.85546875" style="2" customWidth="1"/>
    <col min="4" max="4" width="25.140625" style="15" customWidth="1"/>
    <col min="5" max="5" width="17.140625" style="37" hidden="1" customWidth="1"/>
    <col min="6" max="8" width="25.85546875" style="37" customWidth="1"/>
    <col min="9" max="27" width="9.140625" style="37"/>
    <col min="28" max="16384" width="9.140625" style="2"/>
  </cols>
  <sheetData>
    <row r="2" spans="1:8" ht="18" x14ac:dyDescent="0.2">
      <c r="B2" s="373" t="s">
        <v>80</v>
      </c>
      <c r="C2" s="373"/>
      <c r="D2" s="373"/>
    </row>
    <row r="3" spans="1:8" ht="18.75" thickBot="1" x14ac:dyDescent="0.25">
      <c r="B3" s="373" t="s">
        <v>350</v>
      </c>
      <c r="C3" s="413"/>
      <c r="D3" s="413"/>
    </row>
    <row r="4" spans="1:8" ht="18" x14ac:dyDescent="0.2">
      <c r="A4" s="414" t="s">
        <v>82</v>
      </c>
      <c r="B4" s="415"/>
      <c r="C4" s="415"/>
      <c r="D4" s="415"/>
      <c r="E4" s="39"/>
    </row>
    <row r="5" spans="1:8" ht="23.25" customHeight="1" x14ac:dyDescent="0.2">
      <c r="A5" s="20"/>
      <c r="B5" s="416" t="s">
        <v>351</v>
      </c>
      <c r="C5" s="416"/>
      <c r="D5" s="416"/>
      <c r="E5" s="40"/>
    </row>
    <row r="6" spans="1:8" ht="31.5" customHeight="1" x14ac:dyDescent="0.2">
      <c r="A6" s="4">
        <v>1</v>
      </c>
      <c r="B6" s="387" t="s">
        <v>261</v>
      </c>
      <c r="C6" s="387"/>
      <c r="D6" s="387"/>
      <c r="E6" s="40"/>
    </row>
    <row r="7" spans="1:8" ht="30.75" customHeight="1" thickBot="1" x14ac:dyDescent="0.25">
      <c r="A7" s="21">
        <v>2</v>
      </c>
      <c r="B7" s="412" t="s">
        <v>352</v>
      </c>
      <c r="C7" s="412"/>
      <c r="D7" s="412"/>
      <c r="E7" s="41"/>
    </row>
    <row r="8" spans="1:8" ht="27" customHeight="1" x14ac:dyDescent="0.2">
      <c r="C8" s="3"/>
      <c r="D8" s="14"/>
    </row>
    <row r="9" spans="1:8" ht="18" customHeight="1" thickBot="1" x14ac:dyDescent="0.25">
      <c r="B9" s="411" t="s">
        <v>353</v>
      </c>
      <c r="C9" s="411"/>
      <c r="D9" s="411"/>
    </row>
    <row r="10" spans="1:8" ht="25.5" customHeight="1" x14ac:dyDescent="0.2">
      <c r="B10" s="163" t="s">
        <v>85</v>
      </c>
      <c r="C10" s="60" t="s">
        <v>86</v>
      </c>
      <c r="D10" s="167" t="s">
        <v>263</v>
      </c>
      <c r="E10" s="164"/>
      <c r="F10" s="409" t="s">
        <v>88</v>
      </c>
      <c r="G10" s="410"/>
      <c r="H10" s="410"/>
    </row>
    <row r="11" spans="1:8" ht="23.25" customHeight="1" x14ac:dyDescent="0.2">
      <c r="B11" s="159" t="s">
        <v>354</v>
      </c>
      <c r="C11" s="88"/>
      <c r="D11" s="168"/>
      <c r="E11" s="165"/>
      <c r="F11" s="129" t="s">
        <v>90</v>
      </c>
      <c r="G11" s="308" t="s">
        <v>91</v>
      </c>
      <c r="H11" s="308" t="s">
        <v>92</v>
      </c>
    </row>
    <row r="12" spans="1:8" ht="33" customHeight="1" x14ac:dyDescent="0.2">
      <c r="B12" s="160" t="s">
        <v>355</v>
      </c>
      <c r="C12" s="35" t="s">
        <v>356</v>
      </c>
      <c r="D12" s="169" t="s">
        <v>357</v>
      </c>
      <c r="E12" s="165"/>
      <c r="F12" s="90"/>
      <c r="G12" s="156"/>
      <c r="H12" s="156"/>
    </row>
    <row r="13" spans="1:8" ht="33" customHeight="1" x14ac:dyDescent="0.2">
      <c r="B13" s="160" t="s">
        <v>358</v>
      </c>
      <c r="C13" s="35" t="s">
        <v>359</v>
      </c>
      <c r="D13" s="169" t="s">
        <v>360</v>
      </c>
      <c r="E13" s="165"/>
      <c r="F13" s="90"/>
      <c r="G13" s="156"/>
      <c r="H13" s="156"/>
    </row>
    <row r="14" spans="1:8" ht="15" x14ac:dyDescent="0.2">
      <c r="B14" s="105" t="s">
        <v>361</v>
      </c>
      <c r="C14" s="89"/>
      <c r="D14" s="157"/>
      <c r="E14" s="165"/>
      <c r="F14" s="89"/>
      <c r="G14" s="157"/>
      <c r="H14" s="157"/>
    </row>
    <row r="15" spans="1:8" ht="33" customHeight="1" x14ac:dyDescent="0.2">
      <c r="B15" s="22" t="s">
        <v>362</v>
      </c>
      <c r="C15" s="90"/>
      <c r="D15" s="170"/>
      <c r="E15" s="165"/>
      <c r="F15" s="90"/>
      <c r="G15" s="156"/>
      <c r="H15" s="156"/>
    </row>
    <row r="16" spans="1:8" ht="33" customHeight="1" x14ac:dyDescent="0.2">
      <c r="B16" s="22" t="s">
        <v>363</v>
      </c>
      <c r="C16" s="90"/>
      <c r="D16" s="170"/>
      <c r="E16" s="165"/>
      <c r="F16" s="90"/>
      <c r="G16" s="156"/>
      <c r="H16" s="156"/>
    </row>
    <row r="17" spans="2:8" ht="15" x14ac:dyDescent="0.2">
      <c r="B17" s="105" t="s">
        <v>364</v>
      </c>
      <c r="C17" s="89"/>
      <c r="D17" s="157"/>
      <c r="E17" s="165"/>
      <c r="F17" s="89"/>
      <c r="G17" s="157"/>
      <c r="H17" s="157"/>
    </row>
    <row r="18" spans="2:8" ht="33" customHeight="1" x14ac:dyDescent="0.2">
      <c r="B18" s="22" t="s">
        <v>365</v>
      </c>
      <c r="C18" s="90"/>
      <c r="D18" s="170"/>
      <c r="E18" s="165"/>
      <c r="F18" s="90"/>
      <c r="G18" s="156"/>
      <c r="H18" s="156"/>
    </row>
    <row r="19" spans="2:8" ht="33" customHeight="1" thickBot="1" x14ac:dyDescent="0.25">
      <c r="B19" s="161" t="s">
        <v>366</v>
      </c>
      <c r="C19" s="162"/>
      <c r="D19" s="171"/>
      <c r="E19" s="166"/>
      <c r="F19" s="162"/>
      <c r="G19" s="158"/>
      <c r="H19" s="158"/>
    </row>
    <row r="20" spans="2:8" ht="14.25" x14ac:dyDescent="0.2">
      <c r="B20" s="23"/>
      <c r="D20" s="91"/>
    </row>
  </sheetData>
  <sheetProtection algorithmName="SHA-512" hashValue="h0w742FhvmdNQ4ruGL6PiL6wG27BTMzOnvRgBEn/cJsGaVjPg0de3B0mv9cC5RW8PeJy17gYDMvymcq5RC0Blw==" saltValue="8L4FwLC31VyMhdywG4VTwg==" spinCount="100000" sheet="1" objects="1" scenarios="1" formatCells="0" formatColumns="0" formatRows="0" selectLockedCells="1"/>
  <mergeCells count="8">
    <mergeCell ref="F10:H10"/>
    <mergeCell ref="B9:D9"/>
    <mergeCell ref="B7:D7"/>
    <mergeCell ref="B3:D3"/>
    <mergeCell ref="B2:D2"/>
    <mergeCell ref="A4:D4"/>
    <mergeCell ref="B5:D5"/>
    <mergeCell ref="B6:D6"/>
  </mergeCells>
  <pageMargins left="0.4765625" right="1.036875" top="1.08" bottom="0.91" header="0.5" footer="0.5"/>
  <pageSetup scale="48" orientation="landscape" r:id="rId1"/>
  <headerFooter alignWithMargins="0">
    <oddHeader xml:space="preserve">&amp;R&amp;"Arial,Bold"&amp;12Annex 2
SG DEM
</oddHeader>
  </headerFooter>
  <rowBreaks count="1" manualBreakCount="1">
    <brk id="9" max="16383" man="1"/>
  </rowBreaks>
  <colBreaks count="1" manualBreakCount="1">
    <brk id="1"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'Listas desplegables'!$B$2:$B$4</xm:f>
          </x14:formula1>
          <xm:sqref>D12</xm:sqref>
        </x14:dataValidation>
        <x14:dataValidation type="list" allowBlank="1" showInputMessage="1" showErrorMessage="1" xr:uid="{00000000-0002-0000-0500-000001000000}">
          <x14:formula1>
            <xm:f>'Listas desplegables'!$C$2:$C$5</xm:f>
          </x14:formula1>
          <xm:sqref>D13</xm:sqref>
        </x14:dataValidation>
        <x14:dataValidation type="list" allowBlank="1" showInputMessage="1" showErrorMessage="1" xr:uid="{00000000-0002-0000-0500-000002000000}">
          <x14:formula1>
            <xm:f>'Listas desplegables'!$A$2:$A$3</xm:f>
          </x14:formula1>
          <xm:sqref>D15:D16 D18:D19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1:Z42"/>
  <sheetViews>
    <sheetView topLeftCell="A8" zoomScale="70" zoomScaleNormal="70" workbookViewId="0">
      <selection activeCell="O35" sqref="O35"/>
    </sheetView>
  </sheetViews>
  <sheetFormatPr defaultColWidth="9.140625" defaultRowHeight="12.75" x14ac:dyDescent="0.2"/>
  <cols>
    <col min="1" max="1" width="2.42578125" style="2" customWidth="1"/>
    <col min="2" max="2" width="79.140625" style="3" customWidth="1"/>
    <col min="3" max="3" width="50.42578125" style="2" customWidth="1"/>
    <col min="4" max="4" width="0.140625" style="2" customWidth="1"/>
    <col min="5" max="5" width="11" style="15" customWidth="1"/>
    <col min="6" max="6" width="16.140625" style="84" hidden="1" customWidth="1"/>
    <col min="7" max="10" width="9.140625" style="84" hidden="1" customWidth="1"/>
    <col min="11" max="11" width="5.85546875" style="84" hidden="1" customWidth="1"/>
    <col min="12" max="12" width="7.85546875" style="84" hidden="1" customWidth="1"/>
    <col min="13" max="13" width="11.42578125" style="84" hidden="1" customWidth="1"/>
    <col min="14" max="14" width="2.42578125" style="2" hidden="1" customWidth="1"/>
    <col min="15" max="15" width="33.140625" style="37" customWidth="1"/>
    <col min="16" max="17" width="26.140625" style="37" customWidth="1"/>
    <col min="18" max="26" width="9.140625" style="37"/>
    <col min="27" max="16384" width="9.140625" style="2"/>
  </cols>
  <sheetData>
    <row r="1" spans="1:26" x14ac:dyDescent="0.2">
      <c r="O1" s="2"/>
      <c r="P1" s="2"/>
    </row>
    <row r="2" spans="1:26" ht="18" x14ac:dyDescent="0.2">
      <c r="B2" s="373" t="s">
        <v>80</v>
      </c>
      <c r="C2" s="373"/>
      <c r="D2" s="373"/>
      <c r="E2" s="373"/>
      <c r="O2" s="2"/>
      <c r="P2" s="2"/>
    </row>
    <row r="3" spans="1:26" ht="18.75" thickBot="1" x14ac:dyDescent="0.25">
      <c r="B3" s="373" t="s">
        <v>350</v>
      </c>
      <c r="C3" s="413"/>
      <c r="D3" s="413"/>
      <c r="E3" s="413"/>
      <c r="O3" s="2"/>
      <c r="P3" s="2"/>
    </row>
    <row r="4" spans="1:26" ht="18" x14ac:dyDescent="0.2">
      <c r="A4" s="414" t="s">
        <v>82</v>
      </c>
      <c r="B4" s="415"/>
      <c r="C4" s="415"/>
      <c r="D4" s="415"/>
      <c r="E4" s="419"/>
      <c r="F4" s="92"/>
      <c r="O4" s="2"/>
      <c r="P4" s="2"/>
    </row>
    <row r="5" spans="1:26" ht="23.25" customHeight="1" x14ac:dyDescent="0.2">
      <c r="A5" s="20"/>
      <c r="B5" s="416" t="s">
        <v>351</v>
      </c>
      <c r="C5" s="416"/>
      <c r="D5" s="416"/>
      <c r="E5" s="420"/>
      <c r="F5" s="93"/>
      <c r="O5" s="2"/>
      <c r="P5" s="2"/>
    </row>
    <row r="6" spans="1:26" ht="31.5" customHeight="1" x14ac:dyDescent="0.2">
      <c r="A6" s="4">
        <v>1</v>
      </c>
      <c r="B6" s="387" t="s">
        <v>261</v>
      </c>
      <c r="C6" s="387"/>
      <c r="D6" s="387"/>
      <c r="E6" s="388"/>
      <c r="F6" s="93"/>
      <c r="O6" s="2"/>
      <c r="P6" s="2"/>
    </row>
    <row r="7" spans="1:26" ht="30.75" customHeight="1" thickBot="1" x14ac:dyDescent="0.25">
      <c r="A7" s="21">
        <v>2</v>
      </c>
      <c r="B7" s="412" t="s">
        <v>352</v>
      </c>
      <c r="C7" s="412"/>
      <c r="D7" s="412"/>
      <c r="E7" s="422"/>
      <c r="F7" s="94"/>
      <c r="O7" s="2"/>
      <c r="P7" s="2"/>
    </row>
    <row r="8" spans="1:26" ht="27" customHeight="1" x14ac:dyDescent="0.2">
      <c r="C8" s="3"/>
      <c r="D8" s="3"/>
      <c r="E8" s="14"/>
      <c r="O8" s="2"/>
      <c r="P8" s="2"/>
    </row>
    <row r="9" spans="1:26" ht="18.75" thickBot="1" x14ac:dyDescent="0.25">
      <c r="B9" s="411" t="s">
        <v>367</v>
      </c>
      <c r="C9" s="411"/>
      <c r="D9" s="411"/>
      <c r="E9" s="411"/>
      <c r="O9" s="2"/>
      <c r="P9" s="2"/>
    </row>
    <row r="10" spans="1:26" s="24" customFormat="1" ht="15.75" customHeight="1" x14ac:dyDescent="0.2">
      <c r="B10" s="28" t="s">
        <v>85</v>
      </c>
      <c r="C10" s="29" t="s">
        <v>86</v>
      </c>
      <c r="D10" s="29" t="s">
        <v>368</v>
      </c>
      <c r="E10" s="30" t="s">
        <v>263</v>
      </c>
      <c r="F10" s="95"/>
      <c r="G10" s="95"/>
      <c r="H10" s="95"/>
      <c r="I10" s="95"/>
      <c r="J10" s="95"/>
      <c r="K10" s="95"/>
      <c r="L10" s="95"/>
      <c r="M10" s="95"/>
      <c r="O10" s="418" t="s">
        <v>88</v>
      </c>
      <c r="P10" s="410"/>
      <c r="Q10" s="410"/>
      <c r="R10" s="42"/>
      <c r="S10" s="42"/>
      <c r="T10" s="42"/>
      <c r="U10" s="42"/>
      <c r="V10" s="42"/>
      <c r="W10" s="42"/>
      <c r="X10" s="42"/>
      <c r="Y10" s="42"/>
      <c r="Z10" s="42"/>
    </row>
    <row r="11" spans="1:26" s="24" customFormat="1" ht="17.25" customHeight="1" x14ac:dyDescent="0.2">
      <c r="B11" s="48" t="s">
        <v>369</v>
      </c>
      <c r="C11" s="153"/>
      <c r="D11" s="153"/>
      <c r="E11" s="154"/>
      <c r="F11" s="95"/>
      <c r="G11" s="95"/>
      <c r="H11" s="95"/>
      <c r="I11" s="95"/>
      <c r="J11" s="95"/>
      <c r="K11" s="95"/>
      <c r="L11" s="95"/>
      <c r="M11" s="95"/>
      <c r="O11" s="421" t="s">
        <v>90</v>
      </c>
      <c r="P11" s="417" t="s">
        <v>91</v>
      </c>
      <c r="Q11" s="417" t="s">
        <v>92</v>
      </c>
      <c r="R11" s="42"/>
      <c r="S11" s="42"/>
      <c r="T11" s="42"/>
      <c r="U11" s="42"/>
      <c r="V11" s="42"/>
      <c r="W11" s="42"/>
      <c r="X11" s="42"/>
      <c r="Y11" s="42"/>
      <c r="Z11" s="42"/>
    </row>
    <row r="12" spans="1:26" s="24" customFormat="1" ht="14.25" x14ac:dyDescent="0.2">
      <c r="B12" s="85" t="s">
        <v>370</v>
      </c>
      <c r="C12" s="62"/>
      <c r="D12" s="62"/>
      <c r="E12" s="155" t="str">
        <f>IF(OR(E13="Yes",E27="Yes"),"Yes","")</f>
        <v>Yes</v>
      </c>
      <c r="F12" s="95"/>
      <c r="G12" s="95"/>
      <c r="H12" s="95"/>
      <c r="I12" s="95"/>
      <c r="J12" s="95"/>
      <c r="K12" s="95"/>
      <c r="L12" s="95"/>
      <c r="M12" s="95"/>
      <c r="O12" s="421"/>
      <c r="P12" s="417"/>
      <c r="Q12" s="417"/>
      <c r="R12" s="42"/>
      <c r="S12" s="42"/>
      <c r="T12" s="42"/>
      <c r="U12" s="42"/>
      <c r="V12" s="42"/>
      <c r="W12" s="42"/>
      <c r="X12" s="42"/>
      <c r="Y12" s="42"/>
      <c r="Z12" s="42"/>
    </row>
    <row r="13" spans="1:26" s="24" customFormat="1" ht="14.25" x14ac:dyDescent="0.2">
      <c r="B13" s="52" t="s">
        <v>371</v>
      </c>
      <c r="C13" s="46"/>
      <c r="D13" s="46"/>
      <c r="E13" s="96" t="str">
        <f>IF(OR(E14="Yes",E20="Yes"),"Yes","")</f>
        <v>Yes</v>
      </c>
      <c r="F13" s="95"/>
      <c r="G13" s="95"/>
      <c r="H13" s="95"/>
      <c r="I13" s="95"/>
      <c r="J13" s="95"/>
      <c r="K13" s="95"/>
      <c r="L13" s="95"/>
      <c r="M13" s="95"/>
      <c r="O13" s="150"/>
      <c r="P13" s="96"/>
      <c r="Q13" s="96"/>
      <c r="R13" s="42"/>
      <c r="S13" s="42"/>
      <c r="T13" s="42"/>
      <c r="U13" s="42"/>
      <c r="V13" s="42"/>
      <c r="W13" s="42"/>
      <c r="X13" s="42"/>
      <c r="Y13" s="42"/>
      <c r="Z13" s="42"/>
    </row>
    <row r="14" spans="1:26" s="24" customFormat="1" ht="14.25" x14ac:dyDescent="0.2">
      <c r="B14" s="8" t="s">
        <v>372</v>
      </c>
      <c r="C14" s="7"/>
      <c r="D14" s="7"/>
      <c r="E14" s="97" t="str">
        <f>IF(OR(E15="Yes",E16="Yes",E17="Yes",E18="Yes",E19="Yes"),"Yes","")</f>
        <v>Yes</v>
      </c>
      <c r="F14" s="95" t="str">
        <f t="shared" ref="F14:F24" si="0">IF(E14="Yes",B14,"")</f>
        <v xml:space="preserve">     Financial Management</v>
      </c>
      <c r="G14" s="95">
        <f>LEN(F14)</f>
        <v>25</v>
      </c>
      <c r="H14" s="95" t="str">
        <f>RIGHT(F14,(G14-5))</f>
        <v>Financial Management</v>
      </c>
      <c r="I14" s="95" t="str">
        <f>IF(E14="Yes",CONCATENATE(H14,": "),"")</f>
        <v xml:space="preserve">Financial Management: </v>
      </c>
      <c r="J14" s="95" t="str">
        <f>CONCATENATE(I14,I15,I16,I17,I18,I19)</f>
        <v xml:space="preserve">Financial Management: Budget, Treasury, Accounting and Reporting, </v>
      </c>
      <c r="K14" s="95">
        <f>LEN(J14)</f>
        <v>66</v>
      </c>
      <c r="L14" s="95" t="str">
        <f>LEFT(J14,(K14-2))</f>
        <v>Financial Management: Budget, Treasury, Accounting and Reporting</v>
      </c>
      <c r="M14" s="95" t="str">
        <f>IF(K14=0,"",CONCATENATE(L14,"."))</f>
        <v>Financial Management: Budget, Treasury, Accounting and Reporting.</v>
      </c>
      <c r="N14" s="24" t="str">
        <f>CONCATENATE(M14,CHAR(10),CHAR(10),M20)</f>
        <v>Financial Management: Budget, Treasury, Accounting and Reporting.
Procurement: nformation System, parison, ational Public Bidding.</v>
      </c>
      <c r="O14" s="8"/>
      <c r="P14" s="151"/>
      <c r="Q14" s="151"/>
      <c r="R14" s="42"/>
      <c r="S14" s="42"/>
      <c r="T14" s="42"/>
      <c r="U14" s="42"/>
      <c r="V14" s="42"/>
      <c r="W14" s="42"/>
      <c r="X14" s="42"/>
      <c r="Y14" s="42"/>
      <c r="Z14" s="42"/>
    </row>
    <row r="15" spans="1:26" s="24" customFormat="1" ht="15" x14ac:dyDescent="0.2">
      <c r="B15" s="22" t="s">
        <v>373</v>
      </c>
      <c r="C15" s="33"/>
      <c r="D15" s="26"/>
      <c r="E15" s="98" t="s">
        <v>96</v>
      </c>
      <c r="F15" s="95" t="str">
        <f t="shared" si="0"/>
        <v xml:space="preserve">         Budget</v>
      </c>
      <c r="G15" s="95">
        <f t="shared" ref="G15:G33" si="1">LEN(F15)</f>
        <v>15</v>
      </c>
      <c r="H15" s="95" t="str">
        <f>RIGHT(F15,(G15-9))</f>
        <v>Budget</v>
      </c>
      <c r="I15" s="95" t="str">
        <f>IF(E15="Yes",CONCATENATE(H15,", "),"")</f>
        <v xml:space="preserve">Budget, </v>
      </c>
      <c r="J15" s="95"/>
      <c r="K15" s="95"/>
      <c r="L15" s="95"/>
      <c r="M15" s="95"/>
      <c r="O15" s="148"/>
      <c r="P15" s="149"/>
      <c r="Q15" s="149"/>
      <c r="R15" s="42"/>
      <c r="S15" s="42"/>
      <c r="T15" s="42"/>
      <c r="U15" s="42"/>
      <c r="V15" s="42"/>
      <c r="W15" s="42"/>
      <c r="X15" s="42"/>
      <c r="Y15" s="42"/>
      <c r="Z15" s="42"/>
    </row>
    <row r="16" spans="1:26" s="24" customFormat="1" ht="15" x14ac:dyDescent="0.2">
      <c r="B16" s="22" t="s">
        <v>374</v>
      </c>
      <c r="C16" s="33"/>
      <c r="D16" s="26"/>
      <c r="E16" s="98" t="s">
        <v>96</v>
      </c>
      <c r="F16" s="95" t="str">
        <f t="shared" si="0"/>
        <v xml:space="preserve">         Treasury</v>
      </c>
      <c r="G16" s="95">
        <f t="shared" si="1"/>
        <v>17</v>
      </c>
      <c r="H16" s="95" t="str">
        <f t="shared" ref="H16:H19" si="2">RIGHT(F16,(G16-9))</f>
        <v>Treasury</v>
      </c>
      <c r="I16" s="95" t="str">
        <f t="shared" ref="I16:I23" si="3">IF(E16="Yes",CONCATENATE(H16,", "),"")</f>
        <v xml:space="preserve">Treasury, </v>
      </c>
      <c r="J16" s="95"/>
      <c r="K16" s="95"/>
      <c r="L16" s="95"/>
      <c r="M16" s="95"/>
      <c r="O16" s="148"/>
      <c r="P16" s="149"/>
      <c r="Q16" s="149"/>
      <c r="R16" s="42"/>
      <c r="S16" s="42"/>
      <c r="T16" s="42"/>
      <c r="U16" s="42"/>
      <c r="V16" s="42"/>
      <c r="W16" s="42"/>
      <c r="X16" s="42"/>
      <c r="Y16" s="42"/>
      <c r="Z16" s="42"/>
    </row>
    <row r="17" spans="2:26" s="24" customFormat="1" ht="15" x14ac:dyDescent="0.2">
      <c r="B17" s="22" t="s">
        <v>375</v>
      </c>
      <c r="C17" s="33"/>
      <c r="D17" s="26"/>
      <c r="E17" s="98" t="s">
        <v>96</v>
      </c>
      <c r="F17" s="95" t="str">
        <f t="shared" si="0"/>
        <v xml:space="preserve">         Accounting and Reporting</v>
      </c>
      <c r="G17" s="95">
        <f t="shared" si="1"/>
        <v>33</v>
      </c>
      <c r="H17" s="95" t="str">
        <f t="shared" si="2"/>
        <v>Accounting and Reporting</v>
      </c>
      <c r="I17" s="95" t="str">
        <f t="shared" si="3"/>
        <v xml:space="preserve">Accounting and Reporting, </v>
      </c>
      <c r="J17" s="95"/>
      <c r="K17" s="95"/>
      <c r="L17" s="95"/>
      <c r="M17" s="95"/>
      <c r="O17" s="148"/>
      <c r="P17" s="149"/>
      <c r="Q17" s="149"/>
      <c r="R17" s="42"/>
      <c r="S17" s="42"/>
      <c r="T17" s="42"/>
      <c r="U17" s="42"/>
      <c r="V17" s="42"/>
      <c r="W17" s="42"/>
      <c r="X17" s="42"/>
      <c r="Y17" s="42"/>
      <c r="Z17" s="42"/>
    </row>
    <row r="18" spans="2:26" s="24" customFormat="1" ht="15" x14ac:dyDescent="0.2">
      <c r="B18" s="22" t="s">
        <v>376</v>
      </c>
      <c r="C18" s="33"/>
      <c r="D18" s="26"/>
      <c r="E18" s="98" t="s">
        <v>174</v>
      </c>
      <c r="F18" s="95" t="str">
        <f t="shared" si="0"/>
        <v/>
      </c>
      <c r="G18" s="95">
        <f t="shared" si="1"/>
        <v>0</v>
      </c>
      <c r="H18" s="95" t="e">
        <f t="shared" si="2"/>
        <v>#VALUE!</v>
      </c>
      <c r="I18" s="95" t="str">
        <f t="shared" si="3"/>
        <v/>
      </c>
      <c r="J18" s="95"/>
      <c r="K18" s="95"/>
      <c r="L18" s="95"/>
      <c r="M18" s="95"/>
      <c r="O18" s="148"/>
      <c r="P18" s="149"/>
      <c r="Q18" s="149"/>
      <c r="R18" s="42"/>
      <c r="S18" s="42"/>
      <c r="T18" s="42"/>
      <c r="U18" s="42"/>
      <c r="V18" s="42"/>
      <c r="W18" s="42"/>
      <c r="X18" s="42"/>
      <c r="Y18" s="42"/>
      <c r="Z18" s="42"/>
    </row>
    <row r="19" spans="2:26" s="24" customFormat="1" ht="15" x14ac:dyDescent="0.2">
      <c r="B19" s="22" t="s">
        <v>377</v>
      </c>
      <c r="C19" s="33"/>
      <c r="D19" s="26"/>
      <c r="E19" s="98" t="s">
        <v>174</v>
      </c>
      <c r="F19" s="95" t="str">
        <f t="shared" si="0"/>
        <v/>
      </c>
      <c r="G19" s="95">
        <f t="shared" si="1"/>
        <v>0</v>
      </c>
      <c r="H19" s="95" t="e">
        <f t="shared" si="2"/>
        <v>#VALUE!</v>
      </c>
      <c r="I19" s="95" t="str">
        <f t="shared" si="3"/>
        <v/>
      </c>
      <c r="J19" s="95"/>
      <c r="K19" s="95"/>
      <c r="L19" s="95"/>
      <c r="M19" s="95"/>
      <c r="O19" s="148"/>
      <c r="P19" s="149"/>
      <c r="Q19" s="149"/>
      <c r="R19" s="42"/>
      <c r="S19" s="42"/>
      <c r="T19" s="42"/>
      <c r="U19" s="42"/>
      <c r="V19" s="42"/>
      <c r="W19" s="42"/>
      <c r="X19" s="42"/>
      <c r="Y19" s="42"/>
      <c r="Z19" s="42"/>
    </row>
    <row r="20" spans="2:26" s="24" customFormat="1" ht="14.25" x14ac:dyDescent="0.2">
      <c r="B20" s="8" t="s">
        <v>378</v>
      </c>
      <c r="C20" s="7"/>
      <c r="D20" s="7"/>
      <c r="E20" s="99" t="str">
        <f>IF(OR(E21="Yes",E22="Yes",E23="Yes",E24="Yes"),"Yes","")</f>
        <v>Yes</v>
      </c>
      <c r="F20" s="95" t="str">
        <f t="shared" si="0"/>
        <v xml:space="preserve">     Procurement</v>
      </c>
      <c r="G20" s="95">
        <f>LEN(F20)</f>
        <v>16</v>
      </c>
      <c r="H20" s="95" t="str">
        <f>RIGHT(F20,(G20-5))</f>
        <v>Procurement</v>
      </c>
      <c r="I20" s="95" t="str">
        <f>IF(E20="Yes",CONCATENATE(H20,": "),"")</f>
        <v xml:space="preserve">Procurement: </v>
      </c>
      <c r="J20" s="95" t="str">
        <f>CONCATENATE(I20,I21,I22,I23,I24)</f>
        <v xml:space="preserve">Procurement: nformation System, parison, ational Public Bidding, </v>
      </c>
      <c r="K20" s="95">
        <f>LEN(J20)</f>
        <v>65</v>
      </c>
      <c r="L20" s="95" t="str">
        <f t="shared" ref="L20" si="4">LEFT(J20,(K20-2))</f>
        <v>Procurement: nformation System, parison, ational Public Bidding</v>
      </c>
      <c r="M20" s="95" t="str">
        <f t="shared" ref="M20:M28" si="5">IF(K20=0,"",CONCATENATE(L20,"."))</f>
        <v>Procurement: nformation System, parison, ational Public Bidding.</v>
      </c>
      <c r="O20" s="8"/>
      <c r="P20" s="151"/>
      <c r="Q20" s="151"/>
      <c r="R20" s="42"/>
      <c r="S20" s="42"/>
      <c r="T20" s="42"/>
      <c r="U20" s="42"/>
      <c r="V20" s="42"/>
      <c r="W20" s="42"/>
      <c r="X20" s="42"/>
      <c r="Y20" s="42"/>
      <c r="Z20" s="42"/>
    </row>
    <row r="21" spans="2:26" s="24" customFormat="1" ht="15" x14ac:dyDescent="0.2">
      <c r="B21" s="22" t="s">
        <v>379</v>
      </c>
      <c r="C21" s="301"/>
      <c r="D21" s="26"/>
      <c r="E21" s="98" t="s">
        <v>96</v>
      </c>
      <c r="F21" s="95" t="str">
        <f t="shared" si="0"/>
        <v xml:space="preserve">        Information System</v>
      </c>
      <c r="G21" s="95">
        <f t="shared" si="1"/>
        <v>26</v>
      </c>
      <c r="H21" s="95" t="str">
        <f>RIGHT(F21,(G21-9))</f>
        <v>nformation System</v>
      </c>
      <c r="I21" s="95" t="str">
        <f t="shared" si="3"/>
        <v xml:space="preserve">nformation System, </v>
      </c>
      <c r="J21" s="95"/>
      <c r="K21" s="95"/>
      <c r="L21" s="95"/>
      <c r="M21" s="95"/>
      <c r="O21" s="148"/>
      <c r="P21" s="149"/>
      <c r="Q21" s="149"/>
      <c r="R21" s="42"/>
      <c r="S21" s="42"/>
      <c r="T21" s="42"/>
      <c r="U21" s="42"/>
      <c r="V21" s="42"/>
      <c r="W21" s="42"/>
      <c r="X21" s="42"/>
      <c r="Y21" s="42"/>
      <c r="Z21" s="42"/>
    </row>
    <row r="22" spans="2:26" s="24" customFormat="1" ht="15" x14ac:dyDescent="0.2">
      <c r="B22" s="191" t="s">
        <v>380</v>
      </c>
      <c r="C22" s="33"/>
      <c r="D22" s="26"/>
      <c r="E22" s="98" t="s">
        <v>96</v>
      </c>
      <c r="F22" s="95" t="str">
        <f t="shared" si="0"/>
        <v>Price Comparison</v>
      </c>
      <c r="G22" s="95">
        <f t="shared" si="1"/>
        <v>16</v>
      </c>
      <c r="H22" s="95" t="str">
        <f t="shared" ref="H22:H23" si="6">RIGHT(F22,(G22-9))</f>
        <v>parison</v>
      </c>
      <c r="I22" s="95" t="str">
        <f t="shared" si="3"/>
        <v xml:space="preserve">parison, </v>
      </c>
      <c r="J22" s="95"/>
      <c r="K22" s="95"/>
      <c r="L22" s="95"/>
      <c r="M22" s="95"/>
      <c r="O22" s="148"/>
      <c r="P22" s="149"/>
      <c r="Q22" s="149"/>
      <c r="R22" s="42"/>
      <c r="S22" s="42"/>
      <c r="T22" s="42"/>
      <c r="U22" s="42"/>
      <c r="V22" s="42"/>
      <c r="W22" s="42"/>
      <c r="X22" s="42"/>
      <c r="Y22" s="42"/>
      <c r="Z22" s="42"/>
    </row>
    <row r="23" spans="2:26" s="24" customFormat="1" ht="15" x14ac:dyDescent="0.2">
      <c r="B23" s="22" t="s">
        <v>381</v>
      </c>
      <c r="C23" s="33"/>
      <c r="D23" s="26"/>
      <c r="E23" s="98" t="s">
        <v>174</v>
      </c>
      <c r="F23" s="95" t="str">
        <f t="shared" si="0"/>
        <v/>
      </c>
      <c r="G23" s="95">
        <f t="shared" si="1"/>
        <v>0</v>
      </c>
      <c r="H23" s="95" t="e">
        <f t="shared" si="6"/>
        <v>#VALUE!</v>
      </c>
      <c r="I23" s="95" t="str">
        <f t="shared" si="3"/>
        <v/>
      </c>
      <c r="J23" s="95"/>
      <c r="K23" s="95"/>
      <c r="L23" s="95"/>
      <c r="M23" s="95"/>
      <c r="O23" s="148"/>
      <c r="P23" s="149"/>
      <c r="Q23" s="149"/>
      <c r="R23" s="42"/>
      <c r="S23" s="42"/>
      <c r="T23" s="42"/>
      <c r="U23" s="42"/>
      <c r="V23" s="42"/>
      <c r="W23" s="42"/>
      <c r="X23" s="42"/>
      <c r="Y23" s="42"/>
      <c r="Z23" s="42"/>
    </row>
    <row r="24" spans="2:26" s="24" customFormat="1" ht="15" x14ac:dyDescent="0.2">
      <c r="B24" s="22" t="s">
        <v>382</v>
      </c>
      <c r="C24" s="26"/>
      <c r="D24" s="26"/>
      <c r="E24" s="87" t="str">
        <f>IF(OR(E25="Yes",E26="Yes"),"Yes","")</f>
        <v>Yes</v>
      </c>
      <c r="F24" s="95" t="str">
        <f t="shared" si="0"/>
        <v xml:space="preserve">        National Public Bidding</v>
      </c>
      <c r="G24" s="95">
        <f t="shared" si="1"/>
        <v>31</v>
      </c>
      <c r="H24" s="95" t="str">
        <f t="shared" ref="H24" si="7">RIGHT(F24,(G24-9))</f>
        <v>ational Public Bidding</v>
      </c>
      <c r="I24" s="95" t="str">
        <f t="shared" ref="I24:I33" si="8">IF(E24="Yes",CONCATENATE(H24,", "),"")</f>
        <v xml:space="preserve">ational Public Bidding, </v>
      </c>
      <c r="J24" s="95"/>
      <c r="K24" s="95"/>
      <c r="L24" s="95"/>
      <c r="M24" s="95"/>
      <c r="O24" s="148"/>
      <c r="P24" s="149"/>
      <c r="Q24" s="149"/>
      <c r="R24" s="42"/>
      <c r="S24" s="42"/>
      <c r="T24" s="42"/>
      <c r="U24" s="42"/>
      <c r="V24" s="42"/>
      <c r="W24" s="42"/>
      <c r="X24" s="42"/>
      <c r="Y24" s="42"/>
      <c r="Z24" s="42"/>
    </row>
    <row r="25" spans="2:26" s="24" customFormat="1" ht="15" x14ac:dyDescent="0.2">
      <c r="B25" s="22" t="s">
        <v>383</v>
      </c>
      <c r="C25" s="33"/>
      <c r="D25" s="26"/>
      <c r="E25" s="98" t="s">
        <v>96</v>
      </c>
      <c r="F25" s="95"/>
      <c r="G25" s="95"/>
      <c r="H25" s="95"/>
      <c r="I25" s="95"/>
      <c r="J25" s="95"/>
      <c r="K25" s="95"/>
      <c r="L25" s="95"/>
      <c r="M25" s="95"/>
      <c r="O25" s="148"/>
      <c r="P25" s="149"/>
      <c r="Q25" s="149"/>
      <c r="R25" s="42"/>
      <c r="S25" s="42"/>
      <c r="T25" s="42"/>
      <c r="U25" s="42"/>
      <c r="V25" s="42"/>
      <c r="W25" s="42"/>
      <c r="X25" s="42"/>
      <c r="Y25" s="42"/>
      <c r="Z25" s="42"/>
    </row>
    <row r="26" spans="2:26" s="24" customFormat="1" ht="15" x14ac:dyDescent="0.2">
      <c r="B26" s="22" t="s">
        <v>384</v>
      </c>
      <c r="C26" s="33"/>
      <c r="D26" s="26"/>
      <c r="E26" s="98" t="s">
        <v>96</v>
      </c>
      <c r="F26" s="95"/>
      <c r="G26" s="95"/>
      <c r="H26" s="95"/>
      <c r="I26" s="95"/>
      <c r="J26" s="95"/>
      <c r="K26" s="95"/>
      <c r="L26" s="95"/>
      <c r="M26" s="95"/>
      <c r="O26" s="148"/>
      <c r="P26" s="149"/>
      <c r="Q26" s="149"/>
      <c r="R26" s="42"/>
      <c r="S26" s="42"/>
      <c r="T26" s="42"/>
      <c r="U26" s="42"/>
      <c r="V26" s="42"/>
      <c r="W26" s="42"/>
      <c r="X26" s="42"/>
      <c r="Y26" s="42"/>
      <c r="Z26" s="42"/>
    </row>
    <row r="27" spans="2:26" s="24" customFormat="1" ht="14.25" x14ac:dyDescent="0.2">
      <c r="B27" s="52" t="s">
        <v>385</v>
      </c>
      <c r="C27" s="46"/>
      <c r="D27" s="46"/>
      <c r="E27" s="100" t="str">
        <f>IF(OR(E28="Yes",E30="Yes",E32="Yes",E33="Yes"),"Yes","")</f>
        <v/>
      </c>
      <c r="F27" s="95"/>
      <c r="G27" s="95"/>
      <c r="H27" s="95"/>
      <c r="I27" s="95"/>
      <c r="J27" s="95"/>
      <c r="K27" s="95"/>
      <c r="L27" s="95"/>
      <c r="M27" s="95"/>
      <c r="O27" s="150"/>
      <c r="P27" s="96"/>
      <c r="Q27" s="96"/>
      <c r="R27" s="42"/>
      <c r="S27" s="42"/>
      <c r="T27" s="42"/>
      <c r="U27" s="42"/>
      <c r="V27" s="42"/>
      <c r="W27" s="42"/>
      <c r="X27" s="42"/>
      <c r="Y27" s="42"/>
      <c r="Z27" s="42"/>
    </row>
    <row r="28" spans="2:26" s="24" customFormat="1" ht="14.25" x14ac:dyDescent="0.2">
      <c r="B28" s="8" t="s">
        <v>386</v>
      </c>
      <c r="C28" s="7"/>
      <c r="D28" s="7"/>
      <c r="E28" s="99" t="str">
        <f>IF(E29="Yes","Yes","")</f>
        <v/>
      </c>
      <c r="F28" s="95" t="str">
        <f>IF(E28="Yes",B28,"")</f>
        <v/>
      </c>
      <c r="G28" s="95">
        <f t="shared" si="1"/>
        <v>0</v>
      </c>
      <c r="H28" s="95" t="e">
        <f>RIGHT(F28,(G28-5))</f>
        <v>#VALUE!</v>
      </c>
      <c r="I28" s="95" t="str">
        <f t="shared" si="8"/>
        <v/>
      </c>
      <c r="J28" s="95" t="str">
        <f>CONCATENATE(I28,I30,I32,I33)</f>
        <v/>
      </c>
      <c r="K28" s="95">
        <f>LEN(J28)</f>
        <v>0</v>
      </c>
      <c r="L28" s="95" t="e">
        <f>LEFT(J28,(K28-2))</f>
        <v>#VALUE!</v>
      </c>
      <c r="M28" s="95" t="str">
        <f t="shared" si="5"/>
        <v/>
      </c>
      <c r="O28" s="8"/>
      <c r="P28" s="151"/>
      <c r="Q28" s="151"/>
      <c r="R28" s="42"/>
      <c r="S28" s="42"/>
      <c r="T28" s="42"/>
      <c r="U28" s="42"/>
      <c r="V28" s="42"/>
      <c r="W28" s="42"/>
      <c r="X28" s="42"/>
      <c r="Y28" s="42"/>
      <c r="Z28" s="42"/>
    </row>
    <row r="29" spans="2:26" s="24" customFormat="1" ht="15" x14ac:dyDescent="0.2">
      <c r="B29" s="22" t="s">
        <v>387</v>
      </c>
      <c r="C29" s="32"/>
      <c r="D29" s="26"/>
      <c r="E29" s="98" t="s">
        <v>174</v>
      </c>
      <c r="F29" s="95"/>
      <c r="G29" s="95"/>
      <c r="H29" s="95"/>
      <c r="I29" s="95"/>
      <c r="J29" s="95"/>
      <c r="K29" s="95"/>
      <c r="L29" s="95"/>
      <c r="M29" s="95"/>
      <c r="O29" s="148"/>
      <c r="P29" s="149"/>
      <c r="Q29" s="149"/>
      <c r="R29" s="42"/>
      <c r="S29" s="42"/>
      <c r="T29" s="42"/>
      <c r="U29" s="42"/>
      <c r="V29" s="42"/>
      <c r="W29" s="42"/>
      <c r="X29" s="42"/>
      <c r="Y29" s="42"/>
      <c r="Z29" s="42"/>
    </row>
    <row r="30" spans="2:26" s="24" customFormat="1" ht="14.25" x14ac:dyDescent="0.2">
      <c r="B30" s="8" t="s">
        <v>388</v>
      </c>
      <c r="C30" s="7"/>
      <c r="D30" s="7"/>
      <c r="E30" s="99" t="str">
        <f>IF(E31="Yes","Yes","")</f>
        <v/>
      </c>
      <c r="F30" s="95" t="str">
        <f>IF(E30="Yes",B30,"")</f>
        <v/>
      </c>
      <c r="G30" s="95">
        <f t="shared" si="1"/>
        <v>0</v>
      </c>
      <c r="H30" s="95" t="e">
        <f>RIGHT(F30,(G30-5))</f>
        <v>#VALUE!</v>
      </c>
      <c r="I30" s="95" t="str">
        <f t="shared" si="8"/>
        <v/>
      </c>
      <c r="J30" s="95"/>
      <c r="K30" s="95"/>
      <c r="L30" s="95"/>
      <c r="M30" s="95"/>
      <c r="O30" s="8"/>
      <c r="P30" s="151"/>
      <c r="Q30" s="151"/>
      <c r="R30" s="42"/>
      <c r="S30" s="42"/>
      <c r="T30" s="42"/>
      <c r="U30" s="42"/>
      <c r="V30" s="42"/>
      <c r="W30" s="42"/>
      <c r="X30" s="42"/>
      <c r="Y30" s="42"/>
      <c r="Z30" s="42"/>
    </row>
    <row r="31" spans="2:26" s="24" customFormat="1" ht="15" x14ac:dyDescent="0.2">
      <c r="B31" s="22" t="s">
        <v>387</v>
      </c>
      <c r="C31" s="32"/>
      <c r="D31" s="26"/>
      <c r="E31" s="98" t="s">
        <v>174</v>
      </c>
      <c r="F31" s="95"/>
      <c r="G31" s="95"/>
      <c r="H31" s="95"/>
      <c r="I31" s="95"/>
      <c r="J31" s="95"/>
      <c r="K31" s="95"/>
      <c r="L31" s="95"/>
      <c r="M31" s="95"/>
      <c r="O31" s="148"/>
      <c r="P31" s="149"/>
      <c r="Q31" s="149"/>
      <c r="R31" s="42"/>
      <c r="S31" s="42"/>
      <c r="T31" s="42"/>
      <c r="U31" s="42"/>
      <c r="V31" s="42"/>
      <c r="W31" s="42"/>
      <c r="X31" s="42"/>
      <c r="Y31" s="42"/>
      <c r="Z31" s="42"/>
    </row>
    <row r="32" spans="2:26" s="24" customFormat="1" ht="14.25" x14ac:dyDescent="0.2">
      <c r="B32" s="8" t="s">
        <v>389</v>
      </c>
      <c r="C32" s="7"/>
      <c r="D32" s="7"/>
      <c r="E32" s="128"/>
      <c r="F32" s="95" t="str">
        <f>IF(E32="Yes",B32,"")</f>
        <v/>
      </c>
      <c r="G32" s="95">
        <f t="shared" si="1"/>
        <v>0</v>
      </c>
      <c r="H32" s="95" t="e">
        <f>RIGHT(F32,(G32-5))</f>
        <v>#VALUE!</v>
      </c>
      <c r="I32" s="95" t="str">
        <f t="shared" si="8"/>
        <v/>
      </c>
      <c r="J32" s="95"/>
      <c r="K32" s="95"/>
      <c r="L32" s="95"/>
      <c r="M32" s="95"/>
      <c r="O32" s="8"/>
      <c r="P32" s="151"/>
      <c r="Q32" s="151"/>
      <c r="R32" s="42"/>
      <c r="S32" s="42"/>
      <c r="T32" s="42"/>
      <c r="U32" s="42"/>
      <c r="V32" s="42"/>
      <c r="W32" s="42"/>
      <c r="X32" s="42"/>
      <c r="Y32" s="42"/>
      <c r="Z32" s="42"/>
    </row>
    <row r="33" spans="2:26" s="24" customFormat="1" ht="14.25" x14ac:dyDescent="0.2">
      <c r="B33" s="8" t="s">
        <v>390</v>
      </c>
      <c r="C33" s="7"/>
      <c r="D33" s="7"/>
      <c r="E33" s="302"/>
      <c r="F33" s="95" t="str">
        <f>IF(E33="Yes",B33,"")</f>
        <v/>
      </c>
      <c r="G33" s="95">
        <f t="shared" si="1"/>
        <v>0</v>
      </c>
      <c r="H33" s="95" t="e">
        <f>RIGHT(F33,(G33-5))</f>
        <v>#VALUE!</v>
      </c>
      <c r="I33" s="95" t="str">
        <f t="shared" si="8"/>
        <v/>
      </c>
      <c r="J33" s="95"/>
      <c r="K33" s="95"/>
      <c r="L33" s="95"/>
      <c r="M33" s="95"/>
      <c r="O33" s="8"/>
      <c r="P33" s="151"/>
      <c r="Q33" s="151"/>
      <c r="R33" s="42"/>
      <c r="S33" s="42"/>
      <c r="T33" s="42"/>
      <c r="U33" s="42"/>
      <c r="V33" s="42"/>
      <c r="W33" s="42"/>
      <c r="X33" s="42"/>
      <c r="Y33" s="42"/>
      <c r="Z33" s="42"/>
    </row>
    <row r="34" spans="2:26" s="24" customFormat="1" ht="34.5" customHeight="1" x14ac:dyDescent="0.2">
      <c r="B34" s="85" t="s">
        <v>35</v>
      </c>
      <c r="C34" s="62"/>
      <c r="D34" s="62"/>
      <c r="E34" s="62"/>
      <c r="F34" s="95"/>
      <c r="G34" s="95"/>
      <c r="H34" s="95"/>
      <c r="I34" s="95"/>
      <c r="J34" s="95"/>
      <c r="K34" s="95"/>
      <c r="L34" s="95"/>
      <c r="M34" s="95"/>
      <c r="O34" s="85"/>
      <c r="P34" s="152"/>
      <c r="Q34" s="152"/>
      <c r="R34" s="42"/>
      <c r="S34" s="42"/>
      <c r="T34" s="42"/>
      <c r="U34" s="42"/>
      <c r="V34" s="42"/>
      <c r="W34" s="42"/>
      <c r="X34" s="42"/>
      <c r="Y34" s="42"/>
      <c r="Z34" s="42"/>
    </row>
    <row r="35" spans="2:26" s="24" customFormat="1" ht="57" customHeight="1" x14ac:dyDescent="0.2">
      <c r="B35" s="25" t="s">
        <v>36</v>
      </c>
      <c r="C35" s="33"/>
      <c r="D35" s="32" t="s">
        <v>391</v>
      </c>
      <c r="E35" s="98" t="s">
        <v>174</v>
      </c>
      <c r="F35" s="95"/>
      <c r="G35" s="95"/>
      <c r="H35" s="95"/>
      <c r="I35" s="95"/>
      <c r="J35" s="95"/>
      <c r="K35" s="95"/>
      <c r="L35" s="95"/>
      <c r="M35" s="95"/>
      <c r="O35" s="148"/>
      <c r="P35" s="149"/>
      <c r="Q35" s="149"/>
      <c r="R35" s="42"/>
      <c r="S35" s="42"/>
      <c r="T35" s="42"/>
      <c r="U35" s="42"/>
      <c r="V35" s="42"/>
      <c r="W35" s="42"/>
      <c r="X35" s="42"/>
      <c r="Y35" s="42"/>
      <c r="Z35" s="42"/>
    </row>
    <row r="36" spans="2:26" s="24" customFormat="1" ht="15" x14ac:dyDescent="0.2">
      <c r="B36" s="23"/>
      <c r="E36" s="27"/>
      <c r="F36" s="95"/>
      <c r="G36" s="95"/>
      <c r="H36" s="95"/>
      <c r="I36" s="95"/>
      <c r="J36" s="95"/>
      <c r="K36" s="95"/>
      <c r="L36" s="95">
        <f>3*0.25</f>
        <v>0.75</v>
      </c>
      <c r="M36" s="95"/>
      <c r="O36" s="42"/>
      <c r="P36" s="42"/>
      <c r="Q36" s="42"/>
      <c r="R36" s="42"/>
      <c r="S36" s="42"/>
      <c r="T36" s="42"/>
      <c r="U36" s="42"/>
      <c r="V36" s="42"/>
      <c r="W36" s="42"/>
      <c r="X36" s="42"/>
      <c r="Y36" s="42"/>
      <c r="Z36" s="42"/>
    </row>
    <row r="37" spans="2:26" x14ac:dyDescent="0.2">
      <c r="L37" s="84">
        <f>3*0.15</f>
        <v>0.44999999999999996</v>
      </c>
    </row>
    <row r="39" spans="2:26" x14ac:dyDescent="0.2">
      <c r="L39" s="84">
        <f>SUM(L36:L38)</f>
        <v>1.2</v>
      </c>
    </row>
    <row r="41" spans="2:26" x14ac:dyDescent="0.2">
      <c r="L41" s="84">
        <f>1*0.25</f>
        <v>0.25</v>
      </c>
    </row>
    <row r="42" spans="2:26" x14ac:dyDescent="0.2">
      <c r="L42" s="84">
        <f>1*0.15</f>
        <v>0.15</v>
      </c>
    </row>
  </sheetData>
  <sheetProtection algorithmName="SHA-512" hashValue="4qLndDfTmlQqsCC/xuUXjiWA2hMYMn/tlz1jXqi3n4cNLZiQvx6LERiYpYqc+wqyR819qZOLQDOEUffJGxTsGg==" saltValue="xNLmugqOY7kyppGJOcyLeg==" spinCount="100000" sheet="1" formatCells="0" formatColumns="0" formatRows="0" selectLockedCells="1"/>
  <mergeCells count="11">
    <mergeCell ref="Q11:Q12"/>
    <mergeCell ref="O10:Q10"/>
    <mergeCell ref="B2:E2"/>
    <mergeCell ref="B3:E3"/>
    <mergeCell ref="A4:E4"/>
    <mergeCell ref="B5:E5"/>
    <mergeCell ref="B6:E6"/>
    <mergeCell ref="O11:O12"/>
    <mergeCell ref="P11:P12"/>
    <mergeCell ref="B9:E9"/>
    <mergeCell ref="B7:E7"/>
  </mergeCells>
  <pageMargins left="0.4765625" right="1.036875" top="1.08" bottom="0.91" header="0.5" footer="0.5"/>
  <pageSetup scale="55" orientation="landscape" r:id="rId1"/>
  <headerFooter alignWithMargins="0">
    <oddHeader xml:space="preserve">&amp;R&amp;"Arial,Bold"&amp;12Annex 2
SG DEM
</oddHeader>
  </headerFooter>
  <colBreaks count="1" manualBreakCount="1">
    <brk id="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'Listas desplegables'!$A$2:$A$3</xm:f>
          </x14:formula1>
          <xm:sqref>E21:E23 E25:E26 E29 E15:E19 E31:E35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ez-Operations" ma:contentTypeID="0x010100ACF722E9F6B0B149B0CD8BE2560A667200D55BCB553F1A49468EA073F0F9C5E217" ma:contentTypeVersion="2038" ma:contentTypeDescription="The base project type from which other project content types inherit their information." ma:contentTypeScope="" ma:versionID="2d713459a09fadaf47b34986d0a85e93">
  <xsd:schema xmlns:xsd="http://www.w3.org/2001/XMLSchema" xmlns:xs="http://www.w3.org/2001/XMLSchema" xmlns:p="http://schemas.microsoft.com/office/2006/metadata/properties" xmlns:ns2="cdc7663a-08f0-4737-9e8c-148ce897a09c" targetNamespace="http://schemas.microsoft.com/office/2006/metadata/properties" ma:root="true" ma:fieldsID="550fc918e9bc61a55f57606bf013c1cb"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default="EC-L1242"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default="Loan Operation"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ther_x0020_Author xmlns="cdc7663a-08f0-4737-9e8c-148ce897a09c" xsi:nil="true"/>
    <Division_x0020_or_x0020_Unit xmlns="cdc7663a-08f0-4737-9e8c-148ce897a09c">SPD/SDV</Division_x0020_or_x0020_Unit>
    <IDBDocs_x0020_Number xmlns="cdc7663a-08f0-4737-9e8c-148ce897a09c">38562678</IDBDocs_x0020_Number>
    <Document_x0020_Author xmlns="cdc7663a-08f0-4737-9e8c-148ce897a09c">SPD-SDV</Document_x0020_Author>
    <TaxCatchAll xmlns="cdc7663a-08f0-4737-9e8c-148ce897a09c">
      <Value>48</Value>
      <Value>32</Value>
      <Value>30</Value>
      <Value>1</Value>
      <Value>49</Value>
    </TaxCatchAll>
    <Fiscal_x0020_Year_x0020_IDB xmlns="cdc7663a-08f0-4737-9e8c-148ce897a09c">2018</Fiscal_x0020_Year_x0020_IDB>
    <Migration_x0020_Info xmlns="cdc7663a-08f0-4737-9e8c-148ce897a09c">MS EXCELRESMTXResults Matrix0Y</Migration_x0020_Info>
    <SISCOR_x0020_Number xmlns="cdc7663a-08f0-4737-9e8c-148ce897a09c" xsi:nil="true"/>
    <Identifier xmlns="cdc7663a-08f0-4737-9e8c-148ce897a09c">DEM </Identifier>
    <Document_x0020_Language_x0020_IDB xmlns="cdc7663a-08f0-4737-9e8c-148ce897a09c">Spanish</Document_x0020_Language_x0020_IDB>
    <Access_x0020_to_x0020_Information_x00a0_Policy xmlns="cdc7663a-08f0-4737-9e8c-148ce897a09c">Public</Access_x0020_to_x0020_Information_x00a0_Policy>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Ecuador</TermName>
          <TermId xmlns="http://schemas.microsoft.com/office/infopath/2007/PartnerControls">8f163189-00fa-4e7c-827d-28fb5798781c</TermId>
        </TermInfo>
      </Terms>
    </ic46d7e087fd4a108fb86518ca413cc6>
    <Related_x0020_SisCor_x0020_Number xmlns="cdc7663a-08f0-4737-9e8c-148ce897a09c" xsi:nil="true"/>
    <_dlc_DocId xmlns="cdc7663a-08f0-4737-9e8c-148ce897a09c">EZSHARE-2020706711-9</_dlc_DocId>
    <_dlc_DocIdUrl xmlns="cdc7663a-08f0-4737-9e8c-148ce897a09c">
      <Url>https://idbg.sharepoint.com/teams/EZ-EC-LON/EC-L1242/_layouts/15/DocIdRedir.aspx?ID=EZSHARE-2020706711-9</Url>
      <Description>EZSHARE-2020706711-9</Description>
    </_dlc_DocIdUrl>
    <b26cdb1da78c4bb4b1c1bac2f6ac5911 xmlns="cdc7663a-08f0-4737-9e8c-148ce897a09c">
      <Terms xmlns="http://schemas.microsoft.com/office/infopath/2007/PartnerControls"/>
    </b26cdb1da78c4bb4b1c1bac2f6ac5911>
    <From_x003a_ xmlns="cdc7663a-08f0-4737-9e8c-148ce897a09c" xsi:nil="true"/>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e46fe2894295491da65140ffd2369f49>
    <Approval_x0020_Number xmlns="cdc7663a-08f0-4737-9e8c-148ce897a09c" xsi:nil="true"/>
    <Phase xmlns="cdc7663a-08f0-4737-9e8c-148ce897a09c" xsi:nil="true"/>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WATER SUPPLY URBAN</TermName>
          <TermId xmlns="http://schemas.microsoft.com/office/infopath/2007/PartnerControls">28df1b5d-8f50-49f8-b50a-8bcbae67d2a4</TermId>
        </TermInfo>
      </Terms>
    </b2ec7cfb18674cb8803df6b262e8b107>
    <Business_x0020_Area xmlns="cdc7663a-08f0-4737-9e8c-148ce897a09c" xsi:nil="true"/>
    <Key_x0020_Document xmlns="cdc7663a-08f0-4737-9e8c-148ce897a09c">false</Key_x0020_Document>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Operation_x0020_Type xmlns="cdc7663a-08f0-4737-9e8c-148ce897a09c">Loan Operation</Operation_x0020_Type>
    <Package_x0020_Code xmlns="cdc7663a-08f0-4737-9e8c-148ce897a09c" xsi:nil="true"/>
    <To_x003a_ xmlns="cdc7663a-08f0-4737-9e8c-148ce897a09c" xsi:nil="true"/>
    <Project_x0020_Number xmlns="cdc7663a-08f0-4737-9e8c-148ce897a09c">EC-L1242</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WATER AND SANITATION</TermName>
          <TermId xmlns="http://schemas.microsoft.com/office/infopath/2007/PartnerControls">ba6b63cd-e402-47cb-9357-08149f7ce046</TermId>
        </TermInfo>
      </Terms>
    </nddeef1749674d76abdbe4b239a70bc6>
    <Record_x0020_Number xmlns="cdc7663a-08f0-4737-9e8c-148ce897a09c">R0002260731</Record_x0020_Numb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ae61f9b1-e23d-4f49-b3d7-56b991556c4b" ContentTypeId="0x010100ACF722E9F6B0B149B0CD8BE2560A6672" PreviousValue="false"/>
</file>

<file path=customXml/item6.xml><?xml version="1.0" encoding="utf-8"?>
<ct:contentTypeSchema xmlns:ct="http://schemas.microsoft.com/office/2006/metadata/contentType" xmlns:ma="http://schemas.microsoft.com/office/2006/metadata/properties/metaAttributes" ct:_="" ma:_="" ma:contentTypeName="ez-Operations" ma:contentTypeID="0x010100ACF722E9F6B0B149B0CD8BE2560A667200D55BCB553F1A49468EA073F0F9C5E217" ma:contentTypeVersion="1365" ma:contentTypeDescription="The base project type from which other project content types inherit their information." ma:contentTypeScope="" ma:versionID="78aadfa7760e2b1ba651722a5acbe560">
  <xsd:schema xmlns:xsd="http://www.w3.org/2001/XMLSchema" xmlns:xs="http://www.w3.org/2001/XMLSchema" xmlns:p="http://schemas.microsoft.com/office/2006/metadata/properties" xmlns:ns2="cdc7663a-08f0-4737-9e8c-148ce897a09c" targetNamespace="http://schemas.microsoft.com/office/2006/metadata/properties" ma:root="true" ma:fieldsID="550fc918e9bc61a55f57606bf013c1cb"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default="EC-L1242"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default="Loan Operation"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Urls xmlns="http://schemas.microsoft.com/sharepoint/v3/contenttype/forms/url">
  <Display>_catalogs/masterpage/ECMForms/OperationsCT/View.aspx</Display>
  <Edit>_catalogs/masterpage/ECMForms/OperationsCT/Edit.aspx</Edit>
</FormUrls>
</file>

<file path=customXml/itemProps1.xml><?xml version="1.0" encoding="utf-8"?>
<ds:datastoreItem xmlns:ds="http://schemas.openxmlformats.org/officeDocument/2006/customXml" ds:itemID="{3E75EDF7-BFF5-48DD-8959-85E64262B47F}"/>
</file>

<file path=customXml/itemProps2.xml><?xml version="1.0" encoding="utf-8"?>
<ds:datastoreItem xmlns:ds="http://schemas.openxmlformats.org/officeDocument/2006/customXml" ds:itemID="{8688207F-6955-481B-BA9D-A509C06E6BA1}">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cdc7663a-08f0-4737-9e8c-148ce897a09c"/>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1769FE-D58C-4686-8757-65DE667DB2EB}">
  <ds:schemaRefs>
    <ds:schemaRef ds:uri="http://schemas.microsoft.com/sharepoint/v3/contenttype/forms"/>
  </ds:schemaRefs>
</ds:datastoreItem>
</file>

<file path=customXml/itemProps4.xml><?xml version="1.0" encoding="utf-8"?>
<ds:datastoreItem xmlns:ds="http://schemas.openxmlformats.org/officeDocument/2006/customXml" ds:itemID="{8EA4D564-7AE5-4ECF-BA41-E1605996833F}">
  <ds:schemaRefs>
    <ds:schemaRef ds:uri="http://schemas.microsoft.com/sharepoint/events"/>
  </ds:schemaRefs>
</ds:datastoreItem>
</file>

<file path=customXml/itemProps5.xml><?xml version="1.0" encoding="utf-8"?>
<ds:datastoreItem xmlns:ds="http://schemas.openxmlformats.org/officeDocument/2006/customXml" ds:itemID="{87508707-7F45-404A-8689-8055A7577349}">
  <ds:schemaRefs>
    <ds:schemaRef ds:uri="Microsoft.SharePoint.Taxonomy.ContentTypeSync"/>
  </ds:schemaRefs>
</ds:datastoreItem>
</file>

<file path=customXml/itemProps6.xml><?xml version="1.0" encoding="utf-8"?>
<ds:datastoreItem xmlns:ds="http://schemas.openxmlformats.org/officeDocument/2006/customXml" ds:itemID="{BEFD0A81-3FC2-4817-A9F1-A7ECDDD9C0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c7663a-08f0-4737-9e8c-148ce897a0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2481BDB2-154D-472A-A949-D72F6877BC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Summary (I, II, III) </vt:lpstr>
      <vt:lpstr>Resumen (I, II, III)</vt:lpstr>
      <vt:lpstr>Summary (I, III)  (PBL)</vt:lpstr>
      <vt:lpstr>Resumen (I, III) (PBL)</vt:lpstr>
      <vt:lpstr>DEM (Strategic Priorities)</vt:lpstr>
      <vt:lpstr>Prioridades Estrategicas</vt:lpstr>
      <vt:lpstr>DEM (Evaluability)</vt:lpstr>
      <vt:lpstr>DEM ( Risk)</vt:lpstr>
      <vt:lpstr>DEM (Additionality)</vt:lpstr>
      <vt:lpstr>Adicionalidad</vt:lpstr>
      <vt:lpstr>Listas desplegables</vt:lpstr>
      <vt:lpstr>Jerarquia</vt:lpstr>
      <vt:lpstr>'DEM (Evaluability)'!Print_Area</vt:lpstr>
    </vt:vector>
  </TitlesOfParts>
  <Manager/>
  <Company>Inter-American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 Template 2017</dc:title>
  <dc:subject/>
  <dc:creator>Carola Alvarez</dc:creator>
  <cp:keywords/>
  <dc:description/>
  <cp:lastModifiedBy>Lopez, Liliana M.</cp:lastModifiedBy>
  <cp:revision/>
  <cp:lastPrinted>2019-02-07T17:24:12Z</cp:lastPrinted>
  <dcterms:created xsi:type="dcterms:W3CDTF">2009-01-21T14:19:32Z</dcterms:created>
  <dcterms:modified xsi:type="dcterms:W3CDTF">2019-02-07T17:24:12Z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TaxKeyword">
    <vt:lpwstr/>
  </property>
  <property fmtid="{D5CDD505-2E9C-101B-9397-08002B2CF9AE}" pid="4" name="Series Corporate IDB">
    <vt:lpwstr>-1;#ORF-03 Bank Establishment and Organization|540f4a61-02e0-4bed-86f9-2ed4c95d14a5</vt:lpwstr>
  </property>
  <property fmtid="{D5CDD505-2E9C-101B-9397-08002B2CF9AE}" pid="5" name="ContentTypeId">
    <vt:lpwstr>0x010100ACF722E9F6B0B149B0CD8BE2560A667200D55BCB553F1A49468EA073F0F9C5E217</vt:lpwstr>
  </property>
  <property fmtid="{D5CDD505-2E9C-101B-9397-08002B2CF9AE}" pid="6" name="TaxKeywordTaxHTField">
    <vt:lpwstr/>
  </property>
  <property fmtid="{D5CDD505-2E9C-101B-9397-08002B2CF9AE}" pid="7" name="Country">
    <vt:lpwstr>32;#Ecuador|8f163189-00fa-4e7c-827d-28fb5798781c</vt:lpwstr>
  </property>
  <property fmtid="{D5CDD505-2E9C-101B-9397-08002B2CF9AE}" pid="8" name="Function Corporate IDB">
    <vt:lpwstr>-1;#5 Organization and Functions|4701d7f9-8df6-4219-aeac-8d4b644c65a0</vt:lpwstr>
  </property>
  <property fmtid="{D5CDD505-2E9C-101B-9397-08002B2CF9AE}" pid="9" name="Publication_x0020_Type">
    <vt:lpwstr/>
  </property>
  <property fmtid="{D5CDD505-2E9C-101B-9397-08002B2CF9AE}" pid="10" name="Publishing_x0020_House">
    <vt:lpwstr/>
  </property>
  <property fmtid="{D5CDD505-2E9C-101B-9397-08002B2CF9AE}" pid="11" name="Disclosure Activity">
    <vt:lpwstr>Results Matrix</vt:lpwstr>
  </property>
  <property fmtid="{D5CDD505-2E9C-101B-9397-08002B2CF9AE}" pid="12" name="Series_x0020_Corporate_x0020_IDB">
    <vt:lpwstr>-1;#ORF-03 Bank Establishment and Organization|540f4a61-02e0-4bed-86f9-2ed4c95d14a5</vt:lpwstr>
  </property>
  <property fmtid="{D5CDD505-2E9C-101B-9397-08002B2CF9AE}" pid="13" name="Disclosure_x0020_Activity">
    <vt:lpwstr>Results Matrix</vt:lpwstr>
  </property>
  <property fmtid="{D5CDD505-2E9C-101B-9397-08002B2CF9AE}" pid="14" name="Function_x0020_Corporate_x0020_IDB">
    <vt:lpwstr>-1;#5 Organization and Functions|4701d7f9-8df6-4219-aeac-8d4b644c65a0</vt:lpwstr>
  </property>
  <property fmtid="{D5CDD505-2E9C-101B-9397-08002B2CF9AE}" pid="15" name="Webtopic">
    <vt:lpwstr>Generic</vt:lpwstr>
  </property>
  <property fmtid="{D5CDD505-2E9C-101B-9397-08002B2CF9AE}" pid="16" name="Disclosed">
    <vt:bool>true</vt:bool>
  </property>
  <property fmtid="{D5CDD505-2E9C-101B-9397-08002B2CF9AE}" pid="17" name="KP_x0020_Topics">
    <vt:lpwstr/>
  </property>
  <property fmtid="{D5CDD505-2E9C-101B-9397-08002B2CF9AE}" pid="18" name="URL">
    <vt:lpwstr/>
  </property>
  <property fmtid="{D5CDD505-2E9C-101B-9397-08002B2CF9AE}" pid="19" name="To_x003A_">
    <vt:lpwstr/>
  </property>
  <property fmtid="{D5CDD505-2E9C-101B-9397-08002B2CF9AE}" pid="20" name="From_x003A_">
    <vt:lpwstr/>
  </property>
  <property fmtid="{D5CDD505-2E9C-101B-9397-08002B2CF9AE}" pid="21" name="To:">
    <vt:lpwstr/>
  </property>
  <property fmtid="{D5CDD505-2E9C-101B-9397-08002B2CF9AE}" pid="22" name="From:">
    <vt:lpwstr/>
  </property>
  <property fmtid="{D5CDD505-2E9C-101B-9397-08002B2CF9AE}" pid="23" name="_dlc_DocIdItemGuid">
    <vt:lpwstr>d59927d9-08e6-4abc-af70-cea18a0957d0</vt:lpwstr>
  </property>
  <property fmtid="{D5CDD505-2E9C-101B-9397-08002B2CF9AE}" pid="24" name="SharedWithUsers">
    <vt:lpwstr>10;#Everyone except external users</vt:lpwstr>
  </property>
  <property fmtid="{D5CDD505-2E9C-101B-9397-08002B2CF9AE}" pid="25" name="Publishing House">
    <vt:lpwstr/>
  </property>
  <property fmtid="{D5CDD505-2E9C-101B-9397-08002B2CF9AE}" pid="26" name="Publication Type">
    <vt:lpwstr/>
  </property>
  <property fmtid="{D5CDD505-2E9C-101B-9397-08002B2CF9AE}" pid="27" name="KP Topics">
    <vt:lpwstr/>
  </property>
  <property fmtid="{D5CDD505-2E9C-101B-9397-08002B2CF9AE}" pid="28" name="Series Operations IDB">
    <vt:lpwstr/>
  </property>
  <property fmtid="{D5CDD505-2E9C-101B-9397-08002B2CF9AE}" pid="29" name="Sub-Sector">
    <vt:lpwstr>49;#WATER SUPPLY URBAN|28df1b5d-8f50-49f8-b50a-8bcbae67d2a4</vt:lpwstr>
  </property>
  <property fmtid="{D5CDD505-2E9C-101B-9397-08002B2CF9AE}" pid="30" name="Fund IDB">
    <vt:lpwstr>30;#ORC|c028a4b2-ad8b-4cf4-9cac-a2ae6a778e23</vt:lpwstr>
  </property>
  <property fmtid="{D5CDD505-2E9C-101B-9397-08002B2CF9AE}" pid="31" name="Sector IDB">
    <vt:lpwstr>48;#WATER AND SANITATION|ba6b63cd-e402-47cb-9357-08149f7ce046</vt:lpwstr>
  </property>
  <property fmtid="{D5CDD505-2E9C-101B-9397-08002B2CF9AE}" pid="32" name="Function Operations IDB">
    <vt:lpwstr>1;#Project Preparation, Planning and Design|29ca0c72-1fc4-435f-a09c-28585cb5eac9</vt:lpwstr>
  </property>
  <property fmtid="{D5CDD505-2E9C-101B-9397-08002B2CF9AE}" pid="33" name="AuthorIds_UIVersion_8">
    <vt:lpwstr>135</vt:lpwstr>
  </property>
  <property fmtid="{D5CDD505-2E9C-101B-9397-08002B2CF9AE}" pid="34" name="AuthorIds_UIVersion_9">
    <vt:lpwstr>135</vt:lpwstr>
  </property>
  <property fmtid="{D5CDD505-2E9C-101B-9397-08002B2CF9AE}" pid="35" name="AuthorIds_UIVersion_11">
    <vt:lpwstr>1772</vt:lpwstr>
  </property>
</Properties>
</file>